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4.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6.xml" ContentType="application/vnd.openxmlformats-officedocument.drawingml.chart+xml"/>
  <Override PartName="/xl/drawings/drawing25.xml" ContentType="application/vnd.openxmlformats-officedocument.drawing+xml"/>
  <Override PartName="/xl/charts/chart7.xml" ContentType="application/vnd.openxmlformats-officedocument.drawingml.chart+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9.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12.xml" ContentType="application/vnd.openxmlformats-officedocument.drawingml.chart+xml"/>
  <Override PartName="/xl/drawings/drawing37.xml" ContentType="application/vnd.openxmlformats-officedocument.drawing+xml"/>
  <Override PartName="/xl/charts/chart13.xml" ContentType="application/vnd.openxmlformats-officedocument.drawingml.chart+xml"/>
  <Override PartName="/xl/drawings/drawing38.xml" ContentType="application/vnd.openxmlformats-officedocument.drawing+xml"/>
  <Override PartName="/xl/charts/chart14.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16.xml" ContentType="application/vnd.openxmlformats-officedocument.drawingml.chart+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18.xml" ContentType="application/vnd.openxmlformats-officedocument.drawingml.chart+xml"/>
  <Override PartName="/xl/drawings/drawing47.xml" ContentType="application/vnd.openxmlformats-officedocument.drawing+xml"/>
  <Override PartName="/xl/charts/chart19.xml" ContentType="application/vnd.openxmlformats-officedocument.drawingml.chart+xml"/>
  <Override PartName="/xl/drawings/drawing48.xml" ContentType="application/vnd.openxmlformats-officedocument.drawing+xml"/>
  <Override PartName="/xl/charts/chart20.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harts/chart21.xml" ContentType="application/vnd.openxmlformats-officedocument.drawingml.chart+xml"/>
  <Override PartName="/xl/drawings/drawing52.xml" ContentType="application/vnd.openxmlformats-officedocument.drawing+xml"/>
  <Override PartName="/xl/charts/chart22.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3.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harts/chart24.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5.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6.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8.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30.xml" ContentType="application/vnd.openxmlformats-officedocument.drawingml.chart+xml"/>
  <Override PartName="/xl/drawings/drawing72.xml" ContentType="application/vnd.openxmlformats-officedocument.drawing+xml"/>
  <Override PartName="/xl/charts/chart31.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2.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77.xml" ContentType="application/vnd.openxmlformats-officedocument.drawing+xml"/>
  <Override PartName="/xl/charts/chart35.xml" ContentType="application/vnd.openxmlformats-officedocument.drawingml.chart+xml"/>
  <Override PartName="/xl/drawings/drawing78.xml" ContentType="application/vnd.openxmlformats-officedocument.drawingml.chartshapes+xml"/>
  <Override PartName="/xl/charts/chart36.xml" ContentType="application/vnd.openxmlformats-officedocument.drawingml.chart+xml"/>
  <Override PartName="/xl/drawings/drawing79.xml" ContentType="application/vnd.openxmlformats-officedocument.drawing+xml"/>
  <Override PartName="/xl/charts/chart37.xml" ContentType="application/vnd.openxmlformats-officedocument.drawingml.chart+xml"/>
  <Override PartName="/xl/drawings/drawing80.xml" ContentType="application/vnd.openxmlformats-officedocument.drawingml.chartshapes+xml"/>
  <Override PartName="/xl/charts/chart38.xml" ContentType="application/vnd.openxmlformats-officedocument.drawingml.chart+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39.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40.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1.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42.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charts/chart43.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4.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45.xml" ContentType="application/vnd.openxmlformats-officedocument.drawingml.chart+xml"/>
  <Override PartName="/xl/drawings/drawing102.xml" ContentType="application/vnd.openxmlformats-officedocument.drawing+xml"/>
  <Override PartName="/xl/charts/chart46.xml" ContentType="application/vnd.openxmlformats-officedocument.drawingml.chart+xml"/>
  <Override PartName="/xl/drawings/drawing103.xml" ContentType="application/vnd.openxmlformats-officedocument.drawing+xml"/>
  <Override PartName="/xl/drawings/drawing104.xml" ContentType="application/vnd.openxmlformats-officedocument.drawing+xml"/>
  <Override PartName="/xl/charts/chart47.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48.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49.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50.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5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3.xml" ContentType="application/vnd.openxmlformats-officedocument.drawing+xml"/>
  <Override PartName="/xl/charts/chart52.xml" ContentType="application/vnd.openxmlformats-officedocument.drawingml.chart+xml"/>
  <Override PartName="/xl/drawings/drawing114.xml" ContentType="application/vnd.openxmlformats-officedocument.drawing+xml"/>
  <Override PartName="/xl/charts/chart53.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54.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harts/chart5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charts/chart5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drawings/drawing123.xml" ContentType="application/vnd.openxmlformats-officedocument.drawing+xml"/>
  <Override PartName="/xl/charts/chart57.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omments1.xml" ContentType="application/vnd.openxmlformats-officedocument.spreadsheetml.comments+xml"/>
  <Override PartName="/xl/charts/chart58.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omments2.xml" ContentType="application/vnd.openxmlformats-officedocument.spreadsheetml.comments+xml"/>
  <Override PartName="/xl/charts/chart5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8.xml" ContentType="application/vnd.openxmlformats-officedocument.drawing+xml"/>
  <Override PartName="/xl/charts/chart60.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1.xml" ContentType="application/vnd.openxmlformats-officedocument.drawing+xml"/>
  <Override PartName="/xl/charts/chart6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2.xml" ContentType="application/vnd.openxmlformats-officedocument.drawing+xml"/>
  <Override PartName="/xl/charts/chart63.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64.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charts/chart65.xml" ContentType="application/vnd.openxmlformats-officedocument.drawingml.chart+xml"/>
  <Override PartName="/xl/drawings/drawing138.xml" ContentType="application/vnd.openxmlformats-officedocument.drawingml.chartshapes+xml"/>
  <Override PartName="/xl/drawings/drawing139.xml" ContentType="application/vnd.openxmlformats-officedocument.drawing+xml"/>
  <Override PartName="/xl/charts/chart66.xml" ContentType="application/vnd.openxmlformats-officedocument.drawingml.chart+xml"/>
  <Override PartName="/xl/drawings/drawing140.xml" ContentType="application/vnd.openxmlformats-officedocument.drawingml.chartshapes+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charts/chart67.xml" ContentType="application/vnd.openxmlformats-officedocument.drawingml.chart+xml"/>
  <Override PartName="/xl/drawings/drawing146.xml" ContentType="application/vnd.openxmlformats-officedocument.drawing+xml"/>
  <Override PartName="/xl/charts/chart68.xml" ContentType="application/vnd.openxmlformats-officedocument.drawingml.chart+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charts/chart69.xml" ContentType="application/vnd.openxmlformats-officedocument.drawingml.chart+xml"/>
  <Override PartName="/xl/drawings/drawing151.xml" ContentType="application/vnd.openxmlformats-officedocument.drawing+xml"/>
  <Override PartName="/xl/charts/chart70.xml" ContentType="application/vnd.openxmlformats-officedocument.drawingml.chart+xml"/>
  <Override PartName="/xl/drawings/drawing152.xml" ContentType="application/vnd.openxmlformats-officedocument.drawingml.chartshapes+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charts/chart71.xml" ContentType="application/vnd.openxmlformats-officedocument.drawingml.chart+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xml"/>
  <Override PartName="/xl/charts/chart73.xml" ContentType="application/vnd.openxmlformats-officedocument.drawingml.chart+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charts/chart74.xml" ContentType="application/vnd.openxmlformats-officedocument.drawingml.chart+xml"/>
  <Override PartName="/xl/drawings/drawing161.xml" ContentType="application/vnd.openxmlformats-officedocument.drawing+xml"/>
  <Override PartName="/xl/charts/chart75.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6.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77.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8.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9.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80.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4.xml" ContentType="application/vnd.openxmlformats-officedocument.drawingml.chartshapes+xml"/>
  <Override PartName="/xl/drawings/drawing175.xml" ContentType="application/vnd.openxmlformats-officedocument.drawing+xml"/>
  <Override PartName="/xl/charts/chart82.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3.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4.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5.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8.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1.xml" ContentType="application/vnd.openxmlformats-officedocument.drawingml.chart+xml"/>
  <Override PartName="/xl/drawings/drawing194.xml" ContentType="application/vnd.openxmlformats-officedocument.drawingml.chartshapes+xml"/>
  <Override PartName="/xl/drawings/drawing195.xml" ContentType="application/vnd.openxmlformats-officedocument.drawing+xml"/>
  <Override PartName="/xl/charts/chart92.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3.xml" ContentType="application/vnd.openxmlformats-officedocument.drawingml.chart+xml"/>
  <Override PartName="/xl/drawings/drawing198.xml" ContentType="application/vnd.openxmlformats-officedocument.drawing+xml"/>
  <Override PartName="/xl/charts/chart94.xml" ContentType="application/vnd.openxmlformats-officedocument.drawingml.chart+xml"/>
  <Override PartName="/xl/drawings/drawing199.xml" ContentType="application/vnd.openxmlformats-officedocument.drawingml.chartshapes+xml"/>
  <Override PartName="/xl/drawings/drawing200.xml" ContentType="application/vnd.openxmlformats-officedocument.drawing+xml"/>
  <Override PartName="/xl/charts/chart95.xml" ContentType="application/vnd.openxmlformats-officedocument.drawingml.chart+xml"/>
  <Override PartName="/xl/drawings/drawing201.xml" ContentType="application/vnd.openxmlformats-officedocument.drawing+xml"/>
  <Override PartName="/xl/charts/chart96.xml" ContentType="application/vnd.openxmlformats-officedocument.drawingml.chart+xml"/>
  <Override PartName="/xl/drawings/drawing202.xml" ContentType="application/vnd.openxmlformats-officedocument.drawing+xml"/>
  <Override PartName="/xl/charts/chart97.xml" ContentType="application/vnd.openxmlformats-officedocument.drawingml.chart+xml"/>
  <Override PartName="/xl/drawings/drawing203.xml" ContentType="application/vnd.openxmlformats-officedocument.drawing+xml"/>
  <Override PartName="/xl/drawings/drawing204.xml" ContentType="application/vnd.openxmlformats-officedocument.drawing+xml"/>
  <Override PartName="/xl/charts/chart98.xml" ContentType="application/vnd.openxmlformats-officedocument.drawingml.chart+xml"/>
  <Override PartName="/xl/drawings/drawing205.xml" ContentType="application/vnd.openxmlformats-officedocument.drawingml.chartshapes+xml"/>
  <Override PartName="/xl/drawings/drawing206.xml" ContentType="application/vnd.openxmlformats-officedocument.drawing+xml"/>
  <Override PartName="/xl/charts/chart99.xml" ContentType="application/vnd.openxmlformats-officedocument.drawingml.chart+xml"/>
  <Override PartName="/xl/drawings/drawing207.xml" ContentType="application/vnd.openxmlformats-officedocument.drawing+xml"/>
  <Override PartName="/xl/charts/chart100.xml" ContentType="application/vnd.openxmlformats-officedocument.drawingml.chart+xml"/>
  <Override PartName="/xl/drawings/drawing208.xml" ContentType="application/vnd.openxmlformats-officedocument.drawingml.chartshapes+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charts/chart10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12.xml" ContentType="application/vnd.openxmlformats-officedocument.drawingml.chartshapes+xml"/>
  <Override PartName="/xl/drawings/drawing213.xml" ContentType="application/vnd.openxmlformats-officedocument.drawing+xml"/>
  <Override PartName="/xl/charts/chart10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4.xml" ContentType="application/vnd.openxmlformats-officedocument.drawing+xml"/>
  <Override PartName="/xl/charts/chart103.xml" ContentType="application/vnd.openxmlformats-officedocument.drawingml.chart+xml"/>
  <Override PartName="/xl/drawings/drawing215.xml" ContentType="application/vnd.openxmlformats-officedocument.drawingml.chartshapes+xml"/>
  <Override PartName="/xl/drawings/drawing216.xml" ContentType="application/vnd.openxmlformats-officedocument.drawing+xml"/>
  <Override PartName="/xl/charts/chart104.xml" ContentType="application/vnd.openxmlformats-officedocument.drawingml.chart+xml"/>
  <Override PartName="/xl/drawings/drawing217.xml" ContentType="application/vnd.openxmlformats-officedocument.drawingml.chartshapes+xml"/>
  <Override PartName="/xl/drawings/drawing218.xml" ContentType="application/vnd.openxmlformats-officedocument.drawing+xml"/>
  <Override PartName="/xl/charts/chart105.xml" ContentType="application/vnd.openxmlformats-officedocument.drawingml.chart+xml"/>
  <Override PartName="/xl/drawings/drawing219.xml" ContentType="application/vnd.openxmlformats-officedocument.drawingml.chartshapes+xml"/>
  <Override PartName="/xl/drawings/drawing220.xml" ContentType="application/vnd.openxmlformats-officedocument.drawing+xml"/>
  <Override PartName="/xl/charts/chart106.xml" ContentType="application/vnd.openxmlformats-officedocument.drawingml.chart+xml"/>
  <Override PartName="/xl/drawings/drawing221.xml" ContentType="application/vnd.openxmlformats-officedocument.drawingml.chartshapes+xml"/>
  <Override PartName="/xl/drawings/drawing222.xml" ContentType="application/vnd.openxmlformats-officedocument.drawing+xml"/>
  <Override PartName="/xl/drawings/drawing223.xml" ContentType="application/vnd.openxmlformats-officedocument.drawing+xml"/>
  <Override PartName="/xl/charts/chart107.xml" ContentType="application/vnd.openxmlformats-officedocument.drawingml.chart+xml"/>
  <Override PartName="/xl/drawings/drawing224.xml" ContentType="application/vnd.openxmlformats-officedocument.drawingml.chartshapes+xml"/>
  <Override PartName="/xl/drawings/drawing225.xml" ContentType="application/vnd.openxmlformats-officedocument.drawing+xml"/>
  <Override PartName="/xl/charts/chart108.xml" ContentType="application/vnd.openxmlformats-officedocument.drawingml.chart+xml"/>
  <Override PartName="/xl/drawings/drawing226.xml" ContentType="application/vnd.openxmlformats-officedocument.drawingml.chartshapes+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sig\02. Estadisticas\02. Informes y Metas SDSS\2016\04. Abril 2016\04. Publicacion\"/>
    </mc:Choice>
  </mc:AlternateContent>
  <bookViews>
    <workbookView xWindow="-45" yWindow="-45" windowWidth="12750" windowHeight="9660" tabRatio="785"/>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6.Empl xsexoy edad" sheetId="426" r:id="rId13"/>
    <sheet name="III.1.SFS" sheetId="327" r:id="rId14"/>
    <sheet name="III.1.1a. Def. Afil. SFS1" sheetId="317" r:id="rId15"/>
    <sheet name="III.1.1b.Def. de Afili. SFS2  " sheetId="330" r:id="rId16"/>
    <sheet name="III.1.2.Analisis SFS" sheetId="405" r:id="rId17"/>
    <sheet name="III.1.3.Afil.SFSPob.Nac." sheetId="333" r:id="rId18"/>
    <sheet name="III.1.4.Afil. SFS" sheetId="287" r:id="rId19"/>
    <sheet name="III.1.5.Cob.Afil. SFS " sheetId="332" r:id="rId20"/>
    <sheet name="III.1.6.Afil. SFS x sexo" sheetId="427" r:id="rId21"/>
    <sheet name="III.1.7.Proy. afil.Vs pobl." sheetId="334" r:id="rId22"/>
    <sheet name="III.2. SFS.RC" sheetId="299" r:id="rId23"/>
    <sheet name="III.2.1.Afil. SFS.RC " sheetId="322" r:id="rId24"/>
    <sheet name="III.2.2. Afil. SFS RC Anual " sheetId="402" r:id="rId25"/>
    <sheet name="III.2.3. Afil. SFS RC Mensual" sheetId="432" r:id="rId26"/>
    <sheet name="III.2.4.Cob.Afil. SFS RC Anual" sheetId="338" r:id="rId27"/>
    <sheet name=" III.2.5.Cob.Afil.SFSRC Mens" sheetId="341" r:id="rId28"/>
    <sheet name="III.2.6.Afil. SFS RC X sex.tipo" sheetId="434" r:id="rId29"/>
    <sheet name="III.3.SFS.RS" sheetId="294" r:id="rId30"/>
    <sheet name="III.3.1.Analis.Afil. SFS.RS1  " sheetId="323" r:id="rId31"/>
    <sheet name="III.3.2. Afil anual SFS RS " sheetId="342" r:id="rId32"/>
    <sheet name=" III.3.3.Afil.mensual SFS RS " sheetId="433" r:id="rId33"/>
    <sheet name="III.3.4.Cob.Afil anual SFS RS" sheetId="431" r:id="rId34"/>
    <sheet name="III.3.5.Cob.Afil.mens.SFS RS " sheetId="345" r:id="rId35"/>
    <sheet name="III.3.6.Afil.SFSRSsex tipo " sheetId="435" r:id="rId36"/>
    <sheet name="III.3.7. Afil. SFS RS Vs pob." sheetId="61" r:id="rId37"/>
    <sheet name="III.4.Afil.RET" sheetId="295" r:id="rId38"/>
    <sheet name="III.4.1.Afil.RET1" sheetId="324" r:id="rId39"/>
    <sheet name=" III.4.2.Afil. SFSP Anual." sheetId="377" r:id="rId40"/>
    <sheet name=" III.4.3.Afil. SFSP Mensual" sheetId="348" r:id="rId41"/>
    <sheet name=" III.4.4.Cob.Afil. SFSP Mensual" sheetId="349" r:id="rId42"/>
    <sheet name="III.5.SVDS" sheetId="297" r:id="rId43"/>
    <sheet name="III.5.1.Definición Afil. SVDS" sheetId="350" r:id="rId44"/>
    <sheet name="III.5.2.Analisis Afil. SVDS" sheetId="406" r:id="rId45"/>
    <sheet name="III.5.3.Afil. SVDS" sheetId="407" r:id="rId46"/>
    <sheet name="III.5.4.Afil. SVDS mensual" sheetId="375" r:id="rId47"/>
    <sheet name="III.5.5.Afil. cotiz." sheetId="374" r:id="rId48"/>
    <sheet name="III.5.6.Cotiz. x rango de edad" sheetId="272" r:id="rId49"/>
    <sheet name="III.5.7.Cotiz x sal. min. cot." sheetId="273" r:id="rId50"/>
    <sheet name="III.5.8.Cotiz.x AFP y fondos" sheetId="274" r:id="rId51"/>
    <sheet name="III.5.9.PEA_Pensiones_Género" sheetId="379" r:id="rId52"/>
    <sheet name="III.5.10.Cot.Afil X Sexo" sheetId="380" r:id="rId53"/>
    <sheet name="III.5.11.Traspasos anual" sheetId="381" r:id="rId54"/>
    <sheet name="III.5.12.Trasp. recibidos" sheetId="382" r:id="rId55"/>
    <sheet name="III.5.13.Trasp. cedidos" sheetId="383" r:id="rId56"/>
    <sheet name="III.5.14.Trasp. netos" sheetId="384" r:id="rId57"/>
    <sheet name="III.5.15.Afil. SVDSxprov." sheetId="446" r:id="rId58"/>
    <sheet name="III.6.SRL" sheetId="300" r:id="rId59"/>
    <sheet name="III.6.1.Definición Afil. SRL" sheetId="356" r:id="rId60"/>
    <sheet name="III.6.2.Afil. SRL.RC1 " sheetId="355" r:id="rId61"/>
    <sheet name="III.6.3.Afil. SRL" sheetId="385" r:id="rId62"/>
    <sheet name="III.6.4.Afil. SRL x sexoy edad" sheetId="386" r:id="rId63"/>
    <sheet name="III.6.5.Afil. ARL x riesgo" sheetId="387" r:id="rId64"/>
    <sheet name="III.6.6.ID. Accidentabilidad" sheetId="389" r:id="rId65"/>
    <sheet name="IV. ING._ EGR" sheetId="361" r:id="rId66"/>
    <sheet name="IV.1a.Definición Ing.Gastos)" sheetId="363" r:id="rId67"/>
    <sheet name="IV.1b.Definición Ing.Gastos" sheetId="371" r:id="rId68"/>
    <sheet name="IV.1.2. Analisis Ing.Egr" sheetId="408" r:id="rId69"/>
    <sheet name="IV.1.3. Ingr y egr SDSS" sheetId="449" r:id="rId70"/>
    <sheet name="IV.1.4. Recaudo x sector" sheetId="400" r:id="rId71"/>
    <sheet name="IV.1.5 Rec. x origen" sheetId="401" r:id="rId72"/>
    <sheet name="IV.1.6 Aport.Gob.SS" sheetId="445" r:id="rId73"/>
    <sheet name="IV.2.1 AnálisisIng.Egr.Seg" sheetId="441" r:id="rId74"/>
    <sheet name="IV.2.2. Pagos SFS A" sheetId="391" r:id="rId75"/>
    <sheet name="IV.2.3.Pagos_SFS M" sheetId="54" r:id="rId76"/>
    <sheet name="IV.2.4.Pagos x ARS" sheetId="450" r:id="rId77"/>
    <sheet name="IV.2.5.Pagos x ARS" sheetId="451" r:id="rId78"/>
    <sheet name="IV.2.6.INV_SFS x Entidad" sheetId="179" r:id="rId79"/>
    <sheet name="IV.2.7.INV_SFS x cuentas" sheetId="177" r:id="rId80"/>
    <sheet name="IV.2.8.Aport. GOB. y Pagos RS" sheetId="72" r:id="rId81"/>
    <sheet name="IV.2.9.Saldos RS mensual" sheetId="74" r:id="rId82"/>
    <sheet name="IV.2.10 Pagos.SFS Pens." sheetId="447" r:id="rId83"/>
    <sheet name="IV.2.11.Pagos.SFS Pens.Mens." sheetId="448" r:id="rId84"/>
    <sheet name="IV.3.1.AnálisisIng.Eg.SVDS" sheetId="442" r:id="rId85"/>
    <sheet name="IV.3.2.Pagos_ SVDS" sheetId="276" r:id="rId86"/>
    <sheet name="IV.3.3.Pagos anuales x cuentas" sheetId="29" r:id="rId87"/>
    <sheet name="IV.3.4.Pago Entidades" sheetId="444" r:id="rId88"/>
    <sheet name="IV.3.5.Patrim. fp anual" sheetId="283" r:id="rId89"/>
    <sheet name="IV.3.6.Cartera de inv fp" sheetId="392" r:id="rId90"/>
    <sheet name="IV.3.7. Comp. Cartera" sheetId="393" r:id="rId91"/>
    <sheet name="IV.3.8. Rent. nom. de los FP" sheetId="394" r:id="rId92"/>
    <sheet name="IV.3.9.Rentab.Real" sheetId="395" r:id="rId93"/>
    <sheet name="IV.4.1. Analisis " sheetId="443" r:id="rId94"/>
    <sheet name="IV.4.2.Pagos ARL A" sheetId="78" r:id="rId95"/>
    <sheet name="IV.4.3.Pagos_ARL M" sheetId="79" r:id="rId96"/>
    <sheet name="V.BENEFICIOS" sheetId="362" r:id="rId97"/>
    <sheet name="V.1a SFS_EI" sheetId="296" r:id="rId98"/>
    <sheet name="V.1b. Def. EI" sheetId="326" r:id="rId99"/>
    <sheet name="V.1.2.AnalisEI" sheetId="411" r:id="rId100"/>
    <sheet name="V.1.3.Afil.EI" sheetId="425" r:id="rId101"/>
    <sheet name="V.1.4.Afil.EI" sheetId="412" r:id="rId102"/>
    <sheet name="V.2.SUBSIDIO_SFS" sheetId="364" r:id="rId103"/>
    <sheet name="V.2.1.SUBSIDIO_SFS Def." sheetId="437" r:id="rId104"/>
    <sheet name="V.2.2.Análisis" sheetId="438" r:id="rId105"/>
    <sheet name=" V.2.3.Benef. subsid " sheetId="397" r:id="rId106"/>
    <sheet name="V.2.4. Monto subsid." sheetId="396" r:id="rId107"/>
    <sheet name="V.3.PENSIONES_SVDS" sheetId="365" r:id="rId108"/>
    <sheet name="V.3.1. Def-Análisis pens." sheetId="440" r:id="rId109"/>
    <sheet name="V.3.2 Pensiones por año" sheetId="282" r:id="rId110"/>
    <sheet name="V.3.3.Pens.Disc. AFP" sheetId="308" r:id="rId111"/>
    <sheet name="V.3.4.Pensiones Sob.Disc" sheetId="307" r:id="rId112"/>
    <sheet name="V.4.SOLIC_BEN_ARL" sheetId="366" r:id="rId113"/>
    <sheet name="V.4.1.Def-Analisis   " sheetId="415" r:id="rId114"/>
    <sheet name="V.4.2.NA. Reportes ARL" sheetId="215" r:id="rId115"/>
    <sheet name="V.4.3. NA.Cant. accid x región" sheetId="217" r:id="rId116"/>
    <sheet name="V.4.4.NA.Cant. accid x Prov" sheetId="452" r:id="rId117"/>
    <sheet name="V.4.5.NA.Cant. accid x Proced." sheetId="219" r:id="rId118"/>
    <sheet name="V.4.6. NA.Cant. accid x sector" sheetId="222" r:id="rId119"/>
    <sheet name="V.4.7. Accid x sexo" sheetId="224" r:id="rId120"/>
    <sheet name="V.4.8. Accid x rango de edad" sheetId="226" r:id="rId121"/>
    <sheet name="V.4.9.Accid x Escolaridad" sheetId="228" r:id="rId122"/>
    <sheet name="V.4.10.Accid x sector " sheetId="223" r:id="rId123"/>
    <sheet name="V.4.11.Accid x sexo" sheetId="225" r:id="rId124"/>
    <sheet name="V.4.12.Accid x edad" sheetId="227" r:id="rId125"/>
    <sheet name="V.4.13.EC. Accid. Lab" sheetId="230" r:id="rId126"/>
    <sheet name="V.4.14.EC. Accid. Lab." sheetId="229" r:id="rId127"/>
    <sheet name="V.4.15.EC. Accid. Lab x tipo" sheetId="231" r:id="rId128"/>
    <sheet name="V.4.16. EC. Accid. Lab x Lesión" sheetId="232" r:id="rId129"/>
    <sheet name="V.4.17. Accid.Lab suceso" sheetId="233" r:id="rId130"/>
    <sheet name="V.4.18. EC. x Agente daño" sheetId="235" r:id="rId131"/>
    <sheet name="V.4.19. EC. x  lugar de accid." sheetId="236" r:id="rId132"/>
    <sheet name="V.4.20.EC. Accid incapac." sheetId="238" r:id="rId133"/>
    <sheet name="V.4.21. EC. Enferm. Prof (R)" sheetId="239" r:id="rId134"/>
    <sheet name="V.4.22.EC. Accid Lab.(R)" sheetId="240" r:id="rId135"/>
    <sheet name="V.4.23. Accid. Aprobxtipo" sheetId="214" r:id="rId136"/>
    <sheet name="V.4.24. Accid. Aprob xLesión " sheetId="241" r:id="rId137"/>
    <sheet name="V.4.25.Accid.Aprob Según suc." sheetId="242" r:id="rId138"/>
    <sheet name="VI.1.Analisis CMNR" sheetId="420" r:id="rId139"/>
    <sheet name="VI.2.Status" sheetId="422" r:id="rId140"/>
    <sheet name="VI.3.Apelaciones1" sheetId="423" r:id="rId141"/>
    <sheet name="VI.4. Entidad Receptora Origen" sheetId="424" r:id="rId142"/>
    <sheet name="VII.CBSS" sheetId="455" r:id="rId143"/>
    <sheet name="VII.1. Analisis CBSS" sheetId="457" r:id="rId144"/>
    <sheet name="VII.2.CBSS Tram." sheetId="466" r:id="rId145"/>
    <sheet name="VII.3.CBSS-Benef" sheetId="465" r:id="rId146"/>
    <sheet name="VII.4.CBSS-Tramit." sheetId="459" r:id="rId147"/>
    <sheet name="VII.5.CBSS-Rel.Concl. " sheetId="462" r:id="rId148"/>
    <sheet name="VII.6.CBSS-Cert." sheetId="461" r:id="rId149"/>
    <sheet name="VII.7.CBSS.Sex" sheetId="456" r:id="rId150"/>
    <sheet name="VIII.ENFT_BC" sheetId="368" r:id="rId151"/>
    <sheet name="VIII.1 Ocup. formal" sheetId="398" r:id="rId152"/>
    <sheet name="VIII.2 Pob. econ." sheetId="399" r:id="rId153"/>
    <sheet name="IX.1.a SDSS Definiciones" sheetId="246" r:id="rId154"/>
    <sheet name="IX.1.b  SDSS Definiciones " sheetId="245" r:id="rId155"/>
    <sheet name="IX.1.c SDSS Definiciones" sheetId="247" r:id="rId156"/>
    <sheet name="IX.1.d SDSS Definiciones" sheetId="248" r:id="rId157"/>
    <sheet name="IX.2a.Logros " sheetId="316" r:id="rId158"/>
    <sheet name="IX.2b. Logros1" sheetId="315" r:id="rId159"/>
  </sheets>
  <externalReferences>
    <externalReference r:id="rId160"/>
    <externalReference r:id="rId161"/>
    <externalReference r:id="rId162"/>
    <externalReference r:id="rId163"/>
  </externalReferences>
  <definedNames>
    <definedName name="_xlnm._FilterDatabase" localSheetId="28" hidden="1">'III.2.6.Afil. SFS RC X sex.tipo'!$A$3:$G$37</definedName>
    <definedName name="_xlnm._FilterDatabase" localSheetId="35" hidden="1">'III.3.6.Afil.SFSRSsex tipo '!$B$3:$G$15</definedName>
    <definedName name="_xlnm._FilterDatabase" localSheetId="76" hidden="1">'IV.2.4.Pagos x ARS'!$B$3:$M$58</definedName>
    <definedName name="_xlnm._FilterDatabase" localSheetId="116" hidden="1">'V.4.4.NA.Cant. accid x Prov'!$A$3:$P$35</definedName>
    <definedName name="_Toc257211943" localSheetId="152">'VIII.2 Pob. econ.'!#REF!</definedName>
    <definedName name="_xlcn.WorksheetConnection_III.5.15.Afil.SVDSxprov.A3F601" hidden="1">'III.5.15.Afil. SVDSxprov.'!$A$2:$F$34</definedName>
    <definedName name="Afil" localSheetId="2">'[1]7.7.6'!#REF!</definedName>
    <definedName name="Afil" localSheetId="8">'[1]7.7.6'!#REF!</definedName>
    <definedName name="Afil" localSheetId="12">'[1]7.7.6'!#REF!</definedName>
    <definedName name="Afil" localSheetId="16">'[1]7.7.6'!#REF!</definedName>
    <definedName name="Afil" localSheetId="20">'[1]7.7.6'!#REF!</definedName>
    <definedName name="Afil" localSheetId="28">'[1]7.7.6'!#REF!</definedName>
    <definedName name="Afil" localSheetId="35">'[1]7.7.6'!#REF!</definedName>
    <definedName name="Afil" localSheetId="44">'[1]7.7.6'!#REF!</definedName>
    <definedName name="Afil" localSheetId="68">'[1]7.7.6'!#REF!</definedName>
    <definedName name="Afil" localSheetId="69">'[1]7.7.6'!#REF!</definedName>
    <definedName name="Afil" localSheetId="67">'[1]7.7.6'!#REF!</definedName>
    <definedName name="Afil" localSheetId="83">'[1]7.7.6'!#REF!</definedName>
    <definedName name="Afil" localSheetId="103">'[1]7.7.6'!#REF!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8">'[1]7.7.6'!#REF!</definedName>
    <definedName name="Afil" localSheetId="149">'[1]7.7.6'!#REF!</definedName>
    <definedName name="Afil" localSheetId="142">'[1]7.7.6'!#REF!</definedName>
    <definedName name="Afil" localSheetId="150">'[1]7.7.6'!#REF!</definedName>
    <definedName name="Afil">'[1]7.7.6'!#REF!</definedName>
    <definedName name="Afiliacion2" localSheetId="69">'[1]7.7.6'!#REF!</definedName>
    <definedName name="Afiliacion2" localSheetId="83">'[1]7.7.6'!#REF!</definedName>
    <definedName name="Afiliacion2" localSheetId="103">'[1]7.7.6'!#REF!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8">'[1]7.7.6'!#REF!</definedName>
    <definedName name="Afiliacion2" localSheetId="149">'[1]7.7.6'!#REF!</definedName>
    <definedName name="Afiliacion2" localSheetId="142">'[1]7.7.6'!#REF!</definedName>
    <definedName name="Afiliacion2">'[1]7.7.6'!#REF!</definedName>
    <definedName name="Analisis" localSheetId="12">'[1]7.7.6'!#REF!</definedName>
    <definedName name="Analisis" localSheetId="20">'[1]7.7.6'!#REF!</definedName>
    <definedName name="Analisis" localSheetId="28">'[1]7.7.6'!#REF!</definedName>
    <definedName name="Analisis" localSheetId="35">'[1]7.7.6'!#REF!</definedName>
    <definedName name="Analisis" localSheetId="68">'[1]7.7.6'!#REF!</definedName>
    <definedName name="Analisis" localSheetId="69">'[1]7.7.6'!#REF!</definedName>
    <definedName name="Analisis" localSheetId="83">'[1]7.7.6'!#REF!</definedName>
    <definedName name="Analisis" localSheetId="103">'[1]7.7.6'!#REF!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8">'[1]7.7.6'!#REF!</definedName>
    <definedName name="Analisis" localSheetId="149">'[1]7.7.6'!#REF!</definedName>
    <definedName name="Analisis" localSheetId="142">'[1]7.7.6'!#REF!</definedName>
    <definedName name="Analisis">'[1]7.7.6'!#REF!</definedName>
    <definedName name="_xlnm.Print_Area" localSheetId="10">' II.4.Empr x No. de empl'!$A$1:$N$62</definedName>
    <definedName name="_xlnm.Print_Area" localSheetId="27">' III.2.5.Cob.Afil.SFSRC Mens'!$A$1:$P$51</definedName>
    <definedName name="_xlnm.Print_Area" localSheetId="32">' III.3.3.Afil.mensual SFS RS '!$A$1:$N$43</definedName>
    <definedName name="_xlnm.Print_Area" localSheetId="39">' III.4.2.Afil. SFSP Anual.'!$A$1:$K$43</definedName>
    <definedName name="_xlnm.Print_Area" localSheetId="40">' III.4.3.Afil. SFSP Mensual'!$A$1:$L$53</definedName>
    <definedName name="_xlnm.Print_Area" localSheetId="41">' III.4.4.Cob.Afil. SFSP Mensual'!$A$1:$M$53</definedName>
    <definedName name="_xlnm.Print_Area" localSheetId="105">' V.2.3.Benef. subsid '!$A$1:$N$37</definedName>
    <definedName name="_xlnm.Print_Area" localSheetId="1">Contenido!$A$1:$A$204</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SDSS.Definición'!$A$1:$N$46</definedName>
    <definedName name="_xlnm.Print_Area" localSheetId="8">'II.2.Analisis SDSS'!$A$1:$M$36</definedName>
    <definedName name="_xlnm.Print_Area" localSheetId="9">'II.3. Empl x sector '!$A$1:$N$39</definedName>
    <definedName name="_xlnm.Print_Area" localSheetId="11">'II.5 Salario prom.'!$A$1:$N$77</definedName>
    <definedName name="_xlnm.Print_Area" localSheetId="12">'II.6.Empl xsexoy edad'!$A$1:$N$68</definedName>
    <definedName name="_xlnm.Print_Area" localSheetId="6">II.SDSS!$A$1:$M$45</definedName>
    <definedName name="_xlnm.Print_Area" localSheetId="14">'III.1.1a. Def. Afil. SFS1'!$A$1:$M$43</definedName>
    <definedName name="_xlnm.Print_Area" localSheetId="15">'III.1.1b.Def. de Afili. SFS2  '!$A$1:$M$50</definedName>
    <definedName name="_xlnm.Print_Area" localSheetId="16">'III.1.2.Analisis SFS'!$A$1:$M$39</definedName>
    <definedName name="_xlnm.Print_Area" localSheetId="17">III.1.3.Afil.SFSPob.Nac.!$A$1:$P$47</definedName>
    <definedName name="_xlnm.Print_Area" localSheetId="18">'III.1.4.Afil. SFS'!$A$1:$Q$44</definedName>
    <definedName name="_xlnm.Print_Area" localSheetId="19">'III.1.5.Cob.Afil. SFS '!$A$1:$Q$44</definedName>
    <definedName name="_xlnm.Print_Area" localSheetId="20">'III.1.6.Afil. SFS x sexo'!$B$1:$Q$42</definedName>
    <definedName name="_xlnm.Print_Area" localSheetId="21">'III.1.7.Proy. afil.Vs pobl.'!$A$1:$P$69</definedName>
    <definedName name="_xlnm.Print_Area" localSheetId="13">III.1.SFS!$A$1:$M$45</definedName>
    <definedName name="_xlnm.Print_Area" localSheetId="22">'III.2. SFS.RC'!$A$1:$K$45</definedName>
    <definedName name="_xlnm.Print_Area" localSheetId="23">'III.2.1.Afil. SFS.RC '!$A$1:$L$48</definedName>
    <definedName name="_xlnm.Print_Area" localSheetId="24">'III.2.2. Afil. SFS RC Anual '!$A$1:$P$42</definedName>
    <definedName name="_xlnm.Print_Area" localSheetId="25">'III.2.3. Afil. SFS RC Mensual'!$A$1:$P$42</definedName>
    <definedName name="_xlnm.Print_Area" localSheetId="26">'III.2.4.Cob.Afil. SFS RC Anual'!$A$1:$P$40</definedName>
    <definedName name="_xlnm.Print_Area" localSheetId="28">'III.2.6.Afil. SFS RC X sex.tipo'!$A$1:$N$61</definedName>
    <definedName name="_xlnm.Print_Area" localSheetId="30">'III.3.1.Analis.Afil. SFS.RS1  '!$A$1:$M$38</definedName>
    <definedName name="_xlnm.Print_Area" localSheetId="31">'III.3.2. Afil anual SFS RS '!$B$1:$O$56</definedName>
    <definedName name="_xlnm.Print_Area" localSheetId="33">'III.3.4.Cob.Afil anual SFS RS'!$A$1:$N$45</definedName>
    <definedName name="_xlnm.Print_Area" localSheetId="34">'III.3.5.Cob.Afil.mens.SFS RS '!$A$1:$N$50</definedName>
    <definedName name="_xlnm.Print_Area" localSheetId="35">'III.3.6.Afil.SFSRSsex tipo '!$B$1:$O$40</definedName>
    <definedName name="_xlnm.Print_Area" localSheetId="36">'III.3.7. Afil. SFS RS Vs pob.'!$A$1:$K$61</definedName>
    <definedName name="_xlnm.Print_Area" localSheetId="29">III.3.SFS.RS!$A$1:$M$39</definedName>
    <definedName name="_xlnm.Print_Area" localSheetId="38">III.4.1.Afil.RET1!$A$1:$L$32</definedName>
    <definedName name="_xlnm.Print_Area" localSheetId="37">III.4.Afil.RET!$A$1:$M$45</definedName>
    <definedName name="_xlnm.Print_Area" localSheetId="43">'III.5.1.Definición Afil. SVDS'!$A$1:$M$46</definedName>
    <definedName name="_xlnm.Print_Area" localSheetId="52">'III.5.10.Cot.Afil X Sexo'!$A$1:$O$65</definedName>
    <definedName name="_xlnm.Print_Area" localSheetId="53">'III.5.11.Traspasos anual'!$A$1:$Q$58</definedName>
    <definedName name="_xlnm.Print_Area" localSheetId="54">'III.5.12.Trasp. recibidos'!$A$1:$Q$53</definedName>
    <definedName name="_xlnm.Print_Area" localSheetId="55">'III.5.13.Trasp. cedidos'!$A$1:$Q$54</definedName>
    <definedName name="_xlnm.Print_Area" localSheetId="56">'III.5.14.Trasp. netos'!$A$1:$S$58</definedName>
    <definedName name="_xlnm.Print_Area" localSheetId="57">'III.5.15.Afil. SVDSxprov.'!$A$1:$K$42</definedName>
    <definedName name="_xlnm.Print_Area" localSheetId="44">'III.5.2.Analisis Afil. SVDS'!$A$1:$M$40</definedName>
    <definedName name="_xlnm.Print_Area" localSheetId="45">'III.5.3.Afil. SVDS'!$A$1:$N$50</definedName>
    <definedName name="_xlnm.Print_Area" localSheetId="46">'III.5.4.Afil. SVDS mensual'!$A$1:$N$54</definedName>
    <definedName name="_xlnm.Print_Area" localSheetId="47">'III.5.5.Afil. cotiz.'!$A$1:$O$56</definedName>
    <definedName name="_xlnm.Print_Area" localSheetId="48">'III.5.6.Cotiz. x rango de edad'!$A$1:$L$39</definedName>
    <definedName name="_xlnm.Print_Area" localSheetId="49">'III.5.7.Cotiz x sal. min. cot.'!$A$1:$L$38</definedName>
    <definedName name="_xlnm.Print_Area" localSheetId="50">'III.5.8.Cotiz.x AFP y fondos'!$A$1:$L$44</definedName>
    <definedName name="_xlnm.Print_Area" localSheetId="51">III.5.9.PEA_Pensiones_Género!$A$1:$N$50</definedName>
    <definedName name="_xlnm.Print_Area" localSheetId="42">III.5.SVDS!$A$1:$P$53</definedName>
    <definedName name="_xlnm.Print_Area" localSheetId="59">'III.6.1.Definición Afil. SRL'!$A$1:$M$49</definedName>
    <definedName name="_xlnm.Print_Area" localSheetId="60">'III.6.2.Afil. SRL.RC1 '!$A$1:$I$31</definedName>
    <definedName name="_xlnm.Print_Area" localSheetId="61">'III.6.3.Afil. SRL'!$A$1:$O$56</definedName>
    <definedName name="_xlnm.Print_Area" localSheetId="62">'III.6.4.Afil. SRL x sexoy edad'!$A$1:$M$90</definedName>
    <definedName name="_xlnm.Print_Area" localSheetId="63">'III.6.5.Afil. ARL x riesgo'!$A$1:$N$55</definedName>
    <definedName name="_xlnm.Print_Area" localSheetId="64">'III.6.6.ID. Accidentabilidad'!$A$1:$J$58</definedName>
    <definedName name="_xlnm.Print_Area" localSheetId="58">III.6.SRL!$A$1:$L$34</definedName>
    <definedName name="_xlnm.Print_Area" localSheetId="65">'IV. ING._ EGR'!$A$1:$L$34</definedName>
    <definedName name="_xlnm.Print_Area" localSheetId="68">'IV.1.2. Analisis Ing.Egr'!$A$1:$L$40</definedName>
    <definedName name="_xlnm.Print_Area" localSheetId="69">'IV.1.3. Ingr y egr SDSS'!$A$1:$N$74</definedName>
    <definedName name="_xlnm.Print_Area" localSheetId="70">'IV.1.4. Recaudo x sector'!$A$1:$J$47</definedName>
    <definedName name="_xlnm.Print_Area" localSheetId="71">'IV.1.5 Rec. x origen'!$A$1:$K$50</definedName>
    <definedName name="_xlnm.Print_Area" localSheetId="72">'IV.1.6 Aport.Gob.SS'!$A$1:$K$51</definedName>
    <definedName name="_xlnm.Print_Area" localSheetId="66">'IV.1a.Definición Ing.Gastos)'!$A$1:$N$53</definedName>
    <definedName name="_xlnm.Print_Area" localSheetId="67">'IV.1b.Definición Ing.Gastos'!$A$1:$N$49</definedName>
    <definedName name="_xlnm.Print_Area" localSheetId="73">'IV.2.1 AnálisisIng.Egr.Seg'!$A$1:$L$46</definedName>
    <definedName name="_xlnm.Print_Area" localSheetId="82">'IV.2.10 Pagos.SFS Pens.'!$A$1:$J$53</definedName>
    <definedName name="_xlnm.Print_Area" localSheetId="83">'IV.2.11.Pagos.SFS Pens.Mens.'!$A$1:$M$57</definedName>
    <definedName name="_xlnm.Print_Area" localSheetId="74">'IV.2.2. Pagos SFS A'!$A$1:$N$57</definedName>
    <definedName name="_xlnm.Print_Area" localSheetId="75">'IV.2.3.Pagos_SFS M'!$A$1:$K$46</definedName>
    <definedName name="_xlnm.Print_Area" localSheetId="76">'IV.2.4.Pagos x ARS'!$A$1:$M$82</definedName>
    <definedName name="_xlnm.Print_Area" localSheetId="77">'IV.2.5.Pagos x ARS'!$A$1:$K$53</definedName>
    <definedName name="_xlnm.Print_Area" localSheetId="78">'IV.2.6.INV_SFS x Entidad'!$A$1:$J$51</definedName>
    <definedName name="_xlnm.Print_Area" localSheetId="79">'IV.2.7.INV_SFS x cuentas'!$A$1:$K$44</definedName>
    <definedName name="_xlnm.Print_Area" localSheetId="80">'IV.2.8.Aport. GOB. y Pagos RS'!$A$1:$L$64</definedName>
    <definedName name="_xlnm.Print_Area" localSheetId="81">'IV.2.9.Saldos RS mensual'!$A$1:$L$49</definedName>
    <definedName name="_xlnm.Print_Area" localSheetId="84">IV.3.1.AnálisisIng.Eg.SVDS!$A$1:$L$51</definedName>
    <definedName name="_xlnm.Print_Area" localSheetId="85">'IV.3.2.Pagos_ SVDS'!$A$1:$L$59</definedName>
    <definedName name="_xlnm.Print_Area" localSheetId="86">'IV.3.3.Pagos anuales x cuentas'!$A$1:$P$39</definedName>
    <definedName name="_xlnm.Print_Area" localSheetId="87">'IV.3.4.Pago Entidades'!$A$1:$L$72</definedName>
    <definedName name="_xlnm.Print_Area" localSheetId="88">'IV.3.5.Patrim. fp anual'!$A$1:$J$43</definedName>
    <definedName name="_xlnm.Print_Area" localSheetId="89">'IV.3.6.Cartera de inv fp'!$A$1:$J$54</definedName>
    <definedName name="_xlnm.Print_Area" localSheetId="90">'IV.3.7. Comp. Cartera'!$A$1:$H$52</definedName>
    <definedName name="_xlnm.Print_Area" localSheetId="91">'IV.3.8. Rent. nom. de los FP'!$A$1:$S$114</definedName>
    <definedName name="_xlnm.Print_Area" localSheetId="92">IV.3.9.Rentab.Real!$A$1:$Q$67</definedName>
    <definedName name="_xlnm.Print_Area" localSheetId="93">'IV.4.1. Analisis '!$A$1:$J$29</definedName>
    <definedName name="_xlnm.Print_Area" localSheetId="94">'IV.4.2.Pagos ARL A'!$A$1:$L$53</definedName>
    <definedName name="_xlnm.Print_Area" localSheetId="95">'IV.4.3.Pagos_ARL M'!$A$1:$L$45</definedName>
    <definedName name="_xlnm.Print_Area" localSheetId="153">'IX.1.a SDSS Definiciones'!$A$1:$P$4</definedName>
    <definedName name="_xlnm.Print_Area" localSheetId="154">'IX.1.b  SDSS Definiciones '!$A$1:$P$4</definedName>
    <definedName name="_xlnm.Print_Area" localSheetId="155">'IX.1.c SDSS Definiciones'!$A$1:$P$5</definedName>
    <definedName name="_xlnm.Print_Area" localSheetId="156">'IX.1.d SDSS Definiciones'!$A$1:$P$4</definedName>
    <definedName name="_xlnm.Print_Area" localSheetId="157">'IX.2a.Logros '!$A$1:$M$45</definedName>
    <definedName name="_xlnm.Print_Area" localSheetId="158">'IX.2b. Logros1'!$A$1:$M$38</definedName>
    <definedName name="_xlnm.Print_Area" localSheetId="0">'Present. '!$A$1:$M$102</definedName>
    <definedName name="_xlnm.Print_Area" localSheetId="99">V.1.2.AnalisEI!$A$1:$K$33</definedName>
    <definedName name="_xlnm.Print_Area" localSheetId="100">V.1.3.Afil.EI!$A$1:$K$58</definedName>
    <definedName name="_xlnm.Print_Area" localSheetId="101">V.1.4.Afil.EI!$A$1:$I$43</definedName>
    <definedName name="_xlnm.Print_Area" localSheetId="97">'V.1a SFS_EI'!$A$1:$N$38</definedName>
    <definedName name="_xlnm.Print_Area" localSheetId="98">'V.1b. Def. EI'!$A$1:$N$38</definedName>
    <definedName name="_xlnm.Print_Area" localSheetId="103">'V.2.1.SUBSIDIO_SFS Def.'!$A$1:$O$43</definedName>
    <definedName name="_xlnm.Print_Area" localSheetId="104">V.2.2.Análisis!$A$1:$L$32</definedName>
    <definedName name="_xlnm.Print_Area" localSheetId="106">'V.2.4. Monto subsid.'!$A$1:$O$34</definedName>
    <definedName name="_xlnm.Print_Area" localSheetId="102">V.2.SUBSIDIO_SFS!$A$1:$P$42</definedName>
    <definedName name="_xlnm.Print_Area" localSheetId="108">'V.3.1. Def-Análisis pens.'!$A$1:$L$31</definedName>
    <definedName name="_xlnm.Print_Area" localSheetId="109">'V.3.2 Pensiones por año'!$A$1:$L$61</definedName>
    <definedName name="_xlnm.Print_Area" localSheetId="110">'V.3.3.Pens.Disc. AFP'!$A$1:$N$55</definedName>
    <definedName name="_xlnm.Print_Area" localSheetId="111">'V.3.4.Pensiones Sob.Disc'!$A$1:$I$34</definedName>
    <definedName name="_xlnm.Print_Area" localSheetId="107">V.3.PENSIONES_SVDS!$A$1:$L$38</definedName>
    <definedName name="_xlnm.Print_Area" localSheetId="113">'V.4.1.Def-Analisis   '!$A$1:$N$41</definedName>
    <definedName name="_xlnm.Print_Area" localSheetId="122">'V.4.10.Accid x sector '!$A$1:$L$43</definedName>
    <definedName name="_xlnm.Print_Area" localSheetId="123">'V.4.11.Accid x sexo'!$A$1:$L$43</definedName>
    <definedName name="_xlnm.Print_Area" localSheetId="124">'V.4.12.Accid x edad'!$A$1:$U$62</definedName>
    <definedName name="_xlnm.Print_Area" localSheetId="125">'V.4.13.EC. Accid. Lab'!$A$1:$J$44</definedName>
    <definedName name="_xlnm.Print_Area" localSheetId="126">'V.4.14.EC. Accid. Lab.'!$A$1:$L$45</definedName>
    <definedName name="_xlnm.Print_Area" localSheetId="127">'V.4.15.EC. Accid. Lab x tipo'!$A$1:$L$46</definedName>
    <definedName name="_xlnm.Print_Area" localSheetId="128">'V.4.16. EC. Accid. Lab x Lesión'!$A$1:$N$45</definedName>
    <definedName name="_xlnm.Print_Area" localSheetId="129">'V.4.17. Accid.Lab suceso'!$A$1:$N$45</definedName>
    <definedName name="_xlnm.Print_Area" localSheetId="130">'V.4.18. EC. x Agente daño'!$A$1:$O$44</definedName>
    <definedName name="_xlnm.Print_Area" localSheetId="131">'V.4.19. EC. x  lugar de accid.'!$A$1:$N$57</definedName>
    <definedName name="_xlnm.Print_Area" localSheetId="114">'V.4.2.NA. Reportes ARL'!$A$1:$J$54</definedName>
    <definedName name="_xlnm.Print_Area" localSheetId="132">'V.4.20.EC. Accid incapac.'!$A$1:$O$54</definedName>
    <definedName name="_xlnm.Print_Area" localSheetId="133">'V.4.21. EC. Enferm. Prof (R)'!$A$1:$L$49</definedName>
    <definedName name="_xlnm.Print_Area" localSheetId="134">'V.4.22.EC. Accid Lab.(R)'!$A$1:$L$45</definedName>
    <definedName name="_xlnm.Print_Area" localSheetId="135">'V.4.23. Accid. Aprobxtipo'!$A$1:$M$45</definedName>
    <definedName name="_xlnm.Print_Area" localSheetId="136">'V.4.24. Accid. Aprob xLesión '!$A$1:$L$45</definedName>
    <definedName name="_xlnm.Print_Area" localSheetId="137">'V.4.25.Accid.Aprob Según suc.'!$A$1:$N$45</definedName>
    <definedName name="_xlnm.Print_Area" localSheetId="115">'V.4.3. NA.Cant. accid x región'!$A$1:$T$60</definedName>
    <definedName name="_xlnm.Print_Area" localSheetId="116">'V.4.4.NA.Cant. accid x Prov'!$A$1:$Q$65</definedName>
    <definedName name="_xlnm.Print_Area" localSheetId="117">'V.4.5.NA.Cant. accid x Proced.'!$A$1:$L$51</definedName>
    <definedName name="_xlnm.Print_Area" localSheetId="118">'V.4.6. NA.Cant. accid x sector'!$A$1:$L$46</definedName>
    <definedName name="_xlnm.Print_Area" localSheetId="119">'V.4.7. Accid x sexo'!$A$1:$J$44</definedName>
    <definedName name="_xlnm.Print_Area" localSheetId="120">'V.4.8. Accid x rango de edad'!$A$1:$N$59</definedName>
    <definedName name="_xlnm.Print_Area" localSheetId="121">'V.4.9.Accid x Escolaridad'!$A$1:$M$51</definedName>
    <definedName name="_xlnm.Print_Area" localSheetId="112">V.4.SOLIC_BEN_ARL!$A$1:$M$41</definedName>
    <definedName name="_xlnm.Print_Area" localSheetId="96">V.BENEFICIOS!$A$1:$L$34</definedName>
    <definedName name="_xlnm.Print_Area" localSheetId="138">'VI.1.Analisis CMNR'!$A$1:$L$33</definedName>
    <definedName name="_xlnm.Print_Area" localSheetId="139">VI.2.Status!$A$1:$N$52</definedName>
    <definedName name="_xlnm.Print_Area" localSheetId="140">VI.3.Apelaciones1!$A$1:$M$50</definedName>
    <definedName name="_xlnm.Print_Area" localSheetId="141">'VI.4. Entidad Receptora Origen'!$A$1:$M$37</definedName>
    <definedName name="_xlnm.Print_Area" localSheetId="143">'VII.1. Analisis CBSS'!$A$1:$L$35</definedName>
    <definedName name="_xlnm.Print_Area" localSheetId="144">'VII.2.CBSS Tram.'!$A$1:$Q$50</definedName>
    <definedName name="_xlnm.Print_Area" localSheetId="145">'VII.3.CBSS-Benef'!$A$1:$N$57</definedName>
    <definedName name="_xlnm.Print_Area" localSheetId="146">'VII.4.CBSS-Tramit.'!$A$1:$P$46</definedName>
    <definedName name="_xlnm.Print_Area" localSheetId="147">'VII.5.CBSS-Rel.Concl. '!$A$1:$O$54</definedName>
    <definedName name="_xlnm.Print_Area" localSheetId="148">'VII.6.CBSS-Cert.'!$A$1:$N$53</definedName>
    <definedName name="_xlnm.Print_Area" localSheetId="149">VII.7.CBSS.Sex!$A$1:$Q$47</definedName>
    <definedName name="_xlnm.Print_Area" localSheetId="142">VII.CBSS!$A$1:$H$26</definedName>
    <definedName name="_xlnm.Print_Area" localSheetId="151">'VIII.1 Ocup. formal'!$A$1:$P$46</definedName>
    <definedName name="_xlnm.Print_Area" localSheetId="152">'VIII.2 Pob. econ.'!$A$1:$L$52</definedName>
    <definedName name="_xlnm.Print_Area" localSheetId="150">VIII.ENFT_BC!$A$1:$H$26</definedName>
    <definedName name="Área_de_impresión1">'[1]7.7.6'!$A$1:$AQ$58</definedName>
    <definedName name="Área_de_impresión2" localSheetId="27">'[1]7.7.6'!#REF!</definedName>
    <definedName name="Área_de_impresión2" localSheetId="32">'[1]7.7.6'!#REF!</definedName>
    <definedName name="Área_de_impresión2" localSheetId="41">'[1]7.7.6'!#REF!</definedName>
    <definedName name="Área_de_impresión2" localSheetId="2">'[1]7.7.6'!#REF!</definedName>
    <definedName name="Área_de_impresión2" localSheetId="8">'[1]7.7.6'!#REF!</definedName>
    <definedName name="Área_de_impresión2" localSheetId="12">'[1]7.7.6'!#REF!</definedName>
    <definedName name="Área_de_impresión2" localSheetId="16">'[1]7.7.6'!#REF!</definedName>
    <definedName name="Área_de_impresión2" localSheetId="20">'[1]7.7.6'!#REF!</definedName>
    <definedName name="Área_de_impresión2" localSheetId="25">'[1]7.7.6'!#REF!</definedName>
    <definedName name="Área_de_impresión2" localSheetId="26">'[1]7.7.6'!#REF!</definedName>
    <definedName name="Área_de_impresión2" localSheetId="28">'[1]7.7.6'!#REF!</definedName>
    <definedName name="Área_de_impresión2" localSheetId="33">'[1]7.7.6'!#REF!</definedName>
    <definedName name="Área_de_impresión2" localSheetId="34">'[1]7.7.6'!#REF!</definedName>
    <definedName name="Área_de_impresión2" localSheetId="35">'[1]7.7.6'!#REF!</definedName>
    <definedName name="Área_de_impresión2" localSheetId="43">'[1]7.7.6'!#REF!</definedName>
    <definedName name="Área_de_impresión2" localSheetId="44">'[1]7.7.6'!#REF!</definedName>
    <definedName name="Área_de_impresión2" localSheetId="59">'[1]7.7.6'!#REF!</definedName>
    <definedName name="Área_de_impresión2" localSheetId="60">'[1]7.7.6'!#REF!</definedName>
    <definedName name="Área_de_impresión2" localSheetId="65">'[1]7.7.6'!#REF!</definedName>
    <definedName name="Área_de_impresión2" localSheetId="68">'[1]7.7.6'!#REF!</definedName>
    <definedName name="Área_de_impresión2" localSheetId="69">'[1]7.7.6'!#REF!</definedName>
    <definedName name="Área_de_impresión2" localSheetId="72">'[1]7.7.6'!#REF!</definedName>
    <definedName name="Área_de_impresión2" localSheetId="66">'[1]7.7.6'!#REF!</definedName>
    <definedName name="Área_de_impresión2" localSheetId="67">'[1]7.7.6'!#REF!</definedName>
    <definedName name="Área_de_impresión2" localSheetId="83">'[1]7.7.6'!#REF!</definedName>
    <definedName name="Área_de_impresión2" localSheetId="87">'[1]7.7.6'!#REF!</definedName>
    <definedName name="Área_de_impresión2" localSheetId="100">'[1]7.7.6'!#REF!</definedName>
    <definedName name="Área_de_impresión2" localSheetId="101">'[1]7.7.6'!#REF!</definedName>
    <definedName name="Área_de_impresión2" localSheetId="103">'[1]7.7.6'!#REF!</definedName>
    <definedName name="Área_de_impresión2" localSheetId="102">'[1]7.7.6'!#REF!</definedName>
    <definedName name="Área_de_impresión2" localSheetId="107">'[1]7.7.6'!#REF!</definedName>
    <definedName name="Área_de_impresión2" localSheetId="112">'[1]7.7.6'!#REF!</definedName>
    <definedName name="Área_de_impresión2" localSheetId="96">'[1]7.7.6'!#REF!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8">'[1]7.7.6'!#REF!</definedName>
    <definedName name="Área_de_impresión2" localSheetId="149">'[1]7.7.6'!#REF!</definedName>
    <definedName name="Área_de_impresión2" localSheetId="142">'[1]7.7.6'!#REF!</definedName>
    <definedName name="Área_de_impresión2" localSheetId="152">'[1]7.7.6'!#REF!</definedName>
    <definedName name="Área_de_impresión2" localSheetId="150">'[1]7.7.6'!#REF!</definedName>
    <definedName name="Área_de_impresión2">'[1]7.7.6'!#REF!</definedName>
    <definedName name="BEN" localSheetId="2">'[1]7.7.6'!#REF!</definedName>
    <definedName name="BEN" localSheetId="8">'[1]7.7.6'!#REF!</definedName>
    <definedName name="BEN" localSheetId="12">'[1]7.7.6'!#REF!</definedName>
    <definedName name="BEN" localSheetId="16">'[1]7.7.6'!#REF!</definedName>
    <definedName name="BEN" localSheetId="20">'[1]7.7.6'!#REF!</definedName>
    <definedName name="BEN" localSheetId="28">'[1]7.7.6'!#REF!</definedName>
    <definedName name="BEN" localSheetId="35">'[1]7.7.6'!#REF!</definedName>
    <definedName name="BEN" localSheetId="44">'[1]7.7.6'!#REF!</definedName>
    <definedName name="BEN" localSheetId="68">'[1]7.7.6'!#REF!</definedName>
    <definedName name="BEN" localSheetId="69">'[1]7.7.6'!#REF!</definedName>
    <definedName name="BEN" localSheetId="67">'[1]7.7.6'!#REF!</definedName>
    <definedName name="BEN" localSheetId="83">'[1]7.7.6'!#REF!</definedName>
    <definedName name="BEN" localSheetId="103">'[1]7.7.6'!#REF!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8">'[1]7.7.6'!#REF!</definedName>
    <definedName name="BEN" localSheetId="149">'[1]7.7.6'!#REF!</definedName>
    <definedName name="BEN" localSheetId="142">'[1]7.7.6'!#REF!</definedName>
    <definedName name="BEN" localSheetId="150">'[1]7.7.6'!#REF!</definedName>
    <definedName name="BEN">'[1]7.7.6'!#REF!</definedName>
    <definedName name="Beneficios" localSheetId="2">'[1]7.7.6'!#REF!</definedName>
    <definedName name="Beneficios" localSheetId="8">'[1]7.7.6'!#REF!</definedName>
    <definedName name="Beneficios" localSheetId="12">'[1]7.7.6'!#REF!</definedName>
    <definedName name="Beneficios" localSheetId="16">'[1]7.7.6'!#REF!</definedName>
    <definedName name="Beneficios" localSheetId="20">'[1]7.7.6'!#REF!</definedName>
    <definedName name="Beneficios" localSheetId="28">'[1]7.7.6'!#REF!</definedName>
    <definedName name="Beneficios" localSheetId="35">'[1]7.7.6'!#REF!</definedName>
    <definedName name="Beneficios" localSheetId="44">'[1]7.7.6'!#REF!</definedName>
    <definedName name="Beneficios" localSheetId="68">'[1]7.7.6'!#REF!</definedName>
    <definedName name="Beneficios" localSheetId="69">'[1]7.7.6'!#REF!</definedName>
    <definedName name="Beneficios" localSheetId="66">'[1]7.7.6'!#REF!</definedName>
    <definedName name="Beneficios" localSheetId="67">'[1]7.7.6'!#REF!</definedName>
    <definedName name="Beneficios" localSheetId="83">'[1]7.7.6'!#REF!</definedName>
    <definedName name="Beneficios" localSheetId="103">'[1]7.7.6'!#REF!</definedName>
    <definedName name="Beneficios" localSheetId="102">'[1]7.7.6'!#REF!</definedName>
    <definedName name="Beneficios" localSheetId="107">'[1]7.7.6'!#REF!</definedName>
    <definedName name="Beneficios" localSheetId="11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8">'[1]7.7.6'!#REF!</definedName>
    <definedName name="Beneficios" localSheetId="149">'[1]7.7.6'!#REF!</definedName>
    <definedName name="Beneficios" localSheetId="142">'[1]7.7.6'!#REF!</definedName>
    <definedName name="Beneficios" localSheetId="150">'[1]7.7.6'!#REF!</definedName>
    <definedName name="Beneficios">'[1]7.7.6'!#REF!</definedName>
    <definedName name="CCI">'[1]7.7.6'!$A$1:$R$57</definedName>
    <definedName name="CompCartraEntid" localSheetId="57">'[1]7.7.6'!#REF!</definedName>
    <definedName name="CompCartraEntid" localSheetId="69">'[1]7.7.6'!#REF!</definedName>
    <definedName name="CompCartraEntid" localSheetId="83">'[1]7.7.6'!#REF!</definedName>
    <definedName name="CompCartraEntid" localSheetId="116">'[1]7.7.6'!#REF!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8">'[1]7.7.6'!#REF!</definedName>
    <definedName name="CompCartraEntid" localSheetId="149">'[1]7.7.6'!#REF!</definedName>
    <definedName name="CompCartraEntid" localSheetId="142">'[1]7.7.6'!#REF!</definedName>
    <definedName name="CompCartraEntid">'[1]7.7.6'!#REF!</definedName>
    <definedName name="Compl">'[1]7.7.6'!$AA$1:$AJ$57</definedName>
    <definedName name="cualquiercosa" localSheetId="57">'[1]7.7.6'!#REF!</definedName>
    <definedName name="cualquiercosa" localSheetId="69">'[1]7.7.6'!#REF!</definedName>
    <definedName name="cualquiercosa" localSheetId="83">'[1]7.7.6'!#REF!</definedName>
    <definedName name="cualquiercosa" localSheetId="116">'[1]7.7.6'!#REF!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8">'[1]7.7.6'!#REF!</definedName>
    <definedName name="cualquiercosa" localSheetId="149">'[1]7.7.6'!#REF!</definedName>
    <definedName name="cualquiercosa" localSheetId="142">'[1]7.7.6'!#REF!</definedName>
    <definedName name="cualquiercosa">'[1]7.7.6'!#REF!</definedName>
    <definedName name="cualquiercosa3" localSheetId="57">'[1]7.7.6'!#REF!</definedName>
    <definedName name="cualquiercosa3" localSheetId="69">'[1]7.7.6'!#REF!</definedName>
    <definedName name="cualquiercosa3" localSheetId="83">'[1]7.7.6'!#REF!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8">'[1]7.7.6'!#REF!</definedName>
    <definedName name="cualquiercosa3" localSheetId="149">'[1]7.7.6'!#REF!</definedName>
    <definedName name="cualquiercosa3" localSheetId="142">'[1]7.7.6'!#REF!</definedName>
    <definedName name="cualquiercosa3">'[1]7.7.6'!#REF!</definedName>
    <definedName name="cualquiercosa5" localSheetId="57">'[1]7.7.6'!#REF!</definedName>
    <definedName name="cualquiercosa5" localSheetId="69">'[1]7.7.6'!#REF!</definedName>
    <definedName name="cualquiercosa5" localSheetId="83">'[1]7.7.6'!#REF!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8">'[1]7.7.6'!#REF!</definedName>
    <definedName name="cualquiercosa5" localSheetId="149">'[1]7.7.6'!#REF!</definedName>
    <definedName name="cualquiercosa5" localSheetId="142">'[1]7.7.6'!#REF!</definedName>
    <definedName name="cualquiercosa5">'[1]7.7.6'!#REF!</definedName>
    <definedName name="cualquiercosa6" localSheetId="57">'[1]7.7.6'!#REF!</definedName>
    <definedName name="cualquiercosa6" localSheetId="69">'[1]7.7.6'!#REF!</definedName>
    <definedName name="cualquiercosa6" localSheetId="83">'[1]7.7.6'!#REF!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8">'[1]7.7.6'!#REF!</definedName>
    <definedName name="cualquiercosa6" localSheetId="149">'[1]7.7.6'!#REF!</definedName>
    <definedName name="cualquiercosa6" localSheetId="142">'[1]7.7.6'!#REF!</definedName>
    <definedName name="cualquiercosa6">'[1]7.7.6'!#REF!</definedName>
    <definedName name="Egresos" localSheetId="32">'[1]7.7.6'!#REF!</definedName>
    <definedName name="Egresos" localSheetId="2">'[1]7.7.6'!#REF!</definedName>
    <definedName name="Egresos" localSheetId="8">'[1]7.7.6'!#REF!</definedName>
    <definedName name="Egresos" localSheetId="12">'[1]7.7.6'!#REF!</definedName>
    <definedName name="Egresos" localSheetId="16">'[1]7.7.6'!#REF!</definedName>
    <definedName name="Egresos" localSheetId="20">'[1]7.7.6'!#REF!</definedName>
    <definedName name="Egresos" localSheetId="25">'[1]7.7.6'!#REF!</definedName>
    <definedName name="Egresos" localSheetId="28">'[1]7.7.6'!#REF!</definedName>
    <definedName name="Egresos" localSheetId="33">'[1]7.7.6'!#REF!</definedName>
    <definedName name="Egresos" localSheetId="35">'[1]7.7.6'!#REF!</definedName>
    <definedName name="Egresos" localSheetId="44">'[1]7.7.6'!#REF!</definedName>
    <definedName name="Egresos" localSheetId="68">'[1]7.7.6'!#REF!</definedName>
    <definedName name="Egresos" localSheetId="69">'[1]7.7.6'!#REF!</definedName>
    <definedName name="Egresos" localSheetId="83">'[1]7.7.6'!#REF!</definedName>
    <definedName name="Egresos" localSheetId="103">'[1]7.7.6'!#REF!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8">'[1]7.7.6'!#REF!</definedName>
    <definedName name="Egresos" localSheetId="149">'[1]7.7.6'!#REF!</definedName>
    <definedName name="Egresos" localSheetId="142">'[1]7.7.6'!#REF!</definedName>
    <definedName name="Egresos">'[1]7.7.6'!#REF!</definedName>
    <definedName name="Exceso1" localSheetId="27">'[1]7.7.6'!#REF!</definedName>
    <definedName name="Exceso1" localSheetId="32">'[1]7.7.6'!#REF!</definedName>
    <definedName name="Exceso1" localSheetId="41">'[1]7.7.6'!#REF!</definedName>
    <definedName name="Exceso1" localSheetId="2">'[1]7.7.6'!#REF!</definedName>
    <definedName name="Exceso1" localSheetId="8">'[1]7.7.6'!#REF!</definedName>
    <definedName name="Exceso1" localSheetId="12">'[1]7.7.6'!#REF!</definedName>
    <definedName name="Exceso1" localSheetId="16">'[1]7.7.6'!#REF!</definedName>
    <definedName name="Exceso1" localSheetId="20">'[1]7.7.6'!#REF!</definedName>
    <definedName name="Exceso1" localSheetId="25">'[1]7.7.6'!#REF!</definedName>
    <definedName name="Exceso1" localSheetId="26">'[1]7.7.6'!#REF!</definedName>
    <definedName name="Exceso1" localSheetId="28">'[1]7.7.6'!#REF!</definedName>
    <definedName name="Exceso1" localSheetId="33">'[1]7.7.6'!#REF!</definedName>
    <definedName name="Exceso1" localSheetId="34">'[1]7.7.6'!#REF!</definedName>
    <definedName name="Exceso1" localSheetId="35">'[1]7.7.6'!#REF!</definedName>
    <definedName name="Exceso1" localSheetId="43">'[1]7.7.6'!#REF!</definedName>
    <definedName name="Exceso1" localSheetId="44">'[1]7.7.6'!#REF!</definedName>
    <definedName name="Exceso1" localSheetId="59">'[1]7.7.6'!#REF!</definedName>
    <definedName name="Exceso1" localSheetId="60">'[1]7.7.6'!#REF!</definedName>
    <definedName name="Exceso1" localSheetId="65">'[1]7.7.6'!#REF!</definedName>
    <definedName name="Exceso1" localSheetId="68">'[1]7.7.6'!#REF!</definedName>
    <definedName name="Exceso1" localSheetId="69">'[1]7.7.6'!#REF!</definedName>
    <definedName name="Exceso1" localSheetId="72">'[1]7.7.6'!#REF!</definedName>
    <definedName name="Exceso1" localSheetId="66">'[1]7.7.6'!#REF!</definedName>
    <definedName name="Exceso1" localSheetId="67">'[1]7.7.6'!#REF!</definedName>
    <definedName name="Exceso1" localSheetId="83">'[1]7.7.6'!#REF!</definedName>
    <definedName name="Exceso1" localSheetId="87">'[1]7.7.6'!#REF!</definedName>
    <definedName name="Exceso1" localSheetId="100">'[1]7.7.6'!#REF!</definedName>
    <definedName name="Exceso1" localSheetId="101">'[1]7.7.6'!#REF!</definedName>
    <definedName name="Exceso1" localSheetId="103">'[1]7.7.6'!#REF!</definedName>
    <definedName name="Exceso1" localSheetId="102">'[1]7.7.6'!#REF!</definedName>
    <definedName name="Exceso1" localSheetId="107">'[1]7.7.6'!#REF!</definedName>
    <definedName name="Exceso1" localSheetId="112">'[1]7.7.6'!#REF!</definedName>
    <definedName name="Exceso1" localSheetId="96">'[1]7.7.6'!#REF!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8">'[1]7.7.6'!#REF!</definedName>
    <definedName name="Exceso1" localSheetId="149">'[1]7.7.6'!#REF!</definedName>
    <definedName name="Exceso1" localSheetId="142">'[1]7.7.6'!#REF!</definedName>
    <definedName name="Exceso1" localSheetId="152">'[1]7.7.6'!#REF!</definedName>
    <definedName name="Exceso1" localSheetId="150">'[1]7.7.6'!#REF!</definedName>
    <definedName name="Exceso1">'[1]7.7.6'!#REF!</definedName>
    <definedName name="Exceso2" localSheetId="27">'[1]7.7.6'!#REF!</definedName>
    <definedName name="Exceso2" localSheetId="32">'[1]7.7.6'!#REF!</definedName>
    <definedName name="Exceso2" localSheetId="41">'[1]7.7.6'!#REF!</definedName>
    <definedName name="Exceso2" localSheetId="2">'[1]7.7.6'!#REF!</definedName>
    <definedName name="Exceso2" localSheetId="8">'[1]7.7.6'!#REF!</definedName>
    <definedName name="Exceso2" localSheetId="12">'[1]7.7.6'!#REF!</definedName>
    <definedName name="Exceso2" localSheetId="16">'[1]7.7.6'!#REF!</definedName>
    <definedName name="Exceso2" localSheetId="20">'[1]7.7.6'!#REF!</definedName>
    <definedName name="Exceso2" localSheetId="25">'[1]7.7.6'!#REF!</definedName>
    <definedName name="Exceso2" localSheetId="26">'[1]7.7.6'!#REF!</definedName>
    <definedName name="Exceso2" localSheetId="28">'[1]7.7.6'!#REF!</definedName>
    <definedName name="Exceso2" localSheetId="33">'[1]7.7.6'!#REF!</definedName>
    <definedName name="Exceso2" localSheetId="34">'[1]7.7.6'!#REF!</definedName>
    <definedName name="Exceso2" localSheetId="35">'[1]7.7.6'!#REF!</definedName>
    <definedName name="Exceso2" localSheetId="43">'[1]7.7.6'!#REF!</definedName>
    <definedName name="Exceso2" localSheetId="44">'[1]7.7.6'!#REF!</definedName>
    <definedName name="Exceso2" localSheetId="59">'[1]7.7.6'!#REF!</definedName>
    <definedName name="Exceso2" localSheetId="60">'[1]7.7.6'!#REF!</definedName>
    <definedName name="Exceso2" localSheetId="65">'[1]7.7.6'!#REF!</definedName>
    <definedName name="Exceso2" localSheetId="68">'[1]7.7.6'!#REF!</definedName>
    <definedName name="Exceso2" localSheetId="69">'[1]7.7.6'!#REF!</definedName>
    <definedName name="Exceso2" localSheetId="72">'[1]7.7.6'!#REF!</definedName>
    <definedName name="Exceso2" localSheetId="66">'[1]7.7.6'!#REF!</definedName>
    <definedName name="Exceso2" localSheetId="67">'[1]7.7.6'!#REF!</definedName>
    <definedName name="Exceso2" localSheetId="83">'[1]7.7.6'!#REF!</definedName>
    <definedName name="Exceso2" localSheetId="87">'[1]7.7.6'!#REF!</definedName>
    <definedName name="Exceso2" localSheetId="101">'[1]7.7.6'!#REF!</definedName>
    <definedName name="Exceso2" localSheetId="103">'[1]7.7.6'!#REF!</definedName>
    <definedName name="Exceso2" localSheetId="102">'[1]7.7.6'!#REF!</definedName>
    <definedName name="Exceso2" localSheetId="107">'[1]7.7.6'!#REF!</definedName>
    <definedName name="Exceso2" localSheetId="112">'[1]7.7.6'!#REF!</definedName>
    <definedName name="Exceso2" localSheetId="96">'[1]7.7.6'!#REF!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8">'[1]7.7.6'!#REF!</definedName>
    <definedName name="Exceso2" localSheetId="149">'[1]7.7.6'!#REF!</definedName>
    <definedName name="Exceso2" localSheetId="142">'[1]7.7.6'!#REF!</definedName>
    <definedName name="Exceso2" localSheetId="152">'[1]7.7.6'!#REF!</definedName>
    <definedName name="Exceso2" localSheetId="150">'[1]7.7.6'!#REF!</definedName>
    <definedName name="Exceso2">'[1]7.7.6'!#REF!</definedName>
    <definedName name="h">'[1]7.7.6'!$A$1:$AQ$58</definedName>
    <definedName name="Mapa2" localSheetId="1">'[1]7.7.6'!#REF!</definedName>
    <definedName name="Mapa2" localSheetId="69">'[1]7.7.6'!#REF!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8">'[1]7.7.6'!#REF!</definedName>
    <definedName name="Mapa2" localSheetId="149">'[1]7.7.6'!#REF!</definedName>
    <definedName name="Mapa2" localSheetId="142">'[1]7.7.6'!#REF!</definedName>
    <definedName name="Mapa2">'[1]7.7.6'!#REF!</definedName>
    <definedName name="ocho" localSheetId="32">'[1]7.7.6'!#REF!</definedName>
    <definedName name="ocho" localSheetId="2">'[1]7.7.6'!#REF!</definedName>
    <definedName name="ocho" localSheetId="8">'[1]7.7.6'!#REF!</definedName>
    <definedName name="ocho" localSheetId="12">'[1]7.7.6'!#REF!</definedName>
    <definedName name="ocho" localSheetId="16">'[1]7.7.6'!#REF!</definedName>
    <definedName name="ocho" localSheetId="20">'[1]7.7.6'!#REF!</definedName>
    <definedName name="ocho" localSheetId="25">'[1]7.7.6'!#REF!</definedName>
    <definedName name="ocho" localSheetId="28">'[1]7.7.6'!#REF!</definedName>
    <definedName name="ocho" localSheetId="33">'[1]7.7.6'!#REF!</definedName>
    <definedName name="ocho" localSheetId="35">'[1]7.7.6'!#REF!</definedName>
    <definedName name="ocho" localSheetId="44">'[1]7.7.6'!#REF!</definedName>
    <definedName name="ocho" localSheetId="68">'[1]7.7.6'!#REF!</definedName>
    <definedName name="ocho" localSheetId="69">'[1]7.7.6'!#REF!</definedName>
    <definedName name="ocho" localSheetId="67">'[1]7.7.6'!#REF!</definedName>
    <definedName name="ocho" localSheetId="83">'[1]7.7.6'!#REF!</definedName>
    <definedName name="ocho" localSheetId="103">'[1]7.7.6'!#REF!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8">'[1]7.7.6'!#REF!</definedName>
    <definedName name="ocho" localSheetId="149">'[1]7.7.6'!#REF!</definedName>
    <definedName name="ocho" localSheetId="142">'[1]7.7.6'!#REF!</definedName>
    <definedName name="ocho" localSheetId="150">'[1]7.7.6'!#REF!</definedName>
    <definedName name="ocho">'[1]7.7.6'!#REF!</definedName>
    <definedName name="Print1">'[1]7.7.6'!$A$1:$AQ$58</definedName>
    <definedName name="Print2" localSheetId="27">'[1]7.7.6'!#REF!</definedName>
    <definedName name="Print2" localSheetId="32">'[1]7.7.6'!#REF!</definedName>
    <definedName name="Print2" localSheetId="41">'[1]7.7.6'!#REF!</definedName>
    <definedName name="Print2" localSheetId="2">'[1]7.7.6'!#REF!</definedName>
    <definedName name="Print2" localSheetId="8">'[1]7.7.6'!#REF!</definedName>
    <definedName name="Print2" localSheetId="12">'[1]7.7.6'!#REF!</definedName>
    <definedName name="Print2" localSheetId="16">'[1]7.7.6'!#REF!</definedName>
    <definedName name="Print2" localSheetId="20">'[1]7.7.6'!#REF!</definedName>
    <definedName name="Print2" localSheetId="25">'[1]7.7.6'!#REF!</definedName>
    <definedName name="Print2" localSheetId="26">'[1]7.7.6'!#REF!</definedName>
    <definedName name="Print2" localSheetId="28">'[1]7.7.6'!#REF!</definedName>
    <definedName name="Print2" localSheetId="33">'[1]7.7.6'!#REF!</definedName>
    <definedName name="Print2" localSheetId="34">'[1]7.7.6'!#REF!</definedName>
    <definedName name="Print2" localSheetId="35">'[1]7.7.6'!#REF!</definedName>
    <definedName name="Print2" localSheetId="43">'[1]7.7.6'!#REF!</definedName>
    <definedName name="Print2" localSheetId="44">'[1]7.7.6'!#REF!</definedName>
    <definedName name="Print2" localSheetId="59">'[1]7.7.6'!#REF!</definedName>
    <definedName name="Print2" localSheetId="60">'[1]7.7.6'!#REF!</definedName>
    <definedName name="Print2" localSheetId="65">'[1]7.7.6'!#REF!</definedName>
    <definedName name="Print2" localSheetId="68">'[1]7.7.6'!#REF!</definedName>
    <definedName name="Print2" localSheetId="69">'[1]7.7.6'!#REF!</definedName>
    <definedName name="Print2" localSheetId="72">'[1]7.7.6'!#REF!</definedName>
    <definedName name="Print2" localSheetId="66">'[1]7.7.6'!#REF!</definedName>
    <definedName name="Print2" localSheetId="67">'[1]7.7.6'!#REF!</definedName>
    <definedName name="Print2" localSheetId="83">'[1]7.7.6'!#REF!</definedName>
    <definedName name="Print2" localSheetId="87">'[1]7.7.6'!#REF!</definedName>
    <definedName name="Print2" localSheetId="100">'[1]7.7.6'!#REF!</definedName>
    <definedName name="Print2" localSheetId="101">'[1]7.7.6'!#REF!</definedName>
    <definedName name="Print2" localSheetId="103">'[1]7.7.6'!#REF!</definedName>
    <definedName name="Print2" localSheetId="102">'[1]7.7.6'!#REF!</definedName>
    <definedName name="Print2" localSheetId="107">'[1]7.7.6'!#REF!</definedName>
    <definedName name="Print2" localSheetId="112">'[1]7.7.6'!#REF!</definedName>
    <definedName name="Print2" localSheetId="96">'[1]7.7.6'!#REF!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8">'[1]7.7.6'!#REF!</definedName>
    <definedName name="Print2" localSheetId="149">'[1]7.7.6'!#REF!</definedName>
    <definedName name="Print2" localSheetId="142">'[1]7.7.6'!#REF!</definedName>
    <definedName name="Print2" localSheetId="152">'[1]7.7.6'!#REF!</definedName>
    <definedName name="Print2" localSheetId="150">'[1]7.7.6'!#REF!</definedName>
    <definedName name="Print2">'[1]7.7.6'!#REF!</definedName>
    <definedName name="Print3" localSheetId="69">'[1]7.7.6'!#REF!</definedName>
    <definedName name="Print3" localSheetId="83">'[1]7.7.6'!#REF!</definedName>
    <definedName name="Print3" localSheetId="103">'[1]7.7.6'!#REF!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8">'[1]7.7.6'!#REF!</definedName>
    <definedName name="Print3" localSheetId="149">'[1]7.7.6'!#REF!</definedName>
    <definedName name="Print3" localSheetId="142">'[1]7.7.6'!#REF!</definedName>
    <definedName name="Print3">'[1]7.7.6'!#REF!</definedName>
    <definedName name="RepFSS">'[1]7.7.6'!$T$1:$Y$57</definedName>
    <definedName name="s">'[1]7.7.6'!$A$1:$AQ$58</definedName>
    <definedName name="srl" localSheetId="2">'[1]7.7.6'!#REF!</definedName>
    <definedName name="srl" localSheetId="8">'[1]7.7.6'!#REF!</definedName>
    <definedName name="srl" localSheetId="12">'[1]7.7.6'!#REF!</definedName>
    <definedName name="srl" localSheetId="16">'[1]7.7.6'!#REF!</definedName>
    <definedName name="srl" localSheetId="20">'[1]7.7.6'!#REF!</definedName>
    <definedName name="srl" localSheetId="28">'[1]7.7.6'!#REF!</definedName>
    <definedName name="srl" localSheetId="35">'[1]7.7.6'!#REF!</definedName>
    <definedName name="srl" localSheetId="44">'[1]7.7.6'!#REF!</definedName>
    <definedName name="srl" localSheetId="68">'[1]7.7.6'!#REF!</definedName>
    <definedName name="srl" localSheetId="69">'[1]7.7.6'!#REF!</definedName>
    <definedName name="srl" localSheetId="67">'[1]7.7.6'!#REF!</definedName>
    <definedName name="srl" localSheetId="83">'[1]7.7.6'!#REF!</definedName>
    <definedName name="srl" localSheetId="103">'[1]7.7.6'!#REF!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8">'[1]7.7.6'!#REF!</definedName>
    <definedName name="srl" localSheetId="149">'[1]7.7.6'!#REF!</definedName>
    <definedName name="srl" localSheetId="142">'[1]7.7.6'!#REF!</definedName>
    <definedName name="srl" localSheetId="150">'[1]7.7.6'!#REF!</definedName>
    <definedName name="srl">'[1]7.7.6'!#REF!</definedName>
    <definedName name="SVDS" localSheetId="2">'[1]7.7.6'!#REF!</definedName>
    <definedName name="SVDS" localSheetId="8">'[1]7.7.6'!#REF!</definedName>
    <definedName name="SVDS" localSheetId="12">'[1]7.7.6'!#REF!</definedName>
    <definedName name="SVDS" localSheetId="16">'[1]7.7.6'!#REF!</definedName>
    <definedName name="SVDS" localSheetId="20">'[1]7.7.6'!#REF!</definedName>
    <definedName name="SVDS" localSheetId="28">'[1]7.7.6'!#REF!</definedName>
    <definedName name="SVDS" localSheetId="35">'[1]7.7.6'!#REF!</definedName>
    <definedName name="SVDS" localSheetId="44">'[1]7.7.6'!#REF!</definedName>
    <definedName name="SVDS" localSheetId="68">'[1]7.7.6'!#REF!</definedName>
    <definedName name="SVDS" localSheetId="69">'[1]7.7.6'!#REF!</definedName>
    <definedName name="SVDS" localSheetId="67">'[1]7.7.6'!#REF!</definedName>
    <definedName name="SVDS" localSheetId="83">'[1]7.7.6'!#REF!</definedName>
    <definedName name="SVDS" localSheetId="103">'[1]7.7.6'!#REF!</definedName>
    <definedName name="SVDS" localSheetId="11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8">'[1]7.7.6'!#REF!</definedName>
    <definedName name="SVDS" localSheetId="149">'[1]7.7.6'!#REF!</definedName>
    <definedName name="SVDS" localSheetId="142">'[1]7.7.6'!#REF!</definedName>
    <definedName name="SVDS" localSheetId="150">'[1]7.7.6'!#REF!</definedName>
    <definedName name="SVDS">'[1]7.7.6'!#REF!</definedName>
    <definedName name="Totales">'[1]7.7.6'!$A$1:$AP$58</definedName>
  </definedNames>
  <calcPr calcId="152511"/>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B18" i="72" l="1"/>
  <c r="C18" i="72"/>
  <c r="D18" i="72"/>
  <c r="Q17" i="383" l="1"/>
  <c r="P17" i="383"/>
  <c r="I9" i="335"/>
  <c r="E12" i="335"/>
  <c r="I4" i="335"/>
  <c r="I11" i="335"/>
  <c r="K4" i="235" l="1"/>
  <c r="E11" i="242" l="1"/>
  <c r="C11" i="242"/>
  <c r="C11" i="241"/>
  <c r="B11" i="241"/>
  <c r="C11" i="214"/>
  <c r="B11" i="214"/>
  <c r="C11" i="240"/>
  <c r="B11" i="240"/>
  <c r="C11" i="239"/>
  <c r="B11" i="239"/>
  <c r="B11" i="238"/>
  <c r="I11" i="236"/>
  <c r="I10" i="236"/>
  <c r="I9" i="236"/>
  <c r="I8" i="236"/>
  <c r="I7" i="236"/>
  <c r="I6" i="236"/>
  <c r="I5" i="236"/>
  <c r="F11" i="233"/>
  <c r="E11" i="233"/>
  <c r="D11" i="233"/>
  <c r="C11" i="233"/>
  <c r="B11" i="233"/>
  <c r="F11" i="232"/>
  <c r="E11" i="232"/>
  <c r="D11" i="232"/>
  <c r="C11" i="232"/>
  <c r="B11" i="232"/>
  <c r="D11" i="231"/>
  <c r="C11" i="231"/>
  <c r="B11" i="231"/>
  <c r="O12" i="227"/>
  <c r="N12" i="227"/>
  <c r="M12" i="227"/>
  <c r="L12" i="227"/>
  <c r="K12" i="227"/>
  <c r="J12" i="227"/>
  <c r="G12" i="223"/>
  <c r="E15" i="228"/>
  <c r="D15" i="228"/>
  <c r="C15" i="228"/>
  <c r="B15" i="228"/>
  <c r="C15" i="226"/>
  <c r="B15" i="226"/>
  <c r="G15" i="226"/>
  <c r="F15" i="226"/>
  <c r="E15" i="226"/>
  <c r="D15" i="226"/>
  <c r="B15" i="224"/>
  <c r="C15" i="224"/>
  <c r="B15" i="222"/>
  <c r="C15" i="222"/>
  <c r="B15" i="219"/>
  <c r="C15" i="219"/>
  <c r="I15" i="217"/>
  <c r="H15" i="217"/>
  <c r="G15" i="217"/>
  <c r="F15" i="217"/>
  <c r="E15" i="217"/>
  <c r="D15" i="217"/>
  <c r="C15" i="217"/>
  <c r="B15" i="217"/>
  <c r="B20" i="425"/>
  <c r="H16" i="79"/>
  <c r="C16" i="79" s="1"/>
  <c r="C15" i="79"/>
  <c r="B17" i="283"/>
  <c r="D15" i="74"/>
  <c r="D3" i="74"/>
  <c r="D12" i="74"/>
  <c r="D13" i="74"/>
  <c r="D14" i="74"/>
  <c r="C17" i="72"/>
  <c r="B17" i="72"/>
  <c r="B3" i="177"/>
  <c r="J25" i="451"/>
  <c r="H15" i="54" l="1"/>
  <c r="H14" i="54"/>
  <c r="N19" i="449"/>
  <c r="B15" i="389"/>
  <c r="B16" i="381"/>
  <c r="D15" i="375"/>
  <c r="C5" i="349"/>
  <c r="C6" i="349"/>
  <c r="C7" i="349"/>
  <c r="C8" i="349"/>
  <c r="C9" i="349"/>
  <c r="C10" i="349"/>
  <c r="C11" i="349"/>
  <c r="C12" i="349"/>
  <c r="C13" i="349"/>
  <c r="C14" i="349"/>
  <c r="C15" i="349"/>
  <c r="C16" i="349"/>
  <c r="B12" i="348"/>
  <c r="B13" i="348"/>
  <c r="B14" i="348"/>
  <c r="B15" i="348"/>
  <c r="B16" i="348"/>
  <c r="D16" i="61"/>
  <c r="B16" i="61"/>
  <c r="H16" i="54" l="1"/>
  <c r="C16" i="345" l="1"/>
  <c r="D16" i="345"/>
  <c r="E16" i="345"/>
  <c r="C15" i="431"/>
  <c r="E14" i="433" l="1"/>
  <c r="E15" i="433"/>
  <c r="F15" i="341"/>
  <c r="C15" i="341"/>
  <c r="G15" i="341" s="1"/>
  <c r="H8" i="54" l="1"/>
  <c r="H7" i="54"/>
  <c r="H11" i="54"/>
  <c r="H12" i="54"/>
  <c r="H10" i="54"/>
  <c r="O17" i="384"/>
  <c r="K7" i="384"/>
  <c r="K8" i="384"/>
  <c r="K9" i="384"/>
  <c r="K10" i="384"/>
  <c r="K11" i="384"/>
  <c r="K12" i="384"/>
  <c r="K13" i="384"/>
  <c r="K14" i="384"/>
  <c r="K15" i="384"/>
  <c r="K6" i="384"/>
  <c r="K5" i="384"/>
  <c r="P7" i="384"/>
  <c r="P8" i="384"/>
  <c r="P9" i="384"/>
  <c r="P10" i="384"/>
  <c r="P11" i="384"/>
  <c r="P12" i="384"/>
  <c r="P13" i="384"/>
  <c r="P14" i="384"/>
  <c r="P15" i="384"/>
  <c r="P6" i="384"/>
  <c r="P5" i="384"/>
  <c r="Q7" i="383"/>
  <c r="Q8" i="383"/>
  <c r="Q9" i="383"/>
  <c r="Q10" i="383"/>
  <c r="Q11" i="383"/>
  <c r="Q12" i="383"/>
  <c r="Q13" i="383"/>
  <c r="Q14" i="383"/>
  <c r="Q15" i="383"/>
  <c r="Q6" i="383"/>
  <c r="Q5" i="383"/>
  <c r="G36" i="446"/>
  <c r="D18" i="395" l="1"/>
  <c r="O9" i="384" l="1"/>
  <c r="J22" i="449" l="1"/>
  <c r="J23" i="449" s="1"/>
  <c r="I22" i="449"/>
  <c r="I23" i="449" s="1"/>
  <c r="H22" i="449"/>
  <c r="H23" i="449" s="1"/>
  <c r="D17" i="407"/>
  <c r="J10" i="424" l="1"/>
  <c r="J12" i="236" l="1"/>
  <c r="J11" i="236"/>
  <c r="J10" i="236"/>
  <c r="J8" i="236"/>
  <c r="J6" i="236"/>
  <c r="J5" i="236"/>
  <c r="J7" i="236"/>
  <c r="J9" i="236"/>
  <c r="J4" i="236"/>
  <c r="D36" i="452" l="1"/>
  <c r="E36" i="452"/>
  <c r="F36" i="452"/>
  <c r="G36" i="452"/>
  <c r="H36" i="452"/>
  <c r="I36" i="452"/>
  <c r="J36" i="452"/>
  <c r="K36" i="452"/>
  <c r="L36" i="452"/>
  <c r="M36" i="452"/>
  <c r="N36" i="452"/>
  <c r="C36" i="452"/>
  <c r="O9" i="452"/>
  <c r="O36" i="452" l="1"/>
  <c r="P9" i="452" s="1"/>
  <c r="K5" i="396"/>
  <c r="K6" i="396"/>
  <c r="K4" i="396"/>
  <c r="J7" i="396"/>
  <c r="J7" i="397"/>
  <c r="K5" i="397"/>
  <c r="K6" i="397"/>
  <c r="K4" i="397"/>
  <c r="H15" i="79"/>
  <c r="G15" i="79" s="1"/>
  <c r="B10" i="393"/>
  <c r="B9" i="393"/>
  <c r="B8" i="393"/>
  <c r="K7" i="396" l="1"/>
  <c r="K7" i="397"/>
  <c r="E15" i="79"/>
  <c r="G5" i="446"/>
  <c r="G6" i="446"/>
  <c r="G7" i="446"/>
  <c r="G8" i="446"/>
  <c r="G9" i="446"/>
  <c r="G10" i="446"/>
  <c r="G11" i="446"/>
  <c r="G12" i="446"/>
  <c r="G13" i="446"/>
  <c r="G14" i="446"/>
  <c r="G15" i="446"/>
  <c r="G16" i="446"/>
  <c r="G17" i="446"/>
  <c r="G18" i="446"/>
  <c r="G19" i="446"/>
  <c r="G20" i="446"/>
  <c r="G21" i="446"/>
  <c r="G22" i="446"/>
  <c r="G23" i="446"/>
  <c r="G24" i="446"/>
  <c r="G25" i="446"/>
  <c r="G26" i="446"/>
  <c r="G27" i="446"/>
  <c r="G28" i="446"/>
  <c r="G29" i="446"/>
  <c r="G30" i="446"/>
  <c r="G31" i="446"/>
  <c r="G32" i="446"/>
  <c r="G33" i="446"/>
  <c r="G34" i="446"/>
  <c r="G4" i="446"/>
  <c r="G3" i="446"/>
  <c r="B36" i="446"/>
  <c r="C36" i="446"/>
  <c r="D36" i="446"/>
  <c r="E36" i="446"/>
  <c r="F36" i="446"/>
  <c r="E14" i="345"/>
  <c r="D5" i="385" l="1"/>
  <c r="C21" i="334"/>
  <c r="J6" i="427"/>
  <c r="K6" i="427"/>
  <c r="J7" i="427"/>
  <c r="K7" i="427"/>
  <c r="J8" i="427"/>
  <c r="K8" i="427"/>
  <c r="J9" i="427"/>
  <c r="K9" i="427"/>
  <c r="J10" i="427"/>
  <c r="K10" i="427"/>
  <c r="J11" i="427"/>
  <c r="K11" i="427"/>
  <c r="J12" i="427"/>
  <c r="K12" i="427"/>
  <c r="J13" i="427"/>
  <c r="K13" i="427"/>
  <c r="E13" i="287"/>
  <c r="E14" i="287"/>
  <c r="G11" i="223" l="1"/>
  <c r="I12" i="335"/>
  <c r="H11" i="233" l="1"/>
  <c r="H14" i="79"/>
  <c r="G14" i="79" s="1"/>
  <c r="E14" i="79"/>
  <c r="D16" i="283"/>
  <c r="D17" i="283"/>
  <c r="L16" i="444"/>
  <c r="L15" i="444"/>
  <c r="E19" i="448"/>
  <c r="B13" i="447"/>
  <c r="D4" i="74"/>
  <c r="D5" i="74"/>
  <c r="D6" i="74"/>
  <c r="D7" i="74"/>
  <c r="D8" i="74"/>
  <c r="D9" i="74"/>
  <c r="D10" i="74"/>
  <c r="D11" i="74"/>
  <c r="C4" i="450"/>
  <c r="B13" i="54"/>
  <c r="H13" i="54" s="1"/>
  <c r="J3" i="391"/>
  <c r="E12" i="445"/>
  <c r="E13" i="445"/>
  <c r="E14" i="445"/>
  <c r="E15" i="445"/>
  <c r="E16" i="445"/>
  <c r="D16" i="445"/>
  <c r="F14" i="387"/>
  <c r="C14" i="79" l="1"/>
  <c r="C12" i="385"/>
  <c r="A39" i="380"/>
  <c r="B39" i="380"/>
  <c r="C39" i="380"/>
  <c r="D39" i="380"/>
  <c r="E39" i="380"/>
  <c r="A38" i="380"/>
  <c r="B38" i="380"/>
  <c r="C38" i="380"/>
  <c r="D38" i="380"/>
  <c r="E38" i="380"/>
  <c r="A37" i="380"/>
  <c r="B14" i="272"/>
  <c r="D13" i="375"/>
  <c r="E13" i="345"/>
  <c r="D13" i="345"/>
  <c r="E7" i="433"/>
  <c r="E8" i="433"/>
  <c r="E9" i="433"/>
  <c r="E10" i="433"/>
  <c r="E11" i="433"/>
  <c r="E12" i="433"/>
  <c r="E13" i="433"/>
  <c r="E16" i="433"/>
  <c r="D6" i="433"/>
  <c r="D7" i="433"/>
  <c r="D8" i="433"/>
  <c r="D9" i="433"/>
  <c r="D10" i="433"/>
  <c r="D11" i="433"/>
  <c r="D12" i="433"/>
  <c r="D13" i="433"/>
  <c r="D16" i="433"/>
  <c r="D5" i="433"/>
  <c r="C16" i="432" l="1"/>
  <c r="G16" i="432" s="1"/>
  <c r="H14" i="427" l="1"/>
  <c r="E14" i="336" l="1"/>
  <c r="C16" i="283" l="1"/>
  <c r="P4" i="29" l="1"/>
  <c r="B17" i="381" l="1"/>
  <c r="E15" i="61" l="1"/>
  <c r="E14" i="61"/>
  <c r="E14" i="435"/>
  <c r="B15" i="456"/>
  <c r="D14" i="456"/>
  <c r="D15" i="456" s="1"/>
  <c r="C15" i="456"/>
  <c r="C15" i="461"/>
  <c r="B15" i="461"/>
  <c r="D14" i="461"/>
  <c r="D15" i="461" s="1"/>
  <c r="E14" i="462"/>
  <c r="C15" i="462"/>
  <c r="D15" i="462"/>
  <c r="B15" i="462"/>
  <c r="C15" i="459"/>
  <c r="M4" i="465"/>
  <c r="M5" i="465"/>
  <c r="M6" i="465"/>
  <c r="M7" i="465"/>
  <c r="M8" i="465"/>
  <c r="M9" i="465"/>
  <c r="L10" i="465"/>
  <c r="B14" i="459" s="1"/>
  <c r="D14" i="459" s="1"/>
  <c r="E15" i="462" l="1"/>
  <c r="E14" i="456"/>
  <c r="F14" i="456"/>
  <c r="H14" i="435"/>
  <c r="B15" i="459"/>
  <c r="M3" i="466" l="1"/>
  <c r="M4" i="466"/>
  <c r="M5" i="466"/>
  <c r="L6" i="466"/>
  <c r="E12" i="423"/>
  <c r="D12" i="422" l="1"/>
  <c r="D13" i="422"/>
  <c r="D11" i="422"/>
  <c r="C14" i="422"/>
  <c r="B14" i="422"/>
  <c r="H11" i="242"/>
  <c r="J11" i="242" s="1"/>
  <c r="C12" i="242"/>
  <c r="D12" i="242"/>
  <c r="E12" i="242"/>
  <c r="F12" i="242"/>
  <c r="G12" i="242"/>
  <c r="B12" i="242"/>
  <c r="C12" i="241"/>
  <c r="D12" i="241"/>
  <c r="E12" i="241"/>
  <c r="B12" i="241"/>
  <c r="F11" i="241"/>
  <c r="G11" i="241" s="1"/>
  <c r="C12" i="214"/>
  <c r="D12" i="214"/>
  <c r="E12" i="214"/>
  <c r="B12" i="214"/>
  <c r="F11" i="214"/>
  <c r="I11" i="214" s="1"/>
  <c r="C12" i="240"/>
  <c r="B12" i="240"/>
  <c r="D11" i="240"/>
  <c r="F11" i="240" s="1"/>
  <c r="D11" i="239"/>
  <c r="E11" i="239" s="1"/>
  <c r="C12" i="239"/>
  <c r="B12" i="239"/>
  <c r="B12" i="238"/>
  <c r="I13" i="236"/>
  <c r="C11" i="238" s="1"/>
  <c r="D11" i="238" s="1"/>
  <c r="D12" i="238" s="1"/>
  <c r="J4" i="235"/>
  <c r="J5" i="235"/>
  <c r="J6" i="235"/>
  <c r="J7" i="235"/>
  <c r="J8" i="235"/>
  <c r="J9" i="235"/>
  <c r="J10" i="235"/>
  <c r="J11" i="235"/>
  <c r="I12" i="235"/>
  <c r="I11" i="233"/>
  <c r="J11" i="233"/>
  <c r="K11" i="233"/>
  <c r="L11" i="233"/>
  <c r="M11" i="233"/>
  <c r="N11" i="233"/>
  <c r="B12" i="233"/>
  <c r="C12" i="233"/>
  <c r="D12" i="233"/>
  <c r="E12" i="233"/>
  <c r="F12" i="233"/>
  <c r="H11" i="232"/>
  <c r="C12" i="232"/>
  <c r="D12" i="232"/>
  <c r="E12" i="232"/>
  <c r="F12" i="232"/>
  <c r="B12" i="232"/>
  <c r="F11" i="231"/>
  <c r="H11" i="231" s="1"/>
  <c r="E12" i="231"/>
  <c r="D12" i="231"/>
  <c r="C12" i="231"/>
  <c r="B12" i="231"/>
  <c r="C12" i="229"/>
  <c r="D11" i="229"/>
  <c r="B12" i="229"/>
  <c r="B11" i="230"/>
  <c r="B12" i="227"/>
  <c r="C12" i="227"/>
  <c r="D12" i="227"/>
  <c r="E12" i="227"/>
  <c r="F12" i="227"/>
  <c r="G12" i="227"/>
  <c r="U11" i="227"/>
  <c r="Q11" i="227"/>
  <c r="P11" i="227"/>
  <c r="N11" i="227"/>
  <c r="O11" i="227" s="1"/>
  <c r="M11" i="227"/>
  <c r="T11" i="227" s="1"/>
  <c r="L11" i="227"/>
  <c r="S11" i="227" s="1"/>
  <c r="K11" i="227"/>
  <c r="R11" i="227" s="1"/>
  <c r="J11" i="227"/>
  <c r="B12" i="225"/>
  <c r="J12" i="225" s="1"/>
  <c r="C12" i="225"/>
  <c r="C13" i="225" s="1"/>
  <c r="D11" i="225"/>
  <c r="I11" i="225"/>
  <c r="I12" i="225"/>
  <c r="J11" i="225"/>
  <c r="K11" i="225"/>
  <c r="J10" i="225"/>
  <c r="B12" i="223"/>
  <c r="B13" i="223" s="1"/>
  <c r="C12" i="223"/>
  <c r="K12" i="223" s="1"/>
  <c r="I12" i="223"/>
  <c r="B16" i="228"/>
  <c r="C16" i="228"/>
  <c r="D16" i="228"/>
  <c r="E16" i="228"/>
  <c r="F16" i="228"/>
  <c r="G14" i="228"/>
  <c r="G15" i="228"/>
  <c r="J15" i="228" s="1"/>
  <c r="H15" i="226"/>
  <c r="I15" i="226" s="1"/>
  <c r="F16" i="226"/>
  <c r="E16" i="226"/>
  <c r="D16" i="226"/>
  <c r="C16" i="226"/>
  <c r="B16" i="226"/>
  <c r="D15" i="224"/>
  <c r="C16" i="224"/>
  <c r="B16" i="224"/>
  <c r="C16" i="222"/>
  <c r="D16" i="222"/>
  <c r="B16" i="222"/>
  <c r="E15" i="222"/>
  <c r="G15" i="222" s="1"/>
  <c r="E15" i="219"/>
  <c r="D16" i="219"/>
  <c r="C16" i="219"/>
  <c r="B16" i="219"/>
  <c r="O10" i="452"/>
  <c r="P10" i="452" s="1"/>
  <c r="O11" i="452"/>
  <c r="P11" i="452" s="1"/>
  <c r="O12" i="452"/>
  <c r="P12" i="452" s="1"/>
  <c r="O14" i="452"/>
  <c r="P14" i="452" s="1"/>
  <c r="O19" i="452"/>
  <c r="P19" i="452" s="1"/>
  <c r="O20" i="452"/>
  <c r="P20" i="452" s="1"/>
  <c r="O27" i="452"/>
  <c r="P27" i="452" s="1"/>
  <c r="O28" i="452"/>
  <c r="P28" i="452" s="1"/>
  <c r="O34" i="452"/>
  <c r="P34" i="452" s="1"/>
  <c r="O35" i="452"/>
  <c r="P35" i="452" s="1"/>
  <c r="O32" i="452"/>
  <c r="P32" i="452" s="1"/>
  <c r="O4" i="452"/>
  <c r="P4" i="452" s="1"/>
  <c r="O16" i="452"/>
  <c r="P16" i="452" s="1"/>
  <c r="O24" i="452"/>
  <c r="P24" i="452" s="1"/>
  <c r="O30" i="452"/>
  <c r="P30" i="452" s="1"/>
  <c r="O17" i="452"/>
  <c r="P17" i="452" s="1"/>
  <c r="O13" i="452"/>
  <c r="P13" i="452" s="1"/>
  <c r="O23" i="452"/>
  <c r="P23" i="452" s="1"/>
  <c r="O21" i="452"/>
  <c r="P21" i="452" s="1"/>
  <c r="O18" i="452"/>
  <c r="P18" i="452" s="1"/>
  <c r="O31" i="452"/>
  <c r="P31" i="452" s="1"/>
  <c r="O29" i="452"/>
  <c r="P29" i="452" s="1"/>
  <c r="O5" i="452"/>
  <c r="P5" i="452" s="1"/>
  <c r="O25" i="452"/>
  <c r="P25" i="452" s="1"/>
  <c r="O26" i="452"/>
  <c r="P26" i="452" s="1"/>
  <c r="O33" i="452"/>
  <c r="P33" i="452" s="1"/>
  <c r="O15" i="452"/>
  <c r="P15" i="452" s="1"/>
  <c r="O7" i="452"/>
  <c r="P7" i="452" s="1"/>
  <c r="O8" i="452"/>
  <c r="P8" i="452" s="1"/>
  <c r="O22" i="452"/>
  <c r="P22" i="452" s="1"/>
  <c r="K15" i="217"/>
  <c r="D16" i="217"/>
  <c r="E16" i="217"/>
  <c r="F16" i="217"/>
  <c r="G16" i="217"/>
  <c r="H16" i="217"/>
  <c r="I16" i="217"/>
  <c r="J16" i="217"/>
  <c r="C16" i="217"/>
  <c r="B16" i="217"/>
  <c r="D15" i="215"/>
  <c r="C16" i="215"/>
  <c r="B16" i="215"/>
  <c r="C12" i="307"/>
  <c r="C4" i="307"/>
  <c r="D19" i="282"/>
  <c r="C19" i="282"/>
  <c r="E18" i="282"/>
  <c r="B19" i="282"/>
  <c r="C12" i="412"/>
  <c r="B12" i="412"/>
  <c r="D11" i="412"/>
  <c r="D12" i="412" s="1"/>
  <c r="D10" i="412"/>
  <c r="E15" i="224" l="1"/>
  <c r="L15" i="217"/>
  <c r="K16" i="217"/>
  <c r="T16" i="217" s="1"/>
  <c r="Q16" i="217"/>
  <c r="F15" i="215"/>
  <c r="F16" i="215" s="1"/>
  <c r="D16" i="215"/>
  <c r="C12" i="238"/>
  <c r="I11" i="232"/>
  <c r="N11" i="232"/>
  <c r="K15" i="226"/>
  <c r="F15" i="219"/>
  <c r="H11" i="214"/>
  <c r="D12" i="239"/>
  <c r="H12" i="227"/>
  <c r="C10" i="230" s="1"/>
  <c r="D10" i="230" s="1"/>
  <c r="M15" i="226"/>
  <c r="L15" i="226"/>
  <c r="J15" i="226"/>
  <c r="N15" i="226"/>
  <c r="D16" i="224"/>
  <c r="E16" i="224" s="1"/>
  <c r="J12" i="223"/>
  <c r="D12" i="223"/>
  <c r="E12" i="223" s="1"/>
  <c r="E15" i="215"/>
  <c r="E16" i="215" s="1"/>
  <c r="K12" i="225"/>
  <c r="F15" i="224"/>
  <c r="B13" i="225"/>
  <c r="D12" i="225"/>
  <c r="F12" i="225" s="1"/>
  <c r="N11" i="242"/>
  <c r="M11" i="242"/>
  <c r="L11" i="242"/>
  <c r="K11" i="242"/>
  <c r="H12" i="242"/>
  <c r="I11" i="242"/>
  <c r="I11" i="241"/>
  <c r="H11" i="241"/>
  <c r="J11" i="241"/>
  <c r="F12" i="241"/>
  <c r="G11" i="214"/>
  <c r="F12" i="214"/>
  <c r="J11" i="214"/>
  <c r="E11" i="240"/>
  <c r="F11" i="239"/>
  <c r="G12" i="232"/>
  <c r="M11" i="232"/>
  <c r="J11" i="232"/>
  <c r="L11" i="232"/>
  <c r="K11" i="232"/>
  <c r="J11" i="231"/>
  <c r="I11" i="231"/>
  <c r="G11" i="231"/>
  <c r="F11" i="229"/>
  <c r="E11" i="229"/>
  <c r="C13" i="223"/>
  <c r="I15" i="228"/>
  <c r="H15" i="228"/>
  <c r="L15" i="228"/>
  <c r="K15" i="228"/>
  <c r="G16" i="228"/>
  <c r="F15" i="222"/>
  <c r="E16" i="222"/>
  <c r="E16" i="219"/>
  <c r="H15" i="219"/>
  <c r="G15" i="219"/>
  <c r="O6" i="452"/>
  <c r="P6" i="452" s="1"/>
  <c r="P36" i="452" s="1"/>
  <c r="S15" i="217"/>
  <c r="R15" i="217"/>
  <c r="Q15" i="217"/>
  <c r="O15" i="217"/>
  <c r="P15" i="217"/>
  <c r="N15" i="217"/>
  <c r="M15" i="217"/>
  <c r="T15" i="217"/>
  <c r="G18" i="282"/>
  <c r="F18" i="282"/>
  <c r="H10" i="79"/>
  <c r="E10" i="79" s="1"/>
  <c r="H11" i="79"/>
  <c r="C11" i="79" s="1"/>
  <c r="H12" i="79"/>
  <c r="C12" i="79" s="1"/>
  <c r="H13" i="79"/>
  <c r="G13" i="79" s="1"/>
  <c r="H17" i="79"/>
  <c r="B17" i="78"/>
  <c r="D17" i="78"/>
  <c r="F17" i="78"/>
  <c r="H16" i="78"/>
  <c r="D17" i="395"/>
  <c r="R16" i="217" l="1"/>
  <c r="S16" i="217"/>
  <c r="O16" i="217"/>
  <c r="N16" i="217"/>
  <c r="P16" i="217"/>
  <c r="C17" i="79"/>
  <c r="C10" i="79"/>
  <c r="H17" i="78"/>
  <c r="E11" i="79"/>
  <c r="G11" i="79"/>
  <c r="G10" i="79"/>
  <c r="G17" i="79"/>
  <c r="F16" i="224"/>
  <c r="D13" i="223"/>
  <c r="F12" i="223"/>
  <c r="E17" i="79"/>
  <c r="G12" i="79"/>
  <c r="G16" i="78"/>
  <c r="E12" i="225"/>
  <c r="D13" i="225"/>
  <c r="E13" i="79"/>
  <c r="E12" i="79"/>
  <c r="C13" i="79"/>
  <c r="C16" i="78"/>
  <c r="E16" i="78"/>
  <c r="E17" i="283"/>
  <c r="E16" i="283"/>
  <c r="L8" i="444"/>
  <c r="L14" i="444"/>
  <c r="L9" i="444"/>
  <c r="L12" i="444"/>
  <c r="L13" i="444"/>
  <c r="L10" i="444"/>
  <c r="L4" i="444"/>
  <c r="L5" i="444"/>
  <c r="L7" i="444"/>
  <c r="L6" i="444"/>
  <c r="L11" i="444"/>
  <c r="K17" i="444"/>
  <c r="P5" i="29"/>
  <c r="P6" i="29"/>
  <c r="P7" i="29"/>
  <c r="P8" i="29"/>
  <c r="P9" i="29"/>
  <c r="P10" i="29"/>
  <c r="P11" i="29"/>
  <c r="O12" i="29"/>
  <c r="B18" i="276"/>
  <c r="C6" i="450"/>
  <c r="C5" i="450"/>
  <c r="D33"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L7" i="391"/>
  <c r="L6" i="391"/>
  <c r="L5" i="391"/>
  <c r="L4" i="391"/>
  <c r="B16" i="445"/>
  <c r="C17" i="445"/>
  <c r="F17" i="401"/>
  <c r="F18" i="401" s="1"/>
  <c r="C18" i="401"/>
  <c r="D18" i="401"/>
  <c r="E18" i="401"/>
  <c r="B18" i="401"/>
  <c r="C18" i="400"/>
  <c r="B18" i="400"/>
  <c r="D16" i="400"/>
  <c r="D17" i="400"/>
  <c r="D18" i="400" s="1"/>
  <c r="L18" i="449"/>
  <c r="N18" i="449"/>
  <c r="K18" i="449"/>
  <c r="K23" i="449" s="1"/>
  <c r="G18" i="449"/>
  <c r="I19" i="449"/>
  <c r="J19" i="449"/>
  <c r="H19" i="449"/>
  <c r="C19" i="449"/>
  <c r="D19" i="449"/>
  <c r="E19" i="449"/>
  <c r="F19" i="449"/>
  <c r="B19" i="449"/>
  <c r="N23" i="449" l="1"/>
  <c r="G19" i="449"/>
  <c r="L19" i="449"/>
  <c r="L23" i="449"/>
  <c r="D17" i="72"/>
  <c r="M18" i="449"/>
  <c r="K19" i="449"/>
  <c r="F16" i="445"/>
  <c r="H16" i="445" s="1"/>
  <c r="P12" i="29"/>
  <c r="C33" i="450"/>
  <c r="K8" i="391"/>
  <c r="E15" i="389"/>
  <c r="D15" i="389"/>
  <c r="M19" i="449" l="1"/>
  <c r="M23" i="449"/>
  <c r="C11" i="385"/>
  <c r="E11" i="385" s="1"/>
  <c r="F17" i="384"/>
  <c r="B16" i="384"/>
  <c r="B17" i="384" s="1"/>
  <c r="C16" i="384"/>
  <c r="C17" i="384" s="1"/>
  <c r="D16" i="384"/>
  <c r="D17" i="384" s="1"/>
  <c r="E16" i="384"/>
  <c r="F16" i="384"/>
  <c r="G16" i="384"/>
  <c r="G17" i="384" s="1"/>
  <c r="H16" i="384"/>
  <c r="H17" i="384" s="1"/>
  <c r="I16" i="384"/>
  <c r="I17" i="384" s="1"/>
  <c r="J16" i="384"/>
  <c r="J17" i="384" s="1"/>
  <c r="L16" i="384"/>
  <c r="L17" i="384" s="1"/>
  <c r="M16" i="384"/>
  <c r="M17" i="384" s="1"/>
  <c r="N16" i="384"/>
  <c r="O16" i="384"/>
  <c r="P16" i="383"/>
  <c r="K16" i="383"/>
  <c r="B17" i="383"/>
  <c r="C17" i="383"/>
  <c r="D17" i="383"/>
  <c r="E17" i="383"/>
  <c r="F17" i="383"/>
  <c r="G17" i="383"/>
  <c r="H17" i="383"/>
  <c r="I17" i="383"/>
  <c r="J17" i="383"/>
  <c r="L17" i="383"/>
  <c r="M17" i="383"/>
  <c r="N17" i="383"/>
  <c r="O17" i="383"/>
  <c r="P15" i="382"/>
  <c r="K15" i="382"/>
  <c r="Q15" i="382" s="1"/>
  <c r="B16" i="382"/>
  <c r="C16" i="382"/>
  <c r="D16" i="382"/>
  <c r="F16" i="382"/>
  <c r="L16" i="382"/>
  <c r="M16" i="382"/>
  <c r="G18" i="380"/>
  <c r="D18" i="380"/>
  <c r="K17" i="383" l="1"/>
  <c r="Q16" i="383"/>
  <c r="N17" i="384"/>
  <c r="P16" i="384"/>
  <c r="P17" i="384" s="1"/>
  <c r="E17" i="384"/>
  <c r="K16" i="384"/>
  <c r="K17" i="384" s="1"/>
  <c r="D11" i="385"/>
  <c r="E15" i="374"/>
  <c r="D12" i="375"/>
  <c r="D16" i="407"/>
  <c r="B4" i="348"/>
  <c r="B5" i="348"/>
  <c r="B6" i="348"/>
  <c r="B7" i="348"/>
  <c r="B8" i="348"/>
  <c r="B9" i="348"/>
  <c r="B10" i="348"/>
  <c r="B11" i="348"/>
  <c r="B10" i="377"/>
  <c r="Q16" i="382" l="1"/>
  <c r="I14" i="435"/>
  <c r="H13" i="435"/>
  <c r="E13" i="435"/>
  <c r="I13" i="435" s="1"/>
  <c r="B15" i="61" s="1"/>
  <c r="D4" i="345"/>
  <c r="D5" i="345"/>
  <c r="D6" i="345"/>
  <c r="D7" i="345"/>
  <c r="D8" i="345"/>
  <c r="D9" i="345"/>
  <c r="D10" i="345"/>
  <c r="D11" i="345"/>
  <c r="D12" i="345"/>
  <c r="D15" i="345"/>
  <c r="E15" i="345"/>
  <c r="E14" i="431"/>
  <c r="E13" i="431"/>
  <c r="H14" i="342"/>
  <c r="E14" i="342"/>
  <c r="G14" i="342" s="1"/>
  <c r="F14" i="342" l="1"/>
  <c r="I35" i="434"/>
  <c r="J35" i="434" s="1"/>
  <c r="F12" i="338"/>
  <c r="G12" i="338"/>
  <c r="G11" i="402"/>
  <c r="H11" i="402"/>
  <c r="I11" i="402"/>
  <c r="F11" i="402"/>
  <c r="C11" i="402"/>
  <c r="C12" i="402"/>
  <c r="C10" i="402"/>
  <c r="I13" i="427"/>
  <c r="E14" i="332"/>
  <c r="G14" i="332" s="1"/>
  <c r="B14" i="333"/>
  <c r="F14" i="287"/>
  <c r="G14" i="287"/>
  <c r="H14" i="287"/>
  <c r="H14" i="332" l="1"/>
  <c r="F14" i="332"/>
  <c r="C16" i="334"/>
  <c r="C17" i="334" s="1"/>
  <c r="C18" i="334" s="1"/>
  <c r="C19" i="334" s="1"/>
  <c r="C20" i="334" s="1"/>
  <c r="P57" i="283" l="1"/>
  <c r="P58" i="283"/>
  <c r="P59" i="283"/>
  <c r="P60" i="283"/>
  <c r="P61" i="283"/>
  <c r="P62" i="283"/>
  <c r="P63" i="283"/>
  <c r="P64" i="283"/>
  <c r="P65" i="283"/>
  <c r="P66" i="283"/>
  <c r="P67" i="283"/>
  <c r="P68" i="283"/>
  <c r="P69" i="283"/>
  <c r="P70" i="283"/>
  <c r="P71" i="283"/>
  <c r="P72" i="283"/>
  <c r="P73" i="283"/>
  <c r="P74" i="283"/>
  <c r="P75" i="283"/>
  <c r="P76" i="283"/>
  <c r="P77" i="283"/>
  <c r="P78" i="283"/>
  <c r="P79" i="283"/>
  <c r="P80" i="283"/>
  <c r="P81" i="283"/>
  <c r="P82" i="283"/>
  <c r="P83" i="283"/>
  <c r="P84" i="283"/>
  <c r="P85" i="283"/>
  <c r="P86" i="283"/>
  <c r="P87" i="283"/>
  <c r="P88" i="283"/>
  <c r="P89" i="283"/>
  <c r="P90" i="283"/>
  <c r="P91" i="283"/>
  <c r="P92" i="283"/>
  <c r="P93" i="283"/>
  <c r="P94" i="283"/>
  <c r="P95" i="283"/>
  <c r="P96" i="283"/>
  <c r="P97" i="283"/>
  <c r="P98" i="283"/>
  <c r="P99" i="283"/>
  <c r="P100" i="283"/>
  <c r="P101" i="283"/>
  <c r="P102" i="283"/>
  <c r="P103" i="283"/>
  <c r="P104" i="283"/>
  <c r="P105" i="283"/>
  <c r="P106" i="283"/>
  <c r="P107" i="283"/>
  <c r="P108" i="283"/>
  <c r="P109" i="283"/>
  <c r="P110" i="283"/>
  <c r="P111" i="283"/>
  <c r="P112" i="283"/>
  <c r="P113" i="283"/>
  <c r="P114" i="283"/>
  <c r="P115" i="283"/>
  <c r="P116" i="283"/>
  <c r="P117" i="283"/>
  <c r="P118" i="283"/>
  <c r="P119" i="283"/>
  <c r="P120" i="283"/>
  <c r="P121" i="283"/>
  <c r="P122" i="283"/>
  <c r="P123" i="283"/>
  <c r="P124" i="283"/>
  <c r="P125" i="283"/>
  <c r="P126" i="283"/>
  <c r="P127" i="283"/>
  <c r="P128" i="283"/>
  <c r="P129" i="283"/>
  <c r="P130" i="283"/>
  <c r="P131" i="283"/>
  <c r="P132" i="283"/>
  <c r="P133" i="283"/>
  <c r="P134" i="283"/>
  <c r="P135" i="283"/>
  <c r="P136" i="283"/>
  <c r="P137" i="283"/>
  <c r="P138" i="283"/>
  <c r="P139" i="283"/>
  <c r="P140" i="283"/>
  <c r="P141" i="283"/>
  <c r="P142" i="283"/>
  <c r="P143" i="283"/>
  <c r="P144" i="283"/>
  <c r="P145" i="283"/>
  <c r="P146" i="283"/>
  <c r="P147" i="283"/>
  <c r="P148" i="283"/>
  <c r="P149" i="283"/>
  <c r="P150" i="283"/>
  <c r="P151" i="283"/>
  <c r="P152" i="283"/>
  <c r="P153" i="283"/>
  <c r="P154" i="283" l="1"/>
  <c r="B13" i="459" l="1"/>
  <c r="J17" i="399" l="1"/>
  <c r="I17" i="399"/>
  <c r="H17" i="399"/>
  <c r="E17" i="399"/>
  <c r="B6" i="399"/>
  <c r="H5" i="399"/>
  <c r="E5" i="399"/>
  <c r="D5" i="399"/>
  <c r="C5" i="399"/>
  <c r="B5" i="399"/>
  <c r="H4" i="399"/>
  <c r="E4" i="399"/>
  <c r="D4" i="399"/>
  <c r="C4" i="399"/>
  <c r="O15" i="398"/>
  <c r="N15" i="398"/>
  <c r="M15" i="398"/>
  <c r="L15" i="398"/>
  <c r="K15" i="398"/>
  <c r="J15" i="398"/>
  <c r="I15" i="398"/>
  <c r="H15" i="398"/>
  <c r="G15" i="398"/>
  <c r="F15" i="398"/>
  <c r="E15" i="398"/>
  <c r="D15" i="398"/>
  <c r="C15" i="398"/>
  <c r="B15" i="398"/>
  <c r="D13" i="456"/>
  <c r="D12" i="456"/>
  <c r="F12" i="456" s="1"/>
  <c r="D11" i="456"/>
  <c r="F11" i="456" s="1"/>
  <c r="F10" i="456"/>
  <c r="E10" i="456"/>
  <c r="D10" i="456"/>
  <c r="D9" i="456"/>
  <c r="F9" i="456" s="1"/>
  <c r="D8" i="456"/>
  <c r="F8" i="456" s="1"/>
  <c r="F7" i="456"/>
  <c r="E7" i="456"/>
  <c r="D7" i="456"/>
  <c r="D6" i="456"/>
  <c r="F6" i="456" s="1"/>
  <c r="D5" i="456"/>
  <c r="F5" i="456" s="1"/>
  <c r="D4" i="456"/>
  <c r="F4" i="456" s="1"/>
  <c r="D13" i="461"/>
  <c r="D12" i="461"/>
  <c r="D11" i="461"/>
  <c r="D10" i="461"/>
  <c r="D9" i="461"/>
  <c r="D8" i="461"/>
  <c r="D7" i="461"/>
  <c r="D6" i="461"/>
  <c r="D5" i="461"/>
  <c r="D4" i="461"/>
  <c r="E13" i="462"/>
  <c r="E12" i="462"/>
  <c r="E11" i="462"/>
  <c r="E10" i="462"/>
  <c r="E9" i="462"/>
  <c r="E8" i="462"/>
  <c r="E7" i="462"/>
  <c r="E6" i="462"/>
  <c r="E5" i="462"/>
  <c r="E4" i="462"/>
  <c r="D15" i="459"/>
  <c r="D13" i="459"/>
  <c r="D12" i="459"/>
  <c r="D11" i="459"/>
  <c r="D10" i="459"/>
  <c r="D9" i="459"/>
  <c r="D8" i="459"/>
  <c r="D7" i="459"/>
  <c r="D6" i="459"/>
  <c r="D5" i="459"/>
  <c r="D4" i="459"/>
  <c r="K10" i="465"/>
  <c r="J10" i="465"/>
  <c r="I10" i="465"/>
  <c r="H10" i="465"/>
  <c r="G10" i="465"/>
  <c r="F10" i="465"/>
  <c r="E10" i="465"/>
  <c r="D10" i="465"/>
  <c r="C10" i="465"/>
  <c r="B10" i="465"/>
  <c r="M10" i="465"/>
  <c r="K6" i="466"/>
  <c r="J6" i="466"/>
  <c r="I6" i="466"/>
  <c r="H6" i="466"/>
  <c r="G6" i="466"/>
  <c r="F6" i="466"/>
  <c r="E6" i="466"/>
  <c r="D6" i="466"/>
  <c r="C6" i="466"/>
  <c r="B6" i="466"/>
  <c r="M6" i="466"/>
  <c r="K10" i="424"/>
  <c r="I10" i="424"/>
  <c r="H10" i="424"/>
  <c r="G10" i="424"/>
  <c r="F10" i="424"/>
  <c r="E10" i="424"/>
  <c r="D10" i="424"/>
  <c r="C10" i="424"/>
  <c r="L9" i="424"/>
  <c r="L8" i="424"/>
  <c r="L7" i="424"/>
  <c r="L6" i="424"/>
  <c r="L5" i="424"/>
  <c r="L4" i="424"/>
  <c r="L10" i="424" s="1"/>
  <c r="D14" i="423"/>
  <c r="C14" i="423"/>
  <c r="B14" i="423"/>
  <c r="E13" i="423"/>
  <c r="E11" i="423"/>
  <c r="E10" i="423"/>
  <c r="E9" i="423"/>
  <c r="E8" i="423"/>
  <c r="E7" i="423"/>
  <c r="E6" i="423"/>
  <c r="E5" i="423"/>
  <c r="E14" i="423" s="1"/>
  <c r="D14" i="422"/>
  <c r="D10" i="422"/>
  <c r="D9" i="422"/>
  <c r="D8" i="422"/>
  <c r="D7" i="422"/>
  <c r="D6" i="422"/>
  <c r="D5" i="422"/>
  <c r="D4" i="422"/>
  <c r="N10" i="242"/>
  <c r="L10" i="242"/>
  <c r="K10" i="242"/>
  <c r="J10" i="242"/>
  <c r="I10" i="242"/>
  <c r="H10" i="242"/>
  <c r="M10" i="242" s="1"/>
  <c r="H9" i="242"/>
  <c r="N9" i="242" s="1"/>
  <c r="H8" i="242"/>
  <c r="M8" i="242" s="1"/>
  <c r="N7" i="242"/>
  <c r="H7" i="242"/>
  <c r="L7" i="242" s="1"/>
  <c r="N6" i="242"/>
  <c r="M6" i="242"/>
  <c r="H6" i="242"/>
  <c r="K6" i="242" s="1"/>
  <c r="N5" i="242"/>
  <c r="M5" i="242"/>
  <c r="L5" i="242"/>
  <c r="K5" i="242"/>
  <c r="I5" i="242"/>
  <c r="H5" i="242"/>
  <c r="J5" i="242" s="1"/>
  <c r="N4" i="242"/>
  <c r="M4" i="242"/>
  <c r="L4" i="242"/>
  <c r="K4" i="242"/>
  <c r="H4" i="242"/>
  <c r="I4" i="242" s="1"/>
  <c r="J12" i="241"/>
  <c r="I12" i="241"/>
  <c r="H12" i="241"/>
  <c r="G12" i="241"/>
  <c r="J10" i="241"/>
  <c r="I10" i="241"/>
  <c r="H10" i="241"/>
  <c r="G10" i="241"/>
  <c r="F10" i="241"/>
  <c r="J9" i="241"/>
  <c r="I9" i="241"/>
  <c r="H9" i="241"/>
  <c r="G9" i="241"/>
  <c r="F9" i="241"/>
  <c r="J8" i="241"/>
  <c r="I8" i="241"/>
  <c r="H8" i="241"/>
  <c r="G8" i="241"/>
  <c r="F8" i="241"/>
  <c r="J7" i="241"/>
  <c r="I7" i="241"/>
  <c r="H7" i="241"/>
  <c r="G7" i="241"/>
  <c r="F7" i="241"/>
  <c r="J6" i="241"/>
  <c r="I6" i="241"/>
  <c r="H6" i="241"/>
  <c r="G6" i="241"/>
  <c r="F6" i="241"/>
  <c r="J5" i="241"/>
  <c r="I5" i="241"/>
  <c r="H5" i="241"/>
  <c r="G5" i="241"/>
  <c r="F5" i="241"/>
  <c r="J4" i="241"/>
  <c r="I4" i="241"/>
  <c r="H4" i="241"/>
  <c r="G4" i="241"/>
  <c r="F4" i="241"/>
  <c r="J12" i="214"/>
  <c r="I12" i="214"/>
  <c r="H12" i="214"/>
  <c r="G12" i="214"/>
  <c r="J10" i="214"/>
  <c r="I10" i="214"/>
  <c r="H10" i="214"/>
  <c r="G10" i="214"/>
  <c r="F10" i="214"/>
  <c r="J9" i="214"/>
  <c r="I9" i="214"/>
  <c r="H9" i="214"/>
  <c r="G9" i="214"/>
  <c r="F9" i="214"/>
  <c r="J8" i="214"/>
  <c r="I8" i="214"/>
  <c r="H8" i="214"/>
  <c r="G8" i="214"/>
  <c r="F8" i="214"/>
  <c r="J7" i="214"/>
  <c r="I7" i="214"/>
  <c r="H7" i="214"/>
  <c r="G7" i="214"/>
  <c r="F7" i="214"/>
  <c r="J6" i="214"/>
  <c r="I6" i="214"/>
  <c r="H6" i="214"/>
  <c r="G6" i="214"/>
  <c r="F6" i="214"/>
  <c r="J5" i="214"/>
  <c r="I5" i="214"/>
  <c r="H5" i="214"/>
  <c r="G5" i="214"/>
  <c r="F5" i="214"/>
  <c r="J4" i="214"/>
  <c r="I4" i="214"/>
  <c r="H4" i="214"/>
  <c r="G4" i="214"/>
  <c r="F4" i="214"/>
  <c r="F12" i="240"/>
  <c r="E12" i="240"/>
  <c r="D12" i="240"/>
  <c r="F10" i="240"/>
  <c r="E10" i="240"/>
  <c r="D10" i="240"/>
  <c r="F9" i="240"/>
  <c r="E9" i="240"/>
  <c r="D9" i="240"/>
  <c r="F8" i="240"/>
  <c r="E8" i="240"/>
  <c r="D8" i="240"/>
  <c r="F7" i="240"/>
  <c r="E7" i="240"/>
  <c r="D7" i="240"/>
  <c r="F6" i="240"/>
  <c r="E6" i="240"/>
  <c r="D6" i="240"/>
  <c r="F5" i="240"/>
  <c r="E5" i="240"/>
  <c r="D5" i="240"/>
  <c r="F4" i="240"/>
  <c r="E4" i="240"/>
  <c r="D4" i="240"/>
  <c r="E12" i="239"/>
  <c r="D10" i="239"/>
  <c r="F10" i="239" s="1"/>
  <c r="F9" i="239"/>
  <c r="D9" i="239"/>
  <c r="E9" i="239" s="1"/>
  <c r="D8" i="239"/>
  <c r="F8" i="239" s="1"/>
  <c r="D7" i="239"/>
  <c r="F7" i="239" s="1"/>
  <c r="D6" i="239"/>
  <c r="E6" i="239" s="1"/>
  <c r="D5" i="239"/>
  <c r="F5" i="239" s="1"/>
  <c r="F4" i="239"/>
  <c r="E4" i="239"/>
  <c r="D4" i="239"/>
  <c r="F12" i="239" s="1"/>
  <c r="C10" i="238"/>
  <c r="D9" i="238"/>
  <c r="D8" i="238"/>
  <c r="D7" i="238"/>
  <c r="D6" i="238"/>
  <c r="D5" i="238"/>
  <c r="D4" i="238"/>
  <c r="J13" i="236"/>
  <c r="K10" i="236" s="1"/>
  <c r="H13" i="236"/>
  <c r="G13" i="236"/>
  <c r="F13" i="236"/>
  <c r="E13" i="236"/>
  <c r="D13" i="236"/>
  <c r="C13" i="236"/>
  <c r="B13" i="236"/>
  <c r="G12" i="236"/>
  <c r="F12" i="236"/>
  <c r="E12" i="236"/>
  <c r="J12" i="235"/>
  <c r="K11" i="235" s="1"/>
  <c r="H12" i="235"/>
  <c r="G12" i="235"/>
  <c r="F12" i="235"/>
  <c r="E12" i="235"/>
  <c r="D12" i="235"/>
  <c r="C12" i="235"/>
  <c r="B12" i="235"/>
  <c r="N10" i="233"/>
  <c r="K10" i="233"/>
  <c r="J10" i="233"/>
  <c r="I10" i="233"/>
  <c r="H10" i="233"/>
  <c r="H9" i="233"/>
  <c r="N9" i="233" s="1"/>
  <c r="H8" i="233"/>
  <c r="M8" i="233" s="1"/>
  <c r="N7" i="233"/>
  <c r="H7" i="233"/>
  <c r="L7" i="233" s="1"/>
  <c r="N6" i="233"/>
  <c r="M6" i="233"/>
  <c r="K6" i="233"/>
  <c r="J6" i="233"/>
  <c r="H6" i="233"/>
  <c r="I6" i="233" s="1"/>
  <c r="N5" i="233"/>
  <c r="M5" i="233"/>
  <c r="L5" i="233"/>
  <c r="J5" i="233"/>
  <c r="I5" i="233"/>
  <c r="H5" i="233"/>
  <c r="K5" i="233" s="1"/>
  <c r="N4" i="233"/>
  <c r="M4" i="233"/>
  <c r="L4" i="233"/>
  <c r="J4" i="233"/>
  <c r="I4" i="233"/>
  <c r="H4" i="233"/>
  <c r="H10" i="232"/>
  <c r="I10" i="232" s="1"/>
  <c r="L9" i="232"/>
  <c r="K9" i="232"/>
  <c r="J9" i="232"/>
  <c r="I9" i="232"/>
  <c r="H9" i="232"/>
  <c r="N9" i="232" s="1"/>
  <c r="H8" i="232"/>
  <c r="N8" i="232" s="1"/>
  <c r="H7" i="232"/>
  <c r="N7" i="232" s="1"/>
  <c r="H6" i="232"/>
  <c r="N6" i="232" s="1"/>
  <c r="H5" i="232"/>
  <c r="N5" i="232" s="1"/>
  <c r="H4" i="232"/>
  <c r="H10" i="231"/>
  <c r="F10" i="231"/>
  <c r="G10" i="231" s="1"/>
  <c r="F9" i="231"/>
  <c r="J9" i="231" s="1"/>
  <c r="F8" i="231"/>
  <c r="H8" i="231" s="1"/>
  <c r="J7" i="231"/>
  <c r="H7" i="231"/>
  <c r="G7" i="231"/>
  <c r="F7" i="231"/>
  <c r="I7" i="231" s="1"/>
  <c r="F6" i="231"/>
  <c r="J6" i="231" s="1"/>
  <c r="F5" i="231"/>
  <c r="J5" i="231" s="1"/>
  <c r="J4" i="231"/>
  <c r="F4" i="231"/>
  <c r="E10" i="229"/>
  <c r="D10" i="229"/>
  <c r="F10" i="229" s="1"/>
  <c r="D9" i="229"/>
  <c r="E9" i="229" s="1"/>
  <c r="F8" i="229"/>
  <c r="D8" i="229"/>
  <c r="E8" i="229" s="1"/>
  <c r="F7" i="229"/>
  <c r="D7" i="229"/>
  <c r="E7" i="229" s="1"/>
  <c r="D6" i="229"/>
  <c r="E6" i="229" s="1"/>
  <c r="D5" i="229"/>
  <c r="F5" i="229" s="1"/>
  <c r="D4" i="229"/>
  <c r="E4" i="229" s="1"/>
  <c r="C7" i="230"/>
  <c r="D7" i="230" s="1"/>
  <c r="C5" i="230"/>
  <c r="D5" i="230" s="1"/>
  <c r="C3" i="230"/>
  <c r="G11" i="227"/>
  <c r="G13" i="227" s="1"/>
  <c r="F11" i="227"/>
  <c r="F13" i="227" s="1"/>
  <c r="E11" i="227"/>
  <c r="E13" i="227" s="1"/>
  <c r="D11" i="227"/>
  <c r="D13" i="227" s="1"/>
  <c r="C11" i="227"/>
  <c r="C13" i="227" s="1"/>
  <c r="B11" i="227"/>
  <c r="P10" i="227"/>
  <c r="O10" i="227"/>
  <c r="H10" i="227"/>
  <c r="G10" i="227"/>
  <c r="U10" i="227" s="1"/>
  <c r="F10" i="227"/>
  <c r="T10" i="227" s="1"/>
  <c r="E10" i="227"/>
  <c r="S10" i="227" s="1"/>
  <c r="D10" i="227"/>
  <c r="R10" i="227" s="1"/>
  <c r="C10" i="227"/>
  <c r="Q10" i="227" s="1"/>
  <c r="T9" i="227"/>
  <c r="S9" i="227"/>
  <c r="R9" i="227"/>
  <c r="Q9" i="227"/>
  <c r="P9" i="227"/>
  <c r="O9" i="227"/>
  <c r="G9" i="227"/>
  <c r="U9" i="227" s="1"/>
  <c r="T8" i="227"/>
  <c r="S8" i="227"/>
  <c r="R8" i="227"/>
  <c r="Q8" i="227"/>
  <c r="P8" i="227"/>
  <c r="O8" i="227"/>
  <c r="G8" i="227"/>
  <c r="H8" i="227" s="1"/>
  <c r="U7" i="227"/>
  <c r="T7" i="227"/>
  <c r="S7" i="227"/>
  <c r="R7" i="227"/>
  <c r="Q7" i="227"/>
  <c r="P7" i="227"/>
  <c r="O7" i="227"/>
  <c r="G7" i="227"/>
  <c r="H7" i="227" s="1"/>
  <c r="T6" i="227"/>
  <c r="S6" i="227"/>
  <c r="R6" i="227"/>
  <c r="Q6" i="227"/>
  <c r="P6" i="227"/>
  <c r="O6" i="227"/>
  <c r="H6" i="227"/>
  <c r="G6" i="227"/>
  <c r="U6" i="227" s="1"/>
  <c r="T5" i="227"/>
  <c r="S5" i="227"/>
  <c r="R5" i="227"/>
  <c r="Q5" i="227"/>
  <c r="P5" i="227"/>
  <c r="O5" i="227"/>
  <c r="G5" i="227"/>
  <c r="H5" i="227" s="1"/>
  <c r="T4" i="227"/>
  <c r="S4" i="227"/>
  <c r="R4" i="227"/>
  <c r="Q4" i="227"/>
  <c r="P4" i="227"/>
  <c r="O4" i="227"/>
  <c r="H4" i="227"/>
  <c r="G4" i="227"/>
  <c r="U4" i="227" s="1"/>
  <c r="C11" i="225"/>
  <c r="B11" i="225"/>
  <c r="K10" i="225"/>
  <c r="I10" i="225"/>
  <c r="D10" i="225"/>
  <c r="F10" i="225" s="1"/>
  <c r="K9" i="225"/>
  <c r="I9" i="225"/>
  <c r="B9" i="225"/>
  <c r="D9" i="225" s="1"/>
  <c r="K8" i="225"/>
  <c r="J8" i="225"/>
  <c r="I8" i="225"/>
  <c r="D8" i="225"/>
  <c r="F8" i="225" s="1"/>
  <c r="K7" i="225"/>
  <c r="J7" i="225"/>
  <c r="I7" i="225"/>
  <c r="D7" i="225"/>
  <c r="E7" i="225" s="1"/>
  <c r="K6" i="225"/>
  <c r="J6" i="225"/>
  <c r="I6" i="225"/>
  <c r="D6" i="225"/>
  <c r="F6" i="225" s="1"/>
  <c r="K5" i="225"/>
  <c r="J5" i="225"/>
  <c r="I5" i="225"/>
  <c r="F5" i="225"/>
  <c r="D5" i="225"/>
  <c r="E5" i="225" s="1"/>
  <c r="K4" i="225"/>
  <c r="J4" i="225"/>
  <c r="I4" i="225"/>
  <c r="D4" i="225"/>
  <c r="E4" i="225" s="1"/>
  <c r="I11" i="223"/>
  <c r="C11" i="223"/>
  <c r="K11" i="223" s="1"/>
  <c r="B11" i="223"/>
  <c r="D11" i="223" s="1"/>
  <c r="K10" i="223"/>
  <c r="J10" i="223"/>
  <c r="I10" i="223"/>
  <c r="G10" i="223"/>
  <c r="D10" i="223"/>
  <c r="F10" i="223" s="1"/>
  <c r="K9" i="223"/>
  <c r="J9" i="223"/>
  <c r="I9" i="223"/>
  <c r="G9" i="223"/>
  <c r="D9" i="223"/>
  <c r="F9" i="223" s="1"/>
  <c r="K8" i="223"/>
  <c r="G8" i="223"/>
  <c r="I8" i="223" s="1"/>
  <c r="D8" i="223"/>
  <c r="F8" i="223" s="1"/>
  <c r="K7" i="223"/>
  <c r="J7" i="223"/>
  <c r="I7" i="223"/>
  <c r="F7" i="223"/>
  <c r="E7" i="223"/>
  <c r="D7" i="223"/>
  <c r="K6" i="223"/>
  <c r="J6" i="223"/>
  <c r="I6" i="223"/>
  <c r="D6" i="223"/>
  <c r="E6" i="223" s="1"/>
  <c r="K5" i="223"/>
  <c r="J5" i="223"/>
  <c r="I5" i="223"/>
  <c r="D5" i="223"/>
  <c r="F5" i="223" s="1"/>
  <c r="K4" i="223"/>
  <c r="J4" i="223"/>
  <c r="I4" i="223"/>
  <c r="G4" i="223"/>
  <c r="D4" i="223"/>
  <c r="F4" i="223" s="1"/>
  <c r="L14" i="228"/>
  <c r="K14" i="228"/>
  <c r="L13" i="228"/>
  <c r="K13" i="228"/>
  <c r="J13" i="228"/>
  <c r="G13" i="228"/>
  <c r="I13" i="228" s="1"/>
  <c r="L12" i="228"/>
  <c r="K12" i="228"/>
  <c r="J12" i="228"/>
  <c r="I12" i="228"/>
  <c r="H12" i="228"/>
  <c r="G12" i="228"/>
  <c r="G11" i="228"/>
  <c r="L11" i="228" s="1"/>
  <c r="L10" i="228"/>
  <c r="G10" i="228"/>
  <c r="K10" i="228" s="1"/>
  <c r="L9" i="228"/>
  <c r="K9" i="228"/>
  <c r="J9" i="228"/>
  <c r="G9" i="228"/>
  <c r="I9" i="228" s="1"/>
  <c r="L8" i="228"/>
  <c r="K8" i="228"/>
  <c r="J8" i="228"/>
  <c r="I8" i="228"/>
  <c r="H8" i="228"/>
  <c r="G8" i="228"/>
  <c r="G7" i="228"/>
  <c r="J7" i="228" s="1"/>
  <c r="L6" i="228"/>
  <c r="G6" i="228"/>
  <c r="K6" i="228" s="1"/>
  <c r="L5" i="228"/>
  <c r="K5" i="228"/>
  <c r="J5" i="228"/>
  <c r="G5" i="228"/>
  <c r="I5" i="228" s="1"/>
  <c r="L4" i="228"/>
  <c r="K4" i="228"/>
  <c r="J4" i="228"/>
  <c r="I4" i="228"/>
  <c r="H4" i="228"/>
  <c r="G4" i="228"/>
  <c r="N14" i="226"/>
  <c r="K14" i="226"/>
  <c r="J14" i="226"/>
  <c r="I14" i="226"/>
  <c r="H14" i="226"/>
  <c r="M14" i="226" s="1"/>
  <c r="H13" i="226"/>
  <c r="N13" i="226" s="1"/>
  <c r="H12" i="226"/>
  <c r="M12" i="226" s="1"/>
  <c r="N11" i="226"/>
  <c r="H11" i="226"/>
  <c r="L11" i="226" s="1"/>
  <c r="N10" i="226"/>
  <c r="M10" i="226"/>
  <c r="J10" i="226"/>
  <c r="H10" i="226"/>
  <c r="K10" i="226" s="1"/>
  <c r="L9" i="226"/>
  <c r="H9" i="226"/>
  <c r="J9" i="226" s="1"/>
  <c r="M8" i="226"/>
  <c r="L8" i="226"/>
  <c r="H8" i="226"/>
  <c r="I8" i="226" s="1"/>
  <c r="H7" i="226"/>
  <c r="N7" i="226" s="1"/>
  <c r="G6" i="226"/>
  <c r="H6" i="226" s="1"/>
  <c r="J5" i="226"/>
  <c r="H5" i="226"/>
  <c r="M5" i="226" s="1"/>
  <c r="G4" i="226"/>
  <c r="D14" i="224"/>
  <c r="D13" i="224"/>
  <c r="E13" i="224" s="1"/>
  <c r="D12" i="224"/>
  <c r="F12" i="224" s="1"/>
  <c r="F11" i="224"/>
  <c r="E11" i="224"/>
  <c r="D11" i="224"/>
  <c r="D10" i="224"/>
  <c r="F10" i="224" s="1"/>
  <c r="D9" i="224"/>
  <c r="E9" i="224" s="1"/>
  <c r="F8" i="224"/>
  <c r="D8" i="224"/>
  <c r="E8" i="224" s="1"/>
  <c r="D7" i="224"/>
  <c r="F7" i="224" s="1"/>
  <c r="D6" i="224"/>
  <c r="F6" i="224" s="1"/>
  <c r="D5" i="224"/>
  <c r="E5" i="224" s="1"/>
  <c r="D4" i="224"/>
  <c r="G14" i="222"/>
  <c r="F14" i="222"/>
  <c r="E14" i="222"/>
  <c r="F13" i="222"/>
  <c r="E13" i="222"/>
  <c r="E12" i="222"/>
  <c r="F12" i="222" s="1"/>
  <c r="E11" i="222"/>
  <c r="F11" i="222" s="1"/>
  <c r="E10" i="222"/>
  <c r="G10" i="222" s="1"/>
  <c r="G9" i="222"/>
  <c r="F9" i="222"/>
  <c r="E9" i="222"/>
  <c r="F8" i="222"/>
  <c r="E8" i="222"/>
  <c r="G8" i="222" s="1"/>
  <c r="E7" i="222"/>
  <c r="G7" i="222" s="1"/>
  <c r="G6" i="222"/>
  <c r="F6" i="222"/>
  <c r="E6" i="222"/>
  <c r="E5" i="222"/>
  <c r="G5" i="222" s="1"/>
  <c r="E4" i="222"/>
  <c r="G4" i="222" s="1"/>
  <c r="F14" i="219"/>
  <c r="E14" i="219"/>
  <c r="E13" i="219"/>
  <c r="G13" i="219" s="1"/>
  <c r="E12" i="219"/>
  <c r="G12" i="219" s="1"/>
  <c r="E11" i="219"/>
  <c r="H11" i="219" s="1"/>
  <c r="E10" i="219"/>
  <c r="G10" i="219" s="1"/>
  <c r="E9" i="219"/>
  <c r="F9" i="219" s="1"/>
  <c r="E8" i="219"/>
  <c r="G8" i="219" s="1"/>
  <c r="E7" i="219"/>
  <c r="G7" i="219" s="1"/>
  <c r="E6" i="219"/>
  <c r="G6" i="219" s="1"/>
  <c r="E5" i="219"/>
  <c r="E4" i="219"/>
  <c r="G4" i="219" s="1"/>
  <c r="B36" i="452"/>
  <c r="K26" i="217"/>
  <c r="K25" i="217"/>
  <c r="K24" i="217"/>
  <c r="K23" i="217"/>
  <c r="T14" i="217"/>
  <c r="S14" i="217"/>
  <c r="R14" i="217"/>
  <c r="Q14" i="217"/>
  <c r="P14" i="217"/>
  <c r="O14" i="217"/>
  <c r="N14" i="217"/>
  <c r="M14" i="217"/>
  <c r="L14" i="217"/>
  <c r="K14" i="217"/>
  <c r="T13" i="217"/>
  <c r="S13" i="217"/>
  <c r="R13" i="217"/>
  <c r="Q13" i="217"/>
  <c r="P13" i="217"/>
  <c r="O13" i="217"/>
  <c r="N13" i="217"/>
  <c r="M13" i="217"/>
  <c r="L13" i="217"/>
  <c r="K13" i="217"/>
  <c r="T12" i="217"/>
  <c r="S12" i="217"/>
  <c r="R12" i="217"/>
  <c r="Q12" i="217"/>
  <c r="P12" i="217"/>
  <c r="O12" i="217"/>
  <c r="N12" i="217"/>
  <c r="M12" i="217"/>
  <c r="L12" i="217"/>
  <c r="K12" i="217"/>
  <c r="T11" i="217"/>
  <c r="S11" i="217"/>
  <c r="R11" i="217"/>
  <c r="Q11" i="217"/>
  <c r="P11" i="217"/>
  <c r="O11" i="217"/>
  <c r="N11" i="217"/>
  <c r="M11" i="217"/>
  <c r="L11" i="217"/>
  <c r="K11" i="217"/>
  <c r="Q10" i="217"/>
  <c r="P10" i="217"/>
  <c r="O10" i="217"/>
  <c r="N10" i="217"/>
  <c r="M10" i="217"/>
  <c r="K10" i="217"/>
  <c r="T10" i="217" s="1"/>
  <c r="R9" i="217"/>
  <c r="Q9" i="217"/>
  <c r="P9" i="217"/>
  <c r="O9" i="217"/>
  <c r="K9" i="217"/>
  <c r="K22" i="217" s="1"/>
  <c r="R8" i="217"/>
  <c r="Q8" i="217"/>
  <c r="K8" i="217"/>
  <c r="P8" i="217" s="1"/>
  <c r="K7" i="217"/>
  <c r="R7" i="217" s="1"/>
  <c r="Q6" i="217"/>
  <c r="P6" i="217"/>
  <c r="O6" i="217"/>
  <c r="N6" i="217"/>
  <c r="M6" i="217"/>
  <c r="K6" i="217"/>
  <c r="T6" i="217" s="1"/>
  <c r="R5" i="217"/>
  <c r="Q5" i="217"/>
  <c r="P5" i="217"/>
  <c r="O5" i="217"/>
  <c r="K5" i="217"/>
  <c r="N5" i="217" s="1"/>
  <c r="R4" i="217"/>
  <c r="Q4" i="217"/>
  <c r="K4" i="217"/>
  <c r="P4" i="217" s="1"/>
  <c r="D14" i="215"/>
  <c r="E14" i="215" s="1"/>
  <c r="D13" i="215"/>
  <c r="F13" i="215" s="1"/>
  <c r="F12" i="215"/>
  <c r="D12" i="215"/>
  <c r="E12" i="215" s="1"/>
  <c r="D11" i="215"/>
  <c r="C6" i="230" s="1"/>
  <c r="D6" i="230" s="1"/>
  <c r="F10" i="215"/>
  <c r="D10" i="215"/>
  <c r="E10" i="215" s="1"/>
  <c r="D9" i="215"/>
  <c r="F8" i="215"/>
  <c r="D8" i="215"/>
  <c r="E8" i="215" s="1"/>
  <c r="D7" i="215"/>
  <c r="F6" i="215"/>
  <c r="D6" i="215"/>
  <c r="E6" i="215" s="1"/>
  <c r="D5" i="215"/>
  <c r="C5" i="389" s="1"/>
  <c r="F4" i="215"/>
  <c r="D4" i="215"/>
  <c r="E4" i="215" s="1"/>
  <c r="C11" i="307"/>
  <c r="C10" i="307"/>
  <c r="C9" i="307"/>
  <c r="C8" i="307"/>
  <c r="C7" i="307"/>
  <c r="C6" i="307"/>
  <c r="C5" i="307"/>
  <c r="E17" i="282"/>
  <c r="E16" i="282"/>
  <c r="G16" i="282" s="1"/>
  <c r="E15" i="282"/>
  <c r="G15" i="282" s="1"/>
  <c r="E14" i="282"/>
  <c r="G14" i="282" s="1"/>
  <c r="E13" i="282"/>
  <c r="F13" i="282" s="1"/>
  <c r="E12" i="282"/>
  <c r="G12" i="282" s="1"/>
  <c r="E11" i="282"/>
  <c r="G11" i="282" s="1"/>
  <c r="E10" i="282"/>
  <c r="F10" i="282" s="1"/>
  <c r="E9" i="282"/>
  <c r="G9" i="282" s="1"/>
  <c r="E8" i="282"/>
  <c r="F8" i="282" s="1"/>
  <c r="G7" i="282"/>
  <c r="E7" i="282"/>
  <c r="F7" i="282" s="1"/>
  <c r="E6" i="282"/>
  <c r="F6" i="282" s="1"/>
  <c r="E5" i="282"/>
  <c r="I7" i="396"/>
  <c r="H7" i="396"/>
  <c r="G7" i="396"/>
  <c r="F7" i="396"/>
  <c r="E7" i="396"/>
  <c r="D7" i="396"/>
  <c r="C7" i="396"/>
  <c r="B7" i="396"/>
  <c r="I7" i="397"/>
  <c r="H7" i="397"/>
  <c r="G7" i="397"/>
  <c r="F7" i="397"/>
  <c r="E7" i="397"/>
  <c r="D7" i="397"/>
  <c r="C7" i="397"/>
  <c r="B7" i="397"/>
  <c r="D9" i="412"/>
  <c r="D8" i="412"/>
  <c r="D7" i="412"/>
  <c r="D6" i="412"/>
  <c r="D5" i="412"/>
  <c r="D4" i="412"/>
  <c r="B18" i="425"/>
  <c r="B14" i="425"/>
  <c r="B13" i="425"/>
  <c r="B12" i="425"/>
  <c r="B11" i="425"/>
  <c r="B10" i="425"/>
  <c r="B9" i="425"/>
  <c r="B8" i="425"/>
  <c r="B7" i="425"/>
  <c r="B6" i="425"/>
  <c r="B5" i="425"/>
  <c r="B4" i="425"/>
  <c r="H9" i="79"/>
  <c r="E9" i="79" s="1"/>
  <c r="H8" i="79"/>
  <c r="G8" i="79" s="1"/>
  <c r="H7" i="79"/>
  <c r="E7" i="79" s="1"/>
  <c r="H6" i="79"/>
  <c r="G6" i="79" s="1"/>
  <c r="H5" i="79"/>
  <c r="E5" i="79" s="1"/>
  <c r="H15" i="78"/>
  <c r="G15" i="78"/>
  <c r="E15" i="78"/>
  <c r="C15" i="78"/>
  <c r="H14" i="78"/>
  <c r="G14" i="78" s="1"/>
  <c r="H13" i="78"/>
  <c r="G13" i="78"/>
  <c r="E13" i="78"/>
  <c r="C13" i="78"/>
  <c r="H12" i="78"/>
  <c r="G12" i="78"/>
  <c r="E12" i="78"/>
  <c r="C12" i="78"/>
  <c r="H11" i="78"/>
  <c r="E11" i="78" s="1"/>
  <c r="G11" i="78"/>
  <c r="G10" i="78"/>
  <c r="E10" i="78"/>
  <c r="C10" i="78"/>
  <c r="H9" i="78"/>
  <c r="G9" i="78"/>
  <c r="E9" i="78"/>
  <c r="C9" i="78"/>
  <c r="H8" i="78"/>
  <c r="C8" i="78" s="1"/>
  <c r="G8" i="78"/>
  <c r="E8" i="78"/>
  <c r="H7" i="78"/>
  <c r="G7" i="78"/>
  <c r="E7" i="78"/>
  <c r="C7" i="78"/>
  <c r="H6" i="78"/>
  <c r="G6" i="78" s="1"/>
  <c r="H5" i="78"/>
  <c r="G5" i="78"/>
  <c r="E5" i="78"/>
  <c r="C5" i="78"/>
  <c r="D16" i="395"/>
  <c r="D15" i="395"/>
  <c r="D14" i="395"/>
  <c r="D13" i="395"/>
  <c r="D12" i="395"/>
  <c r="D11" i="395"/>
  <c r="D10" i="395"/>
  <c r="D9" i="395"/>
  <c r="D8" i="395"/>
  <c r="D7" i="395"/>
  <c r="D6" i="395"/>
  <c r="D5" i="395"/>
  <c r="B12" i="392"/>
  <c r="C4" i="392"/>
  <c r="E15" i="283"/>
  <c r="C15" i="283"/>
  <c r="E14" i="283"/>
  <c r="C14" i="283"/>
  <c r="E13" i="283"/>
  <c r="C13" i="283"/>
  <c r="E12" i="283"/>
  <c r="C12" i="283"/>
  <c r="E11" i="283"/>
  <c r="C11" i="283"/>
  <c r="E10" i="283"/>
  <c r="C10" i="283"/>
  <c r="E9" i="283"/>
  <c r="C9" i="283"/>
  <c r="E8" i="283"/>
  <c r="C8" i="283"/>
  <c r="E7" i="283"/>
  <c r="C7" i="283"/>
  <c r="E6" i="283"/>
  <c r="C6" i="283"/>
  <c r="E5" i="283"/>
  <c r="C5" i="283"/>
  <c r="E4" i="283"/>
  <c r="L17" i="444"/>
  <c r="J17" i="444"/>
  <c r="I17" i="444"/>
  <c r="H17" i="444"/>
  <c r="G17" i="444"/>
  <c r="F17" i="444"/>
  <c r="E17" i="444"/>
  <c r="D17" i="444"/>
  <c r="C17" i="444"/>
  <c r="B17" i="444"/>
  <c r="C12" i="444"/>
  <c r="C11" i="444"/>
  <c r="D8" i="444"/>
  <c r="N12" i="29"/>
  <c r="M12" i="29"/>
  <c r="L12" i="29"/>
  <c r="K12" i="29"/>
  <c r="J12" i="29"/>
  <c r="I12" i="29"/>
  <c r="H12" i="29"/>
  <c r="G12" i="29"/>
  <c r="F12" i="29"/>
  <c r="E12" i="29"/>
  <c r="D12" i="29"/>
  <c r="C12" i="29"/>
  <c r="B12" i="29"/>
  <c r="B12" i="447"/>
  <c r="B11" i="447"/>
  <c r="B10" i="447"/>
  <c r="B9" i="447"/>
  <c r="B8" i="447"/>
  <c r="B7" i="447"/>
  <c r="C16" i="72"/>
  <c r="B16" i="72"/>
  <c r="C15" i="72"/>
  <c r="B15" i="72"/>
  <c r="C14" i="72"/>
  <c r="B14" i="72"/>
  <c r="C13" i="72"/>
  <c r="B13" i="72"/>
  <c r="D13" i="72" s="1"/>
  <c r="C12" i="72"/>
  <c r="B12" i="72"/>
  <c r="C11" i="72"/>
  <c r="B11" i="72"/>
  <c r="C10" i="72"/>
  <c r="B10" i="72"/>
  <c r="C9" i="72"/>
  <c r="B9" i="72"/>
  <c r="D9" i="72" s="1"/>
  <c r="C8" i="72"/>
  <c r="B8" i="72"/>
  <c r="C7" i="72"/>
  <c r="B7" i="72"/>
  <c r="C6" i="72"/>
  <c r="B6" i="72"/>
  <c r="C5" i="72"/>
  <c r="B5" i="72"/>
  <c r="C4" i="72"/>
  <c r="B4" i="72"/>
  <c r="B9" i="179"/>
  <c r="K16" i="451"/>
  <c r="H58" i="450"/>
  <c r="M33" i="450"/>
  <c r="L33" i="450"/>
  <c r="K33" i="450"/>
  <c r="J33" i="450"/>
  <c r="I33" i="450"/>
  <c r="H33" i="450"/>
  <c r="G33" i="450"/>
  <c r="F33" i="450"/>
  <c r="E33" i="450"/>
  <c r="H9" i="54"/>
  <c r="H6" i="54"/>
  <c r="H5" i="54"/>
  <c r="H4" i="54"/>
  <c r="I8" i="391"/>
  <c r="H8" i="391"/>
  <c r="G8" i="391"/>
  <c r="F8" i="391"/>
  <c r="E8" i="391"/>
  <c r="D8" i="391"/>
  <c r="C8" i="391"/>
  <c r="B8" i="391"/>
  <c r="L3" i="391"/>
  <c r="L8" i="391" s="1"/>
  <c r="D15" i="445"/>
  <c r="B15" i="445"/>
  <c r="D14" i="445"/>
  <c r="B14" i="445"/>
  <c r="D13" i="445"/>
  <c r="B13" i="445"/>
  <c r="D12" i="445"/>
  <c r="B12" i="445"/>
  <c r="E11" i="445"/>
  <c r="D11" i="445"/>
  <c r="B11" i="445"/>
  <c r="E10" i="445"/>
  <c r="D10" i="445"/>
  <c r="B10" i="445"/>
  <c r="E9" i="445"/>
  <c r="D9" i="445"/>
  <c r="B9" i="445"/>
  <c r="E8" i="445"/>
  <c r="D8" i="445"/>
  <c r="F8" i="445" s="1"/>
  <c r="H8" i="445" s="1"/>
  <c r="E7" i="445"/>
  <c r="D7" i="445"/>
  <c r="F7" i="445" s="1"/>
  <c r="H7" i="445" s="1"/>
  <c r="E6" i="445"/>
  <c r="D6" i="445"/>
  <c r="E5" i="445"/>
  <c r="D5" i="445"/>
  <c r="F16" i="401"/>
  <c r="F15" i="401"/>
  <c r="F14" i="401"/>
  <c r="F13" i="401"/>
  <c r="F12" i="401"/>
  <c r="F11" i="401"/>
  <c r="F10" i="401"/>
  <c r="F9" i="401"/>
  <c r="F8" i="401"/>
  <c r="F7" i="401"/>
  <c r="F6" i="401"/>
  <c r="F5" i="401"/>
  <c r="F4" i="401"/>
  <c r="D15" i="400"/>
  <c r="D14" i="400"/>
  <c r="D13" i="400"/>
  <c r="D12" i="400"/>
  <c r="D11" i="400"/>
  <c r="D10" i="400"/>
  <c r="D9" i="400"/>
  <c r="D8" i="400"/>
  <c r="D7" i="400"/>
  <c r="D6" i="400"/>
  <c r="D5" i="400"/>
  <c r="D4" i="400"/>
  <c r="N17" i="449"/>
  <c r="L17" i="449"/>
  <c r="K17" i="449"/>
  <c r="G17" i="449"/>
  <c r="N16" i="449"/>
  <c r="L16" i="449"/>
  <c r="K16" i="449"/>
  <c r="G16" i="449"/>
  <c r="M16" i="449" s="1"/>
  <c r="N15" i="449"/>
  <c r="L15" i="449"/>
  <c r="K15" i="449"/>
  <c r="M15" i="449" s="1"/>
  <c r="G15" i="449"/>
  <c r="N14" i="449"/>
  <c r="L14" i="449"/>
  <c r="K14" i="449"/>
  <c r="G14" i="449"/>
  <c r="M14" i="449" s="1"/>
  <c r="N13" i="449"/>
  <c r="M13" i="449"/>
  <c r="L13" i="449"/>
  <c r="K13" i="449"/>
  <c r="G13" i="449"/>
  <c r="N12" i="449"/>
  <c r="L12" i="449"/>
  <c r="K12" i="449"/>
  <c r="G12" i="449"/>
  <c r="M12" i="449" s="1"/>
  <c r="N11" i="449"/>
  <c r="L11" i="449"/>
  <c r="K11" i="449"/>
  <c r="G11" i="449"/>
  <c r="M11" i="449" s="1"/>
  <c r="N10" i="449"/>
  <c r="L10" i="449"/>
  <c r="K10" i="449"/>
  <c r="G10" i="449"/>
  <c r="M10" i="449" s="1"/>
  <c r="N9" i="449"/>
  <c r="L9" i="449"/>
  <c r="K9" i="449"/>
  <c r="G9" i="449"/>
  <c r="N8" i="449"/>
  <c r="L8" i="449"/>
  <c r="K8" i="449"/>
  <c r="G8" i="449"/>
  <c r="M8" i="449" s="1"/>
  <c r="N7" i="449"/>
  <c r="L7" i="449"/>
  <c r="K7" i="449"/>
  <c r="G7" i="449"/>
  <c r="M7" i="449" s="1"/>
  <c r="N6" i="449"/>
  <c r="L6" i="449"/>
  <c r="K6" i="449"/>
  <c r="G6" i="449"/>
  <c r="M6" i="449" s="1"/>
  <c r="N5" i="449"/>
  <c r="L5" i="449"/>
  <c r="K5" i="449"/>
  <c r="G5" i="449"/>
  <c r="C13" i="389"/>
  <c r="B13" i="389"/>
  <c r="C12" i="389"/>
  <c r="C10" i="389"/>
  <c r="C8" i="389"/>
  <c r="C7" i="389"/>
  <c r="C6" i="389"/>
  <c r="E4" i="389"/>
  <c r="C4" i="389"/>
  <c r="F17" i="387"/>
  <c r="F12" i="387"/>
  <c r="F9" i="387"/>
  <c r="E8" i="387"/>
  <c r="D8" i="387"/>
  <c r="C8" i="387"/>
  <c r="B8" i="387"/>
  <c r="E44" i="386"/>
  <c r="D44" i="386"/>
  <c r="E43" i="386"/>
  <c r="D43" i="386"/>
  <c r="E42" i="386"/>
  <c r="D42" i="386"/>
  <c r="E41" i="386"/>
  <c r="D41" i="386"/>
  <c r="E40" i="386"/>
  <c r="D40" i="386"/>
  <c r="E39" i="386"/>
  <c r="D39" i="386"/>
  <c r="E38" i="386"/>
  <c r="D38" i="386"/>
  <c r="E37" i="386"/>
  <c r="D37" i="386"/>
  <c r="E36" i="386"/>
  <c r="D36" i="386"/>
  <c r="E35" i="386"/>
  <c r="D35" i="386"/>
  <c r="E34" i="386"/>
  <c r="D34" i="386"/>
  <c r="E33" i="386"/>
  <c r="D33" i="386"/>
  <c r="E32" i="386"/>
  <c r="D32" i="386"/>
  <c r="E31" i="386"/>
  <c r="D31" i="386"/>
  <c r="E30" i="386"/>
  <c r="D30" i="386"/>
  <c r="AP20" i="386"/>
  <c r="AO20" i="386"/>
  <c r="AQ19" i="386"/>
  <c r="AQ18" i="386"/>
  <c r="F18" i="386"/>
  <c r="D18" i="386"/>
  <c r="AQ17" i="386"/>
  <c r="B17" i="386"/>
  <c r="AQ16" i="386"/>
  <c r="B16" i="386"/>
  <c r="G16" i="386" s="1"/>
  <c r="AQ15" i="386"/>
  <c r="B15" i="386"/>
  <c r="G15" i="386" s="1"/>
  <c r="AQ14" i="386"/>
  <c r="B14" i="386"/>
  <c r="G14" i="386" s="1"/>
  <c r="AQ13" i="386"/>
  <c r="B13" i="386"/>
  <c r="E13" i="386" s="1"/>
  <c r="AQ12" i="386"/>
  <c r="B12" i="386"/>
  <c r="E12" i="386" s="1"/>
  <c r="AQ11" i="386"/>
  <c r="B11" i="386"/>
  <c r="E11" i="386" s="1"/>
  <c r="AQ10" i="386"/>
  <c r="B10" i="386"/>
  <c r="G10" i="386" s="1"/>
  <c r="AQ9" i="386"/>
  <c r="B9" i="386"/>
  <c r="E9" i="386" s="1"/>
  <c r="AQ8" i="386"/>
  <c r="B8" i="386"/>
  <c r="G8" i="386" s="1"/>
  <c r="AQ7" i="386"/>
  <c r="B7" i="386"/>
  <c r="E7" i="386" s="1"/>
  <c r="AP6" i="386"/>
  <c r="B6" i="386"/>
  <c r="E6" i="386" s="1"/>
  <c r="AP5" i="386"/>
  <c r="B5" i="386"/>
  <c r="G5" i="386" s="1"/>
  <c r="B4" i="386"/>
  <c r="E4" i="386" s="1"/>
  <c r="B3" i="386"/>
  <c r="E3" i="386" s="1"/>
  <c r="E9" i="385"/>
  <c r="D9" i="385"/>
  <c r="E8" i="385"/>
  <c r="D8" i="385"/>
  <c r="E7" i="385"/>
  <c r="D7" i="385"/>
  <c r="E6" i="385"/>
  <c r="D6" i="385"/>
  <c r="E5" i="385"/>
  <c r="E4" i="385"/>
  <c r="O18" i="384"/>
  <c r="N18" i="384"/>
  <c r="J18" i="384"/>
  <c r="I18" i="384"/>
  <c r="H18" i="384"/>
  <c r="G18" i="384"/>
  <c r="M15" i="384"/>
  <c r="L15" i="384"/>
  <c r="J15" i="384"/>
  <c r="I15" i="384"/>
  <c r="H15" i="384"/>
  <c r="F15" i="384"/>
  <c r="D15" i="384"/>
  <c r="C15" i="384"/>
  <c r="B15" i="384"/>
  <c r="O14" i="384"/>
  <c r="N14" i="384"/>
  <c r="M14" i="384"/>
  <c r="L14" i="384"/>
  <c r="F14" i="384"/>
  <c r="D14" i="384"/>
  <c r="C14" i="384"/>
  <c r="B14" i="384"/>
  <c r="O13" i="384"/>
  <c r="N13" i="384"/>
  <c r="M13" i="384"/>
  <c r="L13" i="384"/>
  <c r="J13" i="384"/>
  <c r="I13" i="384"/>
  <c r="H13" i="384"/>
  <c r="G13" i="384"/>
  <c r="F13" i="384"/>
  <c r="E13" i="384"/>
  <c r="D13" i="384"/>
  <c r="C13" i="384"/>
  <c r="B13" i="384"/>
  <c r="O12" i="384"/>
  <c r="N12" i="384"/>
  <c r="M12" i="384"/>
  <c r="L12" i="384"/>
  <c r="J12" i="384"/>
  <c r="I12" i="384"/>
  <c r="H12" i="384"/>
  <c r="G12" i="384"/>
  <c r="F12" i="384"/>
  <c r="E12" i="384"/>
  <c r="D12" i="384"/>
  <c r="C12" i="384"/>
  <c r="B12" i="384"/>
  <c r="O11" i="384"/>
  <c r="N11" i="384"/>
  <c r="M11" i="384"/>
  <c r="L11" i="384"/>
  <c r="J11" i="384"/>
  <c r="I11" i="384"/>
  <c r="H11" i="384"/>
  <c r="G11" i="384"/>
  <c r="F11" i="384"/>
  <c r="E11" i="384"/>
  <c r="D11" i="384"/>
  <c r="C11" i="384"/>
  <c r="B11" i="384"/>
  <c r="O10" i="384"/>
  <c r="N10" i="384"/>
  <c r="M10" i="384"/>
  <c r="L10" i="384"/>
  <c r="J10" i="384"/>
  <c r="I10" i="384"/>
  <c r="H10" i="384"/>
  <c r="G10" i="384"/>
  <c r="F10" i="384"/>
  <c r="E10" i="384"/>
  <c r="D10" i="384"/>
  <c r="C10" i="384"/>
  <c r="B10" i="384"/>
  <c r="N9" i="384"/>
  <c r="M9" i="384"/>
  <c r="L9" i="384"/>
  <c r="J9" i="384"/>
  <c r="I9" i="384"/>
  <c r="H9" i="384"/>
  <c r="G9" i="384"/>
  <c r="F9" i="384"/>
  <c r="E9" i="384"/>
  <c r="D9" i="384"/>
  <c r="C9" i="384"/>
  <c r="B9" i="384"/>
  <c r="O8" i="384"/>
  <c r="N8" i="384"/>
  <c r="M8" i="384"/>
  <c r="L8" i="384"/>
  <c r="J8" i="384"/>
  <c r="I8" i="384"/>
  <c r="H8" i="384"/>
  <c r="G8" i="384"/>
  <c r="F8" i="384"/>
  <c r="E8" i="384"/>
  <c r="D8" i="384"/>
  <c r="C8" i="384"/>
  <c r="B8" i="384"/>
  <c r="O7" i="384"/>
  <c r="N7" i="384"/>
  <c r="M7" i="384"/>
  <c r="L7" i="384"/>
  <c r="J7" i="384"/>
  <c r="I7" i="384"/>
  <c r="H7" i="384"/>
  <c r="G7" i="384"/>
  <c r="F7" i="384"/>
  <c r="E7" i="384"/>
  <c r="D7" i="384"/>
  <c r="C7" i="384"/>
  <c r="B7" i="384"/>
  <c r="O6" i="384"/>
  <c r="N6" i="384"/>
  <c r="M6" i="384"/>
  <c r="L6" i="384"/>
  <c r="J6" i="384"/>
  <c r="I6" i="384"/>
  <c r="H6" i="384"/>
  <c r="G6" i="384"/>
  <c r="F6" i="384"/>
  <c r="E6" i="384"/>
  <c r="D6" i="384"/>
  <c r="C6" i="384"/>
  <c r="B6" i="384"/>
  <c r="O5" i="384"/>
  <c r="N5" i="384"/>
  <c r="M5" i="384"/>
  <c r="L5" i="384"/>
  <c r="J5" i="384"/>
  <c r="I5" i="384"/>
  <c r="H5" i="384"/>
  <c r="G5" i="384"/>
  <c r="F5" i="384"/>
  <c r="E5" i="384"/>
  <c r="D5" i="384"/>
  <c r="C5" i="384"/>
  <c r="B5" i="384"/>
  <c r="P15" i="383"/>
  <c r="O15" i="383"/>
  <c r="M15" i="383"/>
  <c r="K15" i="383"/>
  <c r="J15" i="383"/>
  <c r="I15" i="383"/>
  <c r="H15" i="383"/>
  <c r="G15" i="383"/>
  <c r="E15" i="383"/>
  <c r="P14" i="383"/>
  <c r="M14" i="383"/>
  <c r="K14" i="383"/>
  <c r="H14" i="383"/>
  <c r="P13" i="383"/>
  <c r="K13" i="383"/>
  <c r="P12" i="383"/>
  <c r="K12" i="383"/>
  <c r="P11" i="383"/>
  <c r="K11" i="383"/>
  <c r="P10" i="383"/>
  <c r="K10" i="383"/>
  <c r="P9" i="383"/>
  <c r="K9" i="383"/>
  <c r="P8" i="383"/>
  <c r="K8" i="383"/>
  <c r="P7" i="383"/>
  <c r="K7" i="383"/>
  <c r="P6" i="383"/>
  <c r="K6" i="383"/>
  <c r="P5" i="383"/>
  <c r="K5" i="383"/>
  <c r="O14" i="382"/>
  <c r="O16" i="382" s="1"/>
  <c r="N14" i="382"/>
  <c r="N15" i="384" s="1"/>
  <c r="J14" i="382"/>
  <c r="I14" i="382"/>
  <c r="H14" i="382"/>
  <c r="G14" i="382"/>
  <c r="G15" i="384" s="1"/>
  <c r="E14" i="382"/>
  <c r="K14" i="382" s="1"/>
  <c r="N13" i="382"/>
  <c r="N16" i="382" s="1"/>
  <c r="J13" i="382"/>
  <c r="J16" i="382" s="1"/>
  <c r="I13" i="382"/>
  <c r="I16" i="382" s="1"/>
  <c r="H13" i="382"/>
  <c r="H16" i="382" s="1"/>
  <c r="G13" i="382"/>
  <c r="G16" i="382" s="1"/>
  <c r="E13" i="382"/>
  <c r="E16" i="382" s="1"/>
  <c r="P12" i="382"/>
  <c r="K12" i="382"/>
  <c r="Q12" i="382" s="1"/>
  <c r="P11" i="382"/>
  <c r="K11" i="382"/>
  <c r="Q11" i="382" s="1"/>
  <c r="P10" i="382"/>
  <c r="Q10" i="382" s="1"/>
  <c r="K10" i="382"/>
  <c r="P9" i="382"/>
  <c r="K9" i="382"/>
  <c r="Q9" i="382" s="1"/>
  <c r="P8" i="382"/>
  <c r="K8" i="382"/>
  <c r="Q8" i="382" s="1"/>
  <c r="Q7" i="382"/>
  <c r="P7" i="382"/>
  <c r="K7" i="382"/>
  <c r="P6" i="382"/>
  <c r="K6" i="382"/>
  <c r="Q6" i="382" s="1"/>
  <c r="P5" i="382"/>
  <c r="Q5" i="382" s="1"/>
  <c r="K5" i="382"/>
  <c r="P4" i="382"/>
  <c r="K4" i="382"/>
  <c r="B15" i="381"/>
  <c r="C37" i="380"/>
  <c r="B37" i="380"/>
  <c r="C36" i="380"/>
  <c r="B36" i="380"/>
  <c r="A36" i="380"/>
  <c r="C35" i="380"/>
  <c r="B35" i="380"/>
  <c r="A35" i="380"/>
  <c r="E34" i="380"/>
  <c r="C34" i="380"/>
  <c r="B34" i="380"/>
  <c r="A34" i="380"/>
  <c r="C33" i="380"/>
  <c r="B33" i="380"/>
  <c r="A33" i="380"/>
  <c r="C32" i="380"/>
  <c r="B32" i="380"/>
  <c r="A32" i="380"/>
  <c r="E31" i="380"/>
  <c r="D31" i="380"/>
  <c r="C31" i="380"/>
  <c r="B31" i="380"/>
  <c r="A31" i="380"/>
  <c r="C30" i="380"/>
  <c r="B30" i="380"/>
  <c r="A30" i="380"/>
  <c r="E29" i="380"/>
  <c r="C29" i="380"/>
  <c r="B29" i="380"/>
  <c r="A29" i="380"/>
  <c r="C28" i="380"/>
  <c r="B28" i="380"/>
  <c r="A28" i="380"/>
  <c r="C27" i="380"/>
  <c r="B27" i="380"/>
  <c r="A27" i="380"/>
  <c r="C26" i="380"/>
  <c r="B26" i="380"/>
  <c r="A26" i="380"/>
  <c r="G19" i="380"/>
  <c r="D19"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T4" i="380"/>
  <c r="D37" i="380" s="1"/>
  <c r="B26" i="379"/>
  <c r="M17" i="379"/>
  <c r="L17" i="379"/>
  <c r="G17" i="379"/>
  <c r="F17" i="379"/>
  <c r="E17" i="379"/>
  <c r="B17" i="379"/>
  <c r="M14" i="379"/>
  <c r="L14" i="379"/>
  <c r="K14" i="379"/>
  <c r="J14" i="379"/>
  <c r="G14" i="379"/>
  <c r="F14" i="379"/>
  <c r="E14" i="379"/>
  <c r="B14" i="379"/>
  <c r="M13" i="379"/>
  <c r="L13" i="379"/>
  <c r="K13" i="379"/>
  <c r="J13" i="379"/>
  <c r="G13" i="379"/>
  <c r="F13" i="379"/>
  <c r="E13" i="379"/>
  <c r="B13" i="379"/>
  <c r="M12" i="379"/>
  <c r="L12" i="379"/>
  <c r="K12" i="379"/>
  <c r="J12" i="379"/>
  <c r="G12" i="379"/>
  <c r="F12" i="379"/>
  <c r="E12" i="379"/>
  <c r="B12" i="379"/>
  <c r="M11" i="379"/>
  <c r="L11" i="379"/>
  <c r="K11" i="379"/>
  <c r="J11" i="379"/>
  <c r="F11" i="379"/>
  <c r="E11" i="379"/>
  <c r="B11" i="379"/>
  <c r="M10" i="379"/>
  <c r="L10" i="379"/>
  <c r="K10" i="379"/>
  <c r="J10" i="379"/>
  <c r="F10" i="379"/>
  <c r="E10" i="379"/>
  <c r="B10" i="379"/>
  <c r="M9" i="379"/>
  <c r="L9" i="379"/>
  <c r="K9" i="379"/>
  <c r="J9" i="379"/>
  <c r="F9" i="379"/>
  <c r="E9" i="379"/>
  <c r="B9" i="379"/>
  <c r="M8" i="379"/>
  <c r="L8" i="379"/>
  <c r="K8" i="379"/>
  <c r="J8" i="379"/>
  <c r="F8" i="379"/>
  <c r="E8" i="379"/>
  <c r="B8" i="379"/>
  <c r="M7" i="379"/>
  <c r="L7" i="379"/>
  <c r="K7" i="379"/>
  <c r="J7" i="379"/>
  <c r="F7" i="379"/>
  <c r="E7" i="379"/>
  <c r="B7" i="379"/>
  <c r="M6" i="379"/>
  <c r="L6" i="379"/>
  <c r="K6" i="379"/>
  <c r="J6" i="379"/>
  <c r="F6" i="379"/>
  <c r="E6" i="379"/>
  <c r="B6" i="379"/>
  <c r="M5" i="379"/>
  <c r="L5" i="379"/>
  <c r="K5" i="379"/>
  <c r="J5" i="379"/>
  <c r="F5" i="379"/>
  <c r="E5" i="379"/>
  <c r="B5" i="379"/>
  <c r="M4" i="379"/>
  <c r="L4" i="379"/>
  <c r="K4" i="379"/>
  <c r="J4" i="379"/>
  <c r="F4" i="379"/>
  <c r="E4" i="379"/>
  <c r="B4" i="379"/>
  <c r="J4" i="274"/>
  <c r="B5" i="274" s="1"/>
  <c r="B14" i="273"/>
  <c r="C9" i="273" s="1"/>
  <c r="C4" i="272"/>
  <c r="E16" i="374"/>
  <c r="E14" i="374"/>
  <c r="E13" i="374"/>
  <c r="E12" i="374"/>
  <c r="E11" i="374"/>
  <c r="E10" i="374"/>
  <c r="E9" i="374"/>
  <c r="E8" i="374"/>
  <c r="E7" i="374"/>
  <c r="E6" i="374"/>
  <c r="E5" i="374"/>
  <c r="E4" i="374"/>
  <c r="E3" i="374"/>
  <c r="D16" i="375"/>
  <c r="D11" i="375"/>
  <c r="D10" i="375"/>
  <c r="D9" i="375"/>
  <c r="D8" i="375"/>
  <c r="D7" i="375"/>
  <c r="D6" i="375"/>
  <c r="D5" i="375"/>
  <c r="D4" i="375"/>
  <c r="D15" i="407"/>
  <c r="D14" i="407"/>
  <c r="D13" i="407"/>
  <c r="D12" i="407"/>
  <c r="D11" i="407"/>
  <c r="D10" i="407"/>
  <c r="D9" i="407"/>
  <c r="D8" i="407"/>
  <c r="D7" i="407"/>
  <c r="D6" i="407"/>
  <c r="D5" i="407"/>
  <c r="D4" i="407"/>
  <c r="B11" i="377"/>
  <c r="B9" i="377"/>
  <c r="B8" i="377"/>
  <c r="B7" i="377"/>
  <c r="B6" i="377"/>
  <c r="B5" i="377"/>
  <c r="B4" i="377"/>
  <c r="D14" i="61"/>
  <c r="D13" i="61"/>
  <c r="D12" i="61"/>
  <c r="D11" i="61"/>
  <c r="D10" i="61"/>
  <c r="D9" i="61"/>
  <c r="D8" i="61"/>
  <c r="D7" i="61"/>
  <c r="D6" i="61"/>
  <c r="D5" i="61"/>
  <c r="H12" i="435"/>
  <c r="E12" i="435"/>
  <c r="H11" i="435"/>
  <c r="E11" i="435"/>
  <c r="H10" i="435"/>
  <c r="E10" i="435"/>
  <c r="H9" i="435"/>
  <c r="E9" i="435"/>
  <c r="H8" i="435"/>
  <c r="E8" i="435"/>
  <c r="H7" i="435"/>
  <c r="E7" i="435"/>
  <c r="H6" i="435"/>
  <c r="E6" i="435"/>
  <c r="I6" i="435" s="1"/>
  <c r="H5" i="435"/>
  <c r="E5" i="435"/>
  <c r="E10" i="345"/>
  <c r="E9" i="345"/>
  <c r="E8" i="345"/>
  <c r="E7" i="345"/>
  <c r="E6" i="345"/>
  <c r="E5" i="345"/>
  <c r="E4" i="345"/>
  <c r="E15" i="431"/>
  <c r="D15" i="431"/>
  <c r="D13" i="431"/>
  <c r="E12" i="431"/>
  <c r="D12" i="431"/>
  <c r="E11" i="431"/>
  <c r="D11" i="431"/>
  <c r="E10" i="431"/>
  <c r="D10" i="431"/>
  <c r="E9" i="431"/>
  <c r="D9" i="431"/>
  <c r="E8" i="431"/>
  <c r="D8" i="431"/>
  <c r="E7" i="431"/>
  <c r="D7" i="431"/>
  <c r="E6" i="431"/>
  <c r="D6" i="431"/>
  <c r="E5" i="431"/>
  <c r="D5" i="431"/>
  <c r="E6" i="433"/>
  <c r="E5" i="433"/>
  <c r="E4" i="433"/>
  <c r="D4" i="433"/>
  <c r="H15" i="342"/>
  <c r="E15" i="342"/>
  <c r="H13" i="342"/>
  <c r="E13" i="342"/>
  <c r="B14" i="61" s="1"/>
  <c r="H12" i="342"/>
  <c r="E12" i="342"/>
  <c r="B13" i="61" s="1"/>
  <c r="H11" i="342"/>
  <c r="E11" i="342"/>
  <c r="G11" i="342" s="1"/>
  <c r="H10" i="342"/>
  <c r="E10" i="342"/>
  <c r="G10" i="342" s="1"/>
  <c r="H9" i="342"/>
  <c r="E9" i="342"/>
  <c r="B10" i="61" s="1"/>
  <c r="H8" i="342"/>
  <c r="E8" i="342"/>
  <c r="B9" i="61" s="1"/>
  <c r="H7" i="342"/>
  <c r="E7" i="342"/>
  <c r="G7" i="342" s="1"/>
  <c r="H6" i="342"/>
  <c r="E6" i="342"/>
  <c r="C6" i="287" s="1"/>
  <c r="H5" i="342"/>
  <c r="E5" i="342"/>
  <c r="G5" i="342" s="1"/>
  <c r="H4" i="342"/>
  <c r="E4" i="342"/>
  <c r="B5" i="61" s="1"/>
  <c r="I36" i="434"/>
  <c r="E36" i="434"/>
  <c r="I34" i="434"/>
  <c r="E34" i="434"/>
  <c r="I33" i="434"/>
  <c r="E33" i="434"/>
  <c r="I32" i="434"/>
  <c r="E32" i="434"/>
  <c r="I31" i="434"/>
  <c r="E31" i="434"/>
  <c r="I30" i="434"/>
  <c r="E30" i="434"/>
  <c r="I29" i="434"/>
  <c r="E29" i="434"/>
  <c r="I28" i="434"/>
  <c r="E28" i="434"/>
  <c r="I27" i="434"/>
  <c r="E27" i="434"/>
  <c r="F26" i="434"/>
  <c r="C26" i="434"/>
  <c r="G26" i="434" s="1"/>
  <c r="F25" i="434"/>
  <c r="C25" i="434"/>
  <c r="G25" i="434" s="1"/>
  <c r="F24" i="434"/>
  <c r="C24" i="434"/>
  <c r="G24" i="434" s="1"/>
  <c r="F23" i="434"/>
  <c r="G23" i="434" s="1"/>
  <c r="C23" i="434"/>
  <c r="F22" i="434"/>
  <c r="G22" i="434" s="1"/>
  <c r="C22" i="434"/>
  <c r="F21" i="434"/>
  <c r="G21" i="434" s="1"/>
  <c r="C21" i="434"/>
  <c r="F20" i="434"/>
  <c r="G20" i="434" s="1"/>
  <c r="C20" i="434"/>
  <c r="F19" i="434"/>
  <c r="G19" i="434" s="1"/>
  <c r="C19" i="434"/>
  <c r="F18" i="434"/>
  <c r="G18" i="434" s="1"/>
  <c r="C18" i="434"/>
  <c r="F17" i="434"/>
  <c r="G17" i="434" s="1"/>
  <c r="C17" i="434"/>
  <c r="F16" i="434"/>
  <c r="G16" i="434" s="1"/>
  <c r="C16" i="434"/>
  <c r="C15" i="434"/>
  <c r="F15" i="434" s="1"/>
  <c r="G15" i="434" s="1"/>
  <c r="C14" i="434"/>
  <c r="F14" i="434" s="1"/>
  <c r="G14" i="434" s="1"/>
  <c r="C13" i="434"/>
  <c r="F13" i="434" s="1"/>
  <c r="G13" i="434" s="1"/>
  <c r="C12" i="434"/>
  <c r="F12" i="434" s="1"/>
  <c r="G12" i="434" s="1"/>
  <c r="C11" i="434"/>
  <c r="B11" i="434"/>
  <c r="F11" i="434" s="1"/>
  <c r="G11" i="434" s="1"/>
  <c r="C10" i="434"/>
  <c r="F10" i="434" s="1"/>
  <c r="G10" i="434" s="1"/>
  <c r="C9" i="434"/>
  <c r="F9" i="434" s="1"/>
  <c r="G9" i="434" s="1"/>
  <c r="C8" i="434"/>
  <c r="F8" i="434" s="1"/>
  <c r="G8" i="434" s="1"/>
  <c r="C7" i="434"/>
  <c r="F7" i="434" s="1"/>
  <c r="G7" i="434" s="1"/>
  <c r="C6" i="434"/>
  <c r="F6" i="434" s="1"/>
  <c r="G6" i="434" s="1"/>
  <c r="C5" i="434"/>
  <c r="F5" i="434" s="1"/>
  <c r="G5" i="434" s="1"/>
  <c r="F16" i="341"/>
  <c r="C16" i="341"/>
  <c r="G16" i="341" s="1"/>
  <c r="F13" i="338"/>
  <c r="C13" i="338"/>
  <c r="G13" i="338" s="1"/>
  <c r="F11" i="338"/>
  <c r="C11" i="338"/>
  <c r="G11" i="338" s="1"/>
  <c r="F10" i="338"/>
  <c r="C10" i="338"/>
  <c r="G10" i="338" s="1"/>
  <c r="G9" i="338"/>
  <c r="F9" i="338"/>
  <c r="C9" i="338"/>
  <c r="F8" i="338"/>
  <c r="C8" i="338"/>
  <c r="G8" i="338" s="1"/>
  <c r="F7" i="338"/>
  <c r="C7" i="338"/>
  <c r="G7" i="338" s="1"/>
  <c r="F6" i="338"/>
  <c r="C6" i="338"/>
  <c r="G6" i="338" s="1"/>
  <c r="F5" i="338"/>
  <c r="C5" i="338"/>
  <c r="G5" i="338" s="1"/>
  <c r="F4" i="338"/>
  <c r="C4" i="338"/>
  <c r="G4" i="338" s="1"/>
  <c r="F16" i="432"/>
  <c r="I12" i="402"/>
  <c r="F12" i="402"/>
  <c r="F10" i="402"/>
  <c r="G10" i="402" s="1"/>
  <c r="I10" i="402"/>
  <c r="H9" i="402"/>
  <c r="F9" i="402"/>
  <c r="G9" i="402" s="1"/>
  <c r="C9" i="402"/>
  <c r="I9" i="402" s="1"/>
  <c r="G8" i="402"/>
  <c r="F8" i="402"/>
  <c r="C8" i="402"/>
  <c r="I8" i="402" s="1"/>
  <c r="F7" i="402"/>
  <c r="G7" i="402" s="1"/>
  <c r="C7" i="402"/>
  <c r="I7" i="402" s="1"/>
  <c r="H6" i="402"/>
  <c r="F6" i="402"/>
  <c r="G6" i="402" s="1"/>
  <c r="C6" i="402"/>
  <c r="I6" i="402" s="1"/>
  <c r="G5" i="402"/>
  <c r="F5" i="402"/>
  <c r="C5" i="402"/>
  <c r="H5" i="402" s="1"/>
  <c r="F4" i="402"/>
  <c r="G4" i="402" s="1"/>
  <c r="C4" i="402"/>
  <c r="I4" i="402" s="1"/>
  <c r="I3" i="402"/>
  <c r="G3" i="402"/>
  <c r="F3" i="402"/>
  <c r="C3" i="402"/>
  <c r="H3" i="402" s="1"/>
  <c r="D15" i="334"/>
  <c r="D14" i="334"/>
  <c r="D13" i="334"/>
  <c r="D12" i="334"/>
  <c r="D11" i="334"/>
  <c r="D10" i="334"/>
  <c r="D9" i="334"/>
  <c r="D8" i="334"/>
  <c r="D7" i="334"/>
  <c r="D6" i="334"/>
  <c r="D5" i="334"/>
  <c r="G14" i="427"/>
  <c r="I14" i="427" s="1"/>
  <c r="I12" i="427"/>
  <c r="H12" i="427"/>
  <c r="G12" i="427"/>
  <c r="H11" i="427"/>
  <c r="G11" i="427"/>
  <c r="H10" i="427"/>
  <c r="G10" i="427"/>
  <c r="H9" i="427"/>
  <c r="G9" i="427"/>
  <c r="I9" i="427" s="1"/>
  <c r="H8" i="427"/>
  <c r="G8" i="427"/>
  <c r="H7" i="427"/>
  <c r="G7" i="427"/>
  <c r="H6" i="427"/>
  <c r="G6" i="427"/>
  <c r="I6" i="427" s="1"/>
  <c r="G5" i="427"/>
  <c r="E15" i="332"/>
  <c r="H15" i="332" s="1"/>
  <c r="E13" i="332"/>
  <c r="G13" i="332" s="1"/>
  <c r="E12" i="332"/>
  <c r="G12" i="332" s="1"/>
  <c r="P11" i="332"/>
  <c r="G11" i="332"/>
  <c r="E11" i="332"/>
  <c r="H11" i="332" s="1"/>
  <c r="G10" i="332"/>
  <c r="E10" i="332"/>
  <c r="P10" i="332" s="1"/>
  <c r="P9" i="332"/>
  <c r="H9" i="332"/>
  <c r="E9" i="332"/>
  <c r="G9" i="332" s="1"/>
  <c r="H8" i="332"/>
  <c r="E8" i="332"/>
  <c r="G8" i="332" s="1"/>
  <c r="E7" i="332"/>
  <c r="P7" i="332" s="1"/>
  <c r="E6" i="332"/>
  <c r="G6" i="332" s="1"/>
  <c r="E5" i="332"/>
  <c r="P5" i="332" s="1"/>
  <c r="P4" i="332"/>
  <c r="E4" i="332"/>
  <c r="G4" i="332" s="1"/>
  <c r="E15" i="287"/>
  <c r="C11" i="287"/>
  <c r="E11" i="287" s="1"/>
  <c r="B11" i="333" s="1"/>
  <c r="D11" i="333" s="1"/>
  <c r="C10" i="287"/>
  <c r="E10" i="287" s="1"/>
  <c r="E20" i="426"/>
  <c r="B20" i="426"/>
  <c r="H19" i="426"/>
  <c r="D19" i="426" s="1"/>
  <c r="H18" i="426"/>
  <c r="D18" i="426" s="1"/>
  <c r="H17" i="426"/>
  <c r="G17" i="426" s="1"/>
  <c r="H16" i="426"/>
  <c r="D16" i="426" s="1"/>
  <c r="G16" i="426"/>
  <c r="H15" i="426"/>
  <c r="G15" i="426" s="1"/>
  <c r="H14" i="426"/>
  <c r="G14" i="426"/>
  <c r="H13" i="426"/>
  <c r="G13" i="426" s="1"/>
  <c r="H12" i="426"/>
  <c r="G12" i="426" s="1"/>
  <c r="H11" i="426"/>
  <c r="D11" i="426" s="1"/>
  <c r="H10" i="426"/>
  <c r="D10" i="426" s="1"/>
  <c r="H9" i="426"/>
  <c r="H8" i="426"/>
  <c r="G8" i="426" s="1"/>
  <c r="H7" i="426"/>
  <c r="H6" i="426"/>
  <c r="G6" i="426" s="1"/>
  <c r="H5" i="426"/>
  <c r="G5" i="426" s="1"/>
  <c r="F14" i="336"/>
  <c r="G11" i="336" s="1"/>
  <c r="C14" i="336"/>
  <c r="B14" i="336"/>
  <c r="I10" i="335"/>
  <c r="C10" i="385" s="1"/>
  <c r="E10" i="335"/>
  <c r="E9" i="335"/>
  <c r="I8" i="335"/>
  <c r="E8" i="335"/>
  <c r="I7" i="335"/>
  <c r="E7" i="335"/>
  <c r="I6" i="335"/>
  <c r="E6" i="335"/>
  <c r="I5" i="335"/>
  <c r="E5" i="335"/>
  <c r="E4" i="335"/>
  <c r="N4" i="232" l="1"/>
  <c r="H12" i="232"/>
  <c r="J10" i="232"/>
  <c r="K10" i="232"/>
  <c r="L10" i="232"/>
  <c r="I10" i="231"/>
  <c r="I5" i="231"/>
  <c r="G8" i="231"/>
  <c r="J10" i="231"/>
  <c r="I8" i="231"/>
  <c r="J8" i="231"/>
  <c r="F12" i="231"/>
  <c r="I12" i="231" s="1"/>
  <c r="I4" i="231"/>
  <c r="F15" i="282"/>
  <c r="E19" i="282"/>
  <c r="G13" i="282"/>
  <c r="F11" i="332"/>
  <c r="H13" i="332"/>
  <c r="P6" i="332"/>
  <c r="F10" i="332"/>
  <c r="H12" i="332"/>
  <c r="H10" i="332"/>
  <c r="F13" i="332"/>
  <c r="F6" i="229"/>
  <c r="F9" i="229"/>
  <c r="D12" i="229"/>
  <c r="F4" i="229"/>
  <c r="E5" i="229"/>
  <c r="G16" i="226"/>
  <c r="H4" i="226"/>
  <c r="H16" i="226" s="1"/>
  <c r="K16" i="226" s="1"/>
  <c r="J7" i="226"/>
  <c r="I5" i="226"/>
  <c r="K7" i="226"/>
  <c r="I9" i="226"/>
  <c r="L14" i="226"/>
  <c r="L7" i="226"/>
  <c r="K5" i="226"/>
  <c r="M7" i="226"/>
  <c r="L5" i="226"/>
  <c r="N9" i="226"/>
  <c r="P12" i="227"/>
  <c r="B13" i="227"/>
  <c r="M9" i="226"/>
  <c r="N5" i="226"/>
  <c r="K8" i="226"/>
  <c r="G5" i="79"/>
  <c r="C11" i="392"/>
  <c r="C5" i="179"/>
  <c r="C6" i="179"/>
  <c r="C8" i="179"/>
  <c r="C7" i="179"/>
  <c r="H14" i="446"/>
  <c r="D6" i="426"/>
  <c r="K8" i="236"/>
  <c r="K12" i="236"/>
  <c r="K11" i="236"/>
  <c r="G7" i="79"/>
  <c r="F8" i="387"/>
  <c r="D34" i="380"/>
  <c r="D36" i="380"/>
  <c r="D26" i="380"/>
  <c r="D28" i="380"/>
  <c r="E26" i="380"/>
  <c r="E37" i="380"/>
  <c r="K17" i="379"/>
  <c r="C5" i="273"/>
  <c r="C13" i="273"/>
  <c r="E16" i="61"/>
  <c r="G12" i="402"/>
  <c r="P15" i="287"/>
  <c r="G11" i="426"/>
  <c r="D17" i="426"/>
  <c r="D15" i="426"/>
  <c r="D13" i="336"/>
  <c r="D3" i="230"/>
  <c r="D8" i="72"/>
  <c r="D16" i="72"/>
  <c r="D11" i="72"/>
  <c r="B14" i="447"/>
  <c r="J5" i="335"/>
  <c r="J8" i="335"/>
  <c r="J6" i="335"/>
  <c r="J9" i="335"/>
  <c r="J10" i="335"/>
  <c r="J4" i="335"/>
  <c r="J7" i="335"/>
  <c r="I7" i="435"/>
  <c r="I10" i="435"/>
  <c r="B12" i="61"/>
  <c r="B6" i="61"/>
  <c r="C7" i="287"/>
  <c r="C8" i="287"/>
  <c r="E8" i="287" s="1"/>
  <c r="F4" i="342"/>
  <c r="F6" i="342"/>
  <c r="F8" i="342"/>
  <c r="F10" i="342"/>
  <c r="F12" i="342"/>
  <c r="B11" i="61"/>
  <c r="C9" i="287"/>
  <c r="E9" i="287" s="1"/>
  <c r="G9" i="287" s="1"/>
  <c r="G4" i="342"/>
  <c r="G6" i="342"/>
  <c r="G8" i="342"/>
  <c r="G12" i="342"/>
  <c r="B7" i="61"/>
  <c r="E7" i="61" s="1"/>
  <c r="C4" i="287"/>
  <c r="E4" i="287" s="1"/>
  <c r="C12" i="287"/>
  <c r="F5" i="342"/>
  <c r="F7" i="342"/>
  <c r="F9" i="342"/>
  <c r="F11" i="342"/>
  <c r="F13" i="342"/>
  <c r="C5" i="287"/>
  <c r="E5" i="287" s="1"/>
  <c r="G5" i="287" s="1"/>
  <c r="C13" i="287"/>
  <c r="G9" i="342"/>
  <c r="G13" i="342"/>
  <c r="G15" i="342"/>
  <c r="F15" i="342"/>
  <c r="E13" i="61"/>
  <c r="E8" i="456"/>
  <c r="E11" i="456"/>
  <c r="E6" i="456"/>
  <c r="E9" i="456"/>
  <c r="E4" i="456"/>
  <c r="E12" i="456"/>
  <c r="E5" i="456"/>
  <c r="I8" i="242"/>
  <c r="J6" i="242"/>
  <c r="L8" i="242"/>
  <c r="J4" i="242"/>
  <c r="L6" i="242"/>
  <c r="M7" i="242"/>
  <c r="N8" i="242"/>
  <c r="I9" i="242"/>
  <c r="I7" i="242"/>
  <c r="J8" i="242"/>
  <c r="K9" i="242"/>
  <c r="I6" i="242"/>
  <c r="J7" i="242"/>
  <c r="K8" i="242"/>
  <c r="L9" i="242"/>
  <c r="J9" i="242"/>
  <c r="K7" i="242"/>
  <c r="M9" i="242"/>
  <c r="E10" i="239"/>
  <c r="F6" i="239"/>
  <c r="E7" i="239"/>
  <c r="E5" i="239"/>
  <c r="E8" i="239"/>
  <c r="K7" i="236"/>
  <c r="K4" i="236"/>
  <c r="K5" i="236"/>
  <c r="K9" i="236"/>
  <c r="K6" i="236"/>
  <c r="D10" i="238"/>
  <c r="K10" i="235"/>
  <c r="K5" i="235"/>
  <c r="K6" i="235"/>
  <c r="K9" i="235"/>
  <c r="K7" i="235"/>
  <c r="K8" i="235"/>
  <c r="K7" i="233"/>
  <c r="L8" i="233"/>
  <c r="M9" i="233"/>
  <c r="K4" i="233"/>
  <c r="L6" i="233"/>
  <c r="M7" i="233"/>
  <c r="N8" i="233"/>
  <c r="I9" i="233"/>
  <c r="I8" i="233"/>
  <c r="J9" i="233"/>
  <c r="I7" i="233"/>
  <c r="J8" i="233"/>
  <c r="K9" i="233"/>
  <c r="L10" i="233"/>
  <c r="J7" i="233"/>
  <c r="K8" i="233"/>
  <c r="L9" i="233"/>
  <c r="M10" i="233"/>
  <c r="L12" i="232"/>
  <c r="I12" i="232"/>
  <c r="I5" i="232"/>
  <c r="I6" i="232"/>
  <c r="J4" i="232"/>
  <c r="J7" i="232"/>
  <c r="K4" i="232"/>
  <c r="K6" i="232"/>
  <c r="K8" i="232"/>
  <c r="L4" i="232"/>
  <c r="L5" i="232"/>
  <c r="L6" i="232"/>
  <c r="L7" i="232"/>
  <c r="L8" i="232"/>
  <c r="M9" i="232"/>
  <c r="N10" i="232"/>
  <c r="I4" i="232"/>
  <c r="I7" i="232"/>
  <c r="I8" i="232"/>
  <c r="J5" i="232"/>
  <c r="J6" i="232"/>
  <c r="J8" i="232"/>
  <c r="K5" i="232"/>
  <c r="K7" i="232"/>
  <c r="M10" i="232"/>
  <c r="M4" i="232"/>
  <c r="M5" i="232"/>
  <c r="M6" i="232"/>
  <c r="M7" i="232"/>
  <c r="M8" i="232"/>
  <c r="H12" i="231"/>
  <c r="G12" i="231"/>
  <c r="G9" i="231"/>
  <c r="G5" i="231"/>
  <c r="I6" i="231"/>
  <c r="H9" i="231"/>
  <c r="G6" i="231"/>
  <c r="H6" i="231"/>
  <c r="H5" i="231"/>
  <c r="I9" i="231"/>
  <c r="G4" i="231"/>
  <c r="H4" i="231"/>
  <c r="H9" i="227"/>
  <c r="S12" i="227"/>
  <c r="U8" i="227"/>
  <c r="U12" i="227"/>
  <c r="T12" i="227"/>
  <c r="U5" i="227"/>
  <c r="R12" i="227"/>
  <c r="J9" i="225"/>
  <c r="F9" i="225"/>
  <c r="E9" i="225"/>
  <c r="F4" i="225"/>
  <c r="F7" i="225"/>
  <c r="E8" i="225"/>
  <c r="E6" i="225"/>
  <c r="E10" i="225"/>
  <c r="J8" i="223"/>
  <c r="F6" i="223"/>
  <c r="E5" i="223"/>
  <c r="E10" i="223"/>
  <c r="E4" i="223"/>
  <c r="E9" i="223"/>
  <c r="E8" i="223"/>
  <c r="J11" i="223"/>
  <c r="H16" i="228"/>
  <c r="L16" i="228"/>
  <c r="K16" i="228"/>
  <c r="J16" i="228"/>
  <c r="I16" i="228"/>
  <c r="H11" i="228"/>
  <c r="I7" i="228"/>
  <c r="I11" i="228"/>
  <c r="H6" i="228"/>
  <c r="J11" i="228"/>
  <c r="I6" i="228"/>
  <c r="K7" i="228"/>
  <c r="I10" i="228"/>
  <c r="K11" i="228"/>
  <c r="I14" i="228"/>
  <c r="H14" i="228"/>
  <c r="H5" i="228"/>
  <c r="J6" i="228"/>
  <c r="L7" i="228"/>
  <c r="H9" i="228"/>
  <c r="J10" i="228"/>
  <c r="H13" i="228"/>
  <c r="J14" i="228"/>
  <c r="H7" i="228"/>
  <c r="H10" i="228"/>
  <c r="N6" i="226"/>
  <c r="I6" i="226"/>
  <c r="M6" i="226"/>
  <c r="L6" i="226"/>
  <c r="K6" i="226"/>
  <c r="J6" i="226"/>
  <c r="I4" i="226"/>
  <c r="J13" i="226"/>
  <c r="L12" i="226"/>
  <c r="M13" i="226"/>
  <c r="I7" i="226"/>
  <c r="J8" i="226"/>
  <c r="K9" i="226"/>
  <c r="L10" i="226"/>
  <c r="M11" i="226"/>
  <c r="N12" i="226"/>
  <c r="H11" i="227"/>
  <c r="H13" i="227" s="1"/>
  <c r="Q12" i="227"/>
  <c r="J4" i="226"/>
  <c r="I12" i="226"/>
  <c r="K4" i="226"/>
  <c r="N8" i="226"/>
  <c r="I11" i="226"/>
  <c r="J12" i="226"/>
  <c r="K13" i="226"/>
  <c r="L4" i="226"/>
  <c r="I10" i="226"/>
  <c r="J11" i="226"/>
  <c r="K12" i="226"/>
  <c r="L13" i="226"/>
  <c r="I13" i="226"/>
  <c r="K11" i="226"/>
  <c r="E6" i="224"/>
  <c r="E14" i="224"/>
  <c r="F14" i="224"/>
  <c r="E12" i="224"/>
  <c r="F5" i="224"/>
  <c r="F13" i="224"/>
  <c r="E4" i="224"/>
  <c r="F9" i="224"/>
  <c r="F4" i="224"/>
  <c r="E7" i="224"/>
  <c r="E10" i="224"/>
  <c r="F11" i="223"/>
  <c r="F16" i="222"/>
  <c r="E11" i="223"/>
  <c r="G11" i="222"/>
  <c r="F7" i="222"/>
  <c r="G12" i="222"/>
  <c r="F10" i="222"/>
  <c r="E13" i="223"/>
  <c r="F5" i="222"/>
  <c r="F13" i="223"/>
  <c r="F4" i="222"/>
  <c r="G13" i="222"/>
  <c r="F12" i="219"/>
  <c r="F8" i="219"/>
  <c r="F4" i="219"/>
  <c r="F6" i="219"/>
  <c r="G16" i="219"/>
  <c r="F10" i="219"/>
  <c r="F7" i="219"/>
  <c r="F11" i="219"/>
  <c r="G5" i="219"/>
  <c r="G9" i="219"/>
  <c r="G11" i="219"/>
  <c r="H4" i="219"/>
  <c r="H6" i="219"/>
  <c r="H8" i="219"/>
  <c r="H10" i="219"/>
  <c r="H12" i="219"/>
  <c r="H14" i="219"/>
  <c r="F5" i="219"/>
  <c r="H5" i="219"/>
  <c r="H7" i="219"/>
  <c r="H9" i="219"/>
  <c r="H13" i="219"/>
  <c r="F13" i="219"/>
  <c r="G14" i="219"/>
  <c r="S4" i="217"/>
  <c r="S5" i="217"/>
  <c r="S9" i="217"/>
  <c r="N4" i="217"/>
  <c r="L5" i="217"/>
  <c r="T5" i="217"/>
  <c r="R6" i="217"/>
  <c r="P7" i="217"/>
  <c r="N8" i="217"/>
  <c r="L9" i="217"/>
  <c r="T9" i="217"/>
  <c r="R10" i="217"/>
  <c r="K20" i="217"/>
  <c r="L7" i="217"/>
  <c r="M7" i="217"/>
  <c r="L4" i="217"/>
  <c r="T4" i="217"/>
  <c r="N7" i="217"/>
  <c r="M4" i="217"/>
  <c r="O7" i="217"/>
  <c r="M8" i="217"/>
  <c r="K19" i="217"/>
  <c r="O4" i="217"/>
  <c r="M5" i="217"/>
  <c r="S6" i="217"/>
  <c r="Q7" i="217"/>
  <c r="O8" i="217"/>
  <c r="M9" i="217"/>
  <c r="S10" i="217"/>
  <c r="K21" i="217"/>
  <c r="S7" i="217"/>
  <c r="T7" i="217"/>
  <c r="S8" i="217"/>
  <c r="L8" i="217"/>
  <c r="T8" i="217"/>
  <c r="L6" i="217"/>
  <c r="N9" i="217"/>
  <c r="L10" i="217"/>
  <c r="E8" i="389"/>
  <c r="C9" i="389"/>
  <c r="E5" i="215"/>
  <c r="E7" i="215"/>
  <c r="E9" i="215"/>
  <c r="E11" i="215"/>
  <c r="E13" i="215"/>
  <c r="C4" i="230"/>
  <c r="C8" i="230"/>
  <c r="D8" i="230" s="1"/>
  <c r="F5" i="215"/>
  <c r="F7" i="215"/>
  <c r="F9" i="215"/>
  <c r="F11" i="215"/>
  <c r="C11" i="389"/>
  <c r="E12" i="389"/>
  <c r="F14" i="215"/>
  <c r="G17" i="282"/>
  <c r="F17" i="282"/>
  <c r="G10" i="282"/>
  <c r="F12" i="282"/>
  <c r="F5" i="282"/>
  <c r="F9" i="282"/>
  <c r="G5" i="282"/>
  <c r="F14" i="282"/>
  <c r="F11" i="282"/>
  <c r="G6" i="282"/>
  <c r="G8" i="282"/>
  <c r="F16" i="282"/>
  <c r="C8" i="79"/>
  <c r="E8" i="79"/>
  <c r="C6" i="79"/>
  <c r="G9" i="79"/>
  <c r="E6" i="79"/>
  <c r="C5" i="79"/>
  <c r="C7" i="79"/>
  <c r="C9" i="79"/>
  <c r="C17" i="78"/>
  <c r="E17" i="78"/>
  <c r="G17" i="78"/>
  <c r="C6" i="78"/>
  <c r="C14" i="78"/>
  <c r="E6" i="78"/>
  <c r="C11" i="78"/>
  <c r="E14" i="78"/>
  <c r="C5" i="392"/>
  <c r="C7" i="392"/>
  <c r="C6" i="392"/>
  <c r="C8" i="392"/>
  <c r="C9" i="392"/>
  <c r="C10" i="392"/>
  <c r="C4" i="179"/>
  <c r="K20" i="451"/>
  <c r="K7" i="451"/>
  <c r="K13" i="451"/>
  <c r="K15" i="451"/>
  <c r="K23" i="451"/>
  <c r="K22" i="451"/>
  <c r="K5" i="451"/>
  <c r="K24" i="451"/>
  <c r="K8" i="451"/>
  <c r="K21" i="451"/>
  <c r="K4" i="451"/>
  <c r="K18" i="451"/>
  <c r="K10" i="451"/>
  <c r="K19" i="451"/>
  <c r="K9" i="451"/>
  <c r="K11" i="451"/>
  <c r="K17" i="451"/>
  <c r="K12" i="451"/>
  <c r="K6" i="451"/>
  <c r="K14" i="451"/>
  <c r="J8" i="391"/>
  <c r="F5" i="445"/>
  <c r="D17" i="445"/>
  <c r="B17" i="445"/>
  <c r="E17" i="445"/>
  <c r="F6" i="445"/>
  <c r="H6" i="445" s="1"/>
  <c r="D10" i="389"/>
  <c r="E6" i="389"/>
  <c r="E10" i="389"/>
  <c r="D6" i="389"/>
  <c r="D4" i="389"/>
  <c r="D8" i="389"/>
  <c r="D12" i="389"/>
  <c r="D5" i="389"/>
  <c r="D7" i="389"/>
  <c r="D11" i="389"/>
  <c r="E5" i="389"/>
  <c r="E7" i="389"/>
  <c r="E9" i="389"/>
  <c r="E11" i="389"/>
  <c r="E8" i="386"/>
  <c r="G13" i="386"/>
  <c r="G6" i="386"/>
  <c r="E5" i="386"/>
  <c r="E14" i="386"/>
  <c r="G9" i="386"/>
  <c r="E17" i="386"/>
  <c r="G7" i="386"/>
  <c r="G12" i="386"/>
  <c r="G17" i="386"/>
  <c r="B18" i="386"/>
  <c r="C10" i="386" s="1"/>
  <c r="E10" i="386"/>
  <c r="E15" i="386"/>
  <c r="G3" i="386"/>
  <c r="G4" i="386"/>
  <c r="G11" i="386"/>
  <c r="E16" i="386"/>
  <c r="H14" i="384"/>
  <c r="K16" i="382"/>
  <c r="P16" i="382"/>
  <c r="K13" i="382"/>
  <c r="J14" i="384"/>
  <c r="E15" i="384"/>
  <c r="E14" i="384"/>
  <c r="G14" i="384"/>
  <c r="I14" i="384"/>
  <c r="Q4" i="382"/>
  <c r="O15" i="384"/>
  <c r="P14" i="382"/>
  <c r="Q14" i="382" s="1"/>
  <c r="P13" i="382"/>
  <c r="E28" i="380"/>
  <c r="E36" i="380"/>
  <c r="E33" i="380"/>
  <c r="D27" i="380"/>
  <c r="E30" i="380"/>
  <c r="D35" i="380"/>
  <c r="E27" i="380"/>
  <c r="D32" i="380"/>
  <c r="E35" i="380"/>
  <c r="D33" i="380"/>
  <c r="D30" i="380"/>
  <c r="D29" i="380"/>
  <c r="E32" i="380"/>
  <c r="J17" i="379"/>
  <c r="C5" i="274"/>
  <c r="G5" i="274"/>
  <c r="F5" i="274"/>
  <c r="H5" i="274"/>
  <c r="D5" i="274"/>
  <c r="E5" i="274"/>
  <c r="I5" i="274"/>
  <c r="C6" i="273"/>
  <c r="C7" i="273"/>
  <c r="C11" i="273"/>
  <c r="C10" i="273"/>
  <c r="C12" i="273"/>
  <c r="C8" i="273"/>
  <c r="C6" i="272"/>
  <c r="C7" i="272"/>
  <c r="C8" i="272"/>
  <c r="C9" i="272"/>
  <c r="C10" i="272"/>
  <c r="C11" i="272"/>
  <c r="C12" i="272"/>
  <c r="C5" i="272"/>
  <c r="C13" i="272"/>
  <c r="I5" i="435"/>
  <c r="I9" i="435"/>
  <c r="I11" i="435"/>
  <c r="I8" i="435"/>
  <c r="I12" i="435"/>
  <c r="E8" i="61"/>
  <c r="E5" i="61"/>
  <c r="E9" i="61"/>
  <c r="E11" i="61"/>
  <c r="E6" i="61"/>
  <c r="E12" i="61"/>
  <c r="E10" i="61"/>
  <c r="J27" i="434"/>
  <c r="J29" i="434"/>
  <c r="J31" i="434"/>
  <c r="J33" i="434"/>
  <c r="J28" i="434"/>
  <c r="J30" i="434"/>
  <c r="J32" i="434"/>
  <c r="J34" i="434"/>
  <c r="J36" i="434"/>
  <c r="H12" i="402"/>
  <c r="I5" i="402"/>
  <c r="H10" i="402"/>
  <c r="H4" i="402"/>
  <c r="H7" i="402"/>
  <c r="H8" i="402"/>
  <c r="I8" i="427"/>
  <c r="I11" i="427"/>
  <c r="I10" i="427"/>
  <c r="I7" i="427"/>
  <c r="K14" i="427"/>
  <c r="I5" i="427"/>
  <c r="K5" i="427" s="1"/>
  <c r="G5" i="332"/>
  <c r="G7" i="332"/>
  <c r="F9" i="332"/>
  <c r="F12" i="332"/>
  <c r="P8" i="332"/>
  <c r="F7" i="332"/>
  <c r="F6" i="332"/>
  <c r="F8" i="332"/>
  <c r="F15" i="332"/>
  <c r="G15" i="332"/>
  <c r="G15" i="287"/>
  <c r="H15" i="287"/>
  <c r="D14" i="333"/>
  <c r="B15" i="333"/>
  <c r="D15" i="333" s="1"/>
  <c r="F15" i="287"/>
  <c r="F13" i="287"/>
  <c r="B13" i="333"/>
  <c r="D13" i="333" s="1"/>
  <c r="H13" i="287"/>
  <c r="P10" i="287"/>
  <c r="B10" i="333"/>
  <c r="D10" i="333" s="1"/>
  <c r="F10" i="287"/>
  <c r="H10" i="287"/>
  <c r="B4" i="333"/>
  <c r="D4" i="333" s="1"/>
  <c r="P4" i="287"/>
  <c r="F8" i="287"/>
  <c r="B8" i="333"/>
  <c r="D8" i="333" s="1"/>
  <c r="P8" i="287"/>
  <c r="G8" i="287"/>
  <c r="H8" i="287"/>
  <c r="E7" i="287"/>
  <c r="G7" i="287" s="1"/>
  <c r="F11" i="287"/>
  <c r="G11" i="287"/>
  <c r="H11" i="287"/>
  <c r="E6" i="287"/>
  <c r="G13" i="287"/>
  <c r="G4" i="287"/>
  <c r="E12" i="287"/>
  <c r="G10" i="287"/>
  <c r="D12" i="426"/>
  <c r="G10" i="426"/>
  <c r="H20" i="426"/>
  <c r="G18" i="426"/>
  <c r="D14" i="426"/>
  <c r="D9" i="426"/>
  <c r="G9" i="426"/>
  <c r="D8" i="426"/>
  <c r="D7" i="426"/>
  <c r="G7" i="426"/>
  <c r="G7" i="336"/>
  <c r="G9" i="336"/>
  <c r="G12" i="336"/>
  <c r="G13" i="336"/>
  <c r="G6" i="336"/>
  <c r="G8" i="336"/>
  <c r="G10" i="336"/>
  <c r="G5" i="336"/>
  <c r="D10" i="336"/>
  <c r="D11" i="336"/>
  <c r="D8" i="336"/>
  <c r="D7" i="336"/>
  <c r="D5" i="336"/>
  <c r="D12" i="336"/>
  <c r="D9" i="336"/>
  <c r="D6" i="336"/>
  <c r="D10" i="385"/>
  <c r="E10" i="385"/>
  <c r="D13" i="389"/>
  <c r="E13" i="389"/>
  <c r="M9" i="449"/>
  <c r="F15" i="445"/>
  <c r="H15" i="445" s="1"/>
  <c r="D6" i="72"/>
  <c r="F14" i="445"/>
  <c r="H14" i="445" s="1"/>
  <c r="F13" i="445"/>
  <c r="H13" i="445" s="1"/>
  <c r="D14" i="72"/>
  <c r="F9" i="445"/>
  <c r="H9" i="445" s="1"/>
  <c r="D12" i="72"/>
  <c r="M17" i="449"/>
  <c r="M5" i="449"/>
  <c r="F11" i="445"/>
  <c r="H11" i="445" s="1"/>
  <c r="D10" i="72"/>
  <c r="F12" i="445"/>
  <c r="H12" i="445" s="1"/>
  <c r="D7" i="72"/>
  <c r="F10" i="445"/>
  <c r="H10" i="445" s="1"/>
  <c r="D4" i="72"/>
  <c r="D15" i="72"/>
  <c r="H5" i="445"/>
  <c r="D5" i="72"/>
  <c r="D17" i="334"/>
  <c r="D16" i="334"/>
  <c r="G19" i="426"/>
  <c r="D13" i="426"/>
  <c r="D5" i="426"/>
  <c r="F15" i="456"/>
  <c r="E15" i="456"/>
  <c r="E13" i="456"/>
  <c r="F13" i="456"/>
  <c r="N8" i="465"/>
  <c r="N7" i="465"/>
  <c r="N5" i="465"/>
  <c r="N9" i="465"/>
  <c r="N6" i="465"/>
  <c r="N4" i="465"/>
  <c r="N3" i="466"/>
  <c r="N4" i="466"/>
  <c r="N5" i="466"/>
  <c r="J12" i="231" l="1"/>
  <c r="E12" i="229"/>
  <c r="F12" i="229"/>
  <c r="J16" i="226"/>
  <c r="I16" i="226"/>
  <c r="M4" i="226"/>
  <c r="N4" i="226"/>
  <c r="I8" i="426"/>
  <c r="C12" i="392"/>
  <c r="J14" i="427"/>
  <c r="C9" i="179"/>
  <c r="C14" i="273"/>
  <c r="D9" i="389"/>
  <c r="C16" i="389"/>
  <c r="P5" i="287"/>
  <c r="B5" i="333"/>
  <c r="D5" i="333" s="1"/>
  <c r="J12" i="242"/>
  <c r="I12" i="242"/>
  <c r="M12" i="242"/>
  <c r="K12" i="242"/>
  <c r="N12" i="242"/>
  <c r="L12" i="242"/>
  <c r="K13" i="236"/>
  <c r="K12" i="235"/>
  <c r="K12" i="232"/>
  <c r="N12" i="232"/>
  <c r="M12" i="232"/>
  <c r="J12" i="232"/>
  <c r="F11" i="225"/>
  <c r="E11" i="225"/>
  <c r="C9" i="230"/>
  <c r="D9" i="230" s="1"/>
  <c r="M16" i="226"/>
  <c r="L16" i="226"/>
  <c r="N16" i="226"/>
  <c r="G16" i="222"/>
  <c r="H16" i="219"/>
  <c r="F16" i="219"/>
  <c r="K28" i="217"/>
  <c r="L16" i="217"/>
  <c r="M16" i="217"/>
  <c r="D4" i="230"/>
  <c r="B6" i="177"/>
  <c r="C3" i="177" s="1"/>
  <c r="K25" i="451"/>
  <c r="F17" i="445"/>
  <c r="C9" i="386"/>
  <c r="C11" i="386"/>
  <c r="B14" i="389"/>
  <c r="E14" i="389" s="1"/>
  <c r="E16" i="389" s="1"/>
  <c r="C8" i="386"/>
  <c r="C14" i="386"/>
  <c r="E18" i="386"/>
  <c r="C4" i="386"/>
  <c r="C3" i="386"/>
  <c r="C15" i="386"/>
  <c r="C7" i="386"/>
  <c r="C6" i="386"/>
  <c r="C16" i="386"/>
  <c r="G18" i="386"/>
  <c r="C17" i="386"/>
  <c r="C13" i="386"/>
  <c r="C12" i="386"/>
  <c r="C5" i="386"/>
  <c r="H17" i="446"/>
  <c r="H10" i="446"/>
  <c r="H20" i="446"/>
  <c r="H5" i="446"/>
  <c r="H33" i="446"/>
  <c r="H18" i="446"/>
  <c r="H34" i="446"/>
  <c r="H32" i="446"/>
  <c r="H4" i="446"/>
  <c r="H8" i="446"/>
  <c r="H29" i="446"/>
  <c r="H7" i="446"/>
  <c r="H27" i="446"/>
  <c r="H24" i="446"/>
  <c r="H28" i="446"/>
  <c r="H31" i="446"/>
  <c r="H15" i="446"/>
  <c r="H12" i="446"/>
  <c r="H21" i="446"/>
  <c r="H22" i="446"/>
  <c r="H19" i="446"/>
  <c r="H9" i="446"/>
  <c r="H26" i="446"/>
  <c r="H23" i="446"/>
  <c r="H35" i="446"/>
  <c r="H30" i="446"/>
  <c r="H16" i="446"/>
  <c r="H13" i="446"/>
  <c r="H6" i="446"/>
  <c r="H11" i="446"/>
  <c r="H25" i="446"/>
  <c r="H3" i="446"/>
  <c r="Q13" i="382"/>
  <c r="J5" i="274"/>
  <c r="C14" i="272"/>
  <c r="J5" i="427"/>
  <c r="F12" i="287"/>
  <c r="H12" i="287"/>
  <c r="B12" i="333"/>
  <c r="D12" i="333" s="1"/>
  <c r="G12" i="287"/>
  <c r="H9" i="287"/>
  <c r="P9" i="287"/>
  <c r="F9" i="287"/>
  <c r="B9" i="333"/>
  <c r="D9" i="333" s="1"/>
  <c r="F7" i="287"/>
  <c r="P7" i="287"/>
  <c r="B7" i="333"/>
  <c r="D7" i="333" s="1"/>
  <c r="P6" i="287"/>
  <c r="B6" i="333"/>
  <c r="D6" i="333" s="1"/>
  <c r="F6" i="287"/>
  <c r="G6" i="287"/>
  <c r="I18" i="426"/>
  <c r="I5" i="426"/>
  <c r="I11" i="426"/>
  <c r="I17" i="426"/>
  <c r="I6" i="426"/>
  <c r="I19" i="426"/>
  <c r="I7" i="426"/>
  <c r="I16" i="426"/>
  <c r="I10" i="426"/>
  <c r="I13" i="426"/>
  <c r="I12" i="426"/>
  <c r="I9" i="426"/>
  <c r="I15" i="426"/>
  <c r="I14" i="426"/>
  <c r="G14" i="336"/>
  <c r="D14" i="336"/>
  <c r="D18" i="334"/>
  <c r="N10" i="465"/>
  <c r="N6" i="466"/>
  <c r="C11" i="230" l="1"/>
  <c r="D11" i="230" s="1"/>
  <c r="H36" i="446"/>
  <c r="C5" i="177"/>
  <c r="C4" i="177"/>
  <c r="D14" i="389"/>
  <c r="C18" i="386"/>
  <c r="I20" i="426"/>
  <c r="D19" i="334"/>
  <c r="C6" i="177" l="1"/>
  <c r="D21" i="334"/>
  <c r="D20" i="334"/>
  <c r="G12" i="233" l="1"/>
  <c r="H12" i="233"/>
  <c r="K12" i="233" l="1"/>
  <c r="J12" i="233"/>
  <c r="M12" i="233"/>
  <c r="I12" i="233"/>
  <c r="L12" i="233"/>
  <c r="N12" i="233"/>
  <c r="J12" i="335" l="1"/>
  <c r="D12" i="385" l="1"/>
  <c r="E12" i="385"/>
  <c r="B12" i="393" l="1"/>
  <c r="C11" i="393" l="1"/>
  <c r="C5" i="393"/>
  <c r="C8" i="393"/>
  <c r="C9" i="393"/>
  <c r="C7" i="393"/>
  <c r="C6" i="393"/>
  <c r="C10" i="393"/>
  <c r="C4" i="393"/>
  <c r="C12" i="393" s="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mments2.xml><?xml version="1.0" encoding="utf-8"?>
<comments xmlns="http://schemas.openxmlformats.org/spreadsheetml/2006/main">
  <authors>
    <author xml:space="preserve"> </author>
  </authors>
  <commentList>
    <comment ref="D25" authorId="0" shapeId="0">
      <text>
        <r>
          <rPr>
            <b/>
            <sz val="12"/>
            <color indexed="81"/>
            <rFont val="Tahoma"/>
            <family val="2"/>
          </rPr>
          <t xml:space="preserve"> :</t>
        </r>
        <r>
          <rPr>
            <sz val="12"/>
            <color indexed="81"/>
            <rFont val="Tahoma"/>
            <family val="2"/>
          </rPr>
          <t xml:space="preserve">
Belisa rivas:
Incluye el Fondo de pensiones de INABIMA con valores reingresados y rendimientos de esos fondos reingresados
El monto histórico transferido incluye la suma de RD$ 665,256,523.65 que reingresaron en fecha 02/0/09 y RD$ 2,112532716.50 reingresados el 09//12/10. De estos montos fue pagada al Fondo de Pensiones INABIMA RD$600,595,145.34 el 02//09/09 y RD$2082772781.75 el 09/12/10 quedando pendiente la suma de 1,382,297,498.17</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<sst xmlns="http://schemas.openxmlformats.org/spreadsheetml/2006/main" count="18625" uniqueCount="1017">
  <si>
    <t>Años</t>
  </si>
  <si>
    <t>Ocupada</t>
  </si>
  <si>
    <t>Cesantes</t>
  </si>
  <si>
    <t>Nuevos Desocupados</t>
  </si>
  <si>
    <t xml:space="preserve"> 2003</t>
  </si>
  <si>
    <t xml:space="preserve"> 2004</t>
  </si>
  <si>
    <t xml:space="preserve"> 2005</t>
  </si>
  <si>
    <t xml:space="preserve"> 2006</t>
  </si>
  <si>
    <t xml:space="preserve"> 2007</t>
  </si>
  <si>
    <t xml:space="preserve"> 2008</t>
  </si>
  <si>
    <t xml:space="preserve"> 2009</t>
  </si>
  <si>
    <t>Población Ocupada</t>
  </si>
  <si>
    <t xml:space="preserve"> Agricultura y Ganadería </t>
  </si>
  <si>
    <t xml:space="preserve"> Explotación de Minas y Canteras  </t>
  </si>
  <si>
    <t xml:space="preserve"> Industrias Manufactureras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</si>
  <si>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</si>
  <si>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</si>
  <si>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</si>
  <si>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</si>
  <si>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</si>
  <si>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</si>
  <si>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</si>
  <si>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</si>
  <si>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</si>
  <si>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</si>
  <si>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</si>
  <si>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</si>
  <si>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</si>
  <si>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</si>
  <si>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</si>
  <si>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</si>
  <si>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</si>
  <si>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</si>
  <si>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</si>
  <si>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</si>
  <si>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</si>
  <si>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</si>
  <si>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</si>
  <si>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</si>
  <si>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</si>
  <si>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</si>
  <si>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</si>
  <si>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</si>
  <si>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</si>
  <si>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</si>
  <si>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</si>
  <si>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</si>
  <si>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</si>
  <si>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</si>
  <si>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</si>
  <si>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</si>
  <si>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</si>
  <si>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</si>
  <si>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</si>
  <si>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</si>
  <si>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</si>
  <si>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</si>
  <si>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</si>
  <si>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</si>
  <si>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</si>
  <si>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</si>
  <si>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</si>
  <si>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</si>
  <si>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</si>
  <si>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</si>
  <si>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</si>
  <si>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</si>
  <si>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</si>
  <si>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</si>
  <si>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</si>
  <si>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</si>
  <si>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</si>
  <si>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</si>
  <si>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</si>
  <si>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</si>
  <si>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</si>
  <si>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</si>
  <si>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</si>
  <si>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</si>
  <si>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</si>
  <si>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</si>
  <si>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</si>
  <si>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</si>
  <si>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</si>
  <si>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</si>
  <si>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</si>
  <si>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</si>
  <si>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</si>
  <si>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</si>
  <si>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S.E.H.</t>
  </si>
  <si>
    <t>Total Reparto</t>
  </si>
  <si>
    <t>Total General</t>
  </si>
  <si>
    <t>Popular</t>
  </si>
  <si>
    <t>Reservas</t>
  </si>
  <si>
    <t>TOTAL</t>
  </si>
  <si>
    <t xml:space="preserve">FONAMAT </t>
  </si>
  <si>
    <t xml:space="preserve">Subsidios </t>
  </si>
  <si>
    <t>Comisión SISALRIL</t>
  </si>
  <si>
    <t>Estancias Infantiles</t>
  </si>
  <si>
    <t>ARS</t>
  </si>
  <si>
    <t>Fondos dispersados</t>
  </si>
  <si>
    <t>Humano</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</si>
  <si>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</si>
  <si>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</si>
  <si>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</si>
  <si>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</si>
  <si>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</si>
  <si>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</si>
  <si>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</si>
  <si>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</si>
  <si>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</si>
  <si>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</si>
  <si>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</si>
  <si>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</si>
  <si>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</si>
  <si>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</si>
  <si>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</si>
  <si>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</si>
  <si>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</si>
  <si>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</si>
  <si>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</si>
  <si>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</si>
  <si>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</si>
  <si>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</si>
  <si>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</si>
  <si>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</si>
  <si>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</si>
  <si>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</si>
  <si>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</si>
  <si>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</si>
  <si>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</si>
  <si>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</si>
  <si>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</si>
  <si>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</si>
  <si>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</si>
  <si>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</si>
  <si>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</si>
  <si>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</si>
  <si>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</si>
  <si>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</si>
  <si>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2002</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</si>
  <si>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</si>
  <si>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</si>
  <si>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</si>
  <si>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</si>
  <si>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</si>
  <si>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</si>
  <si>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</si>
  <si>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</si>
  <si>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</si>
  <si>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</si>
  <si>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</si>
  <si>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</si>
  <si>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</si>
  <si>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</si>
  <si>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</si>
  <si>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</si>
  <si>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</si>
  <si>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</si>
  <si>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</si>
  <si>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</si>
  <si>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</si>
  <si>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</si>
  <si>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Promedio CCI</t>
  </si>
  <si>
    <t xml:space="preserve">Rentabilidad Nominal Promedio de los Fondos de Pensiones </t>
  </si>
  <si>
    <t>2007</t>
  </si>
  <si>
    <t>Desocupados total</t>
  </si>
  <si>
    <t>Inactivos</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</si>
  <si>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</si>
  <si>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</si>
  <si>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</si>
  <si>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</si>
  <si>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</si>
  <si>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</si>
  <si>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</si>
  <si>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</si>
  <si>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</si>
  <si>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Tasa de crecimiento</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</si>
  <si>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</si>
  <si>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</si>
  <si>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</si>
  <si>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</si>
  <si>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</si>
  <si>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</si>
  <si>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</si>
  <si>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</si>
  <si>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</si>
  <si>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</si>
  <si>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</si>
  <si>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</si>
  <si>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</si>
  <si>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</si>
  <si>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</si>
  <si>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</si>
  <si>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</si>
  <si>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</si>
  <si>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</si>
  <si>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</si>
  <si>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</si>
  <si>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</si>
  <si>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</si>
  <si>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</si>
  <si>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</si>
  <si>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</si>
  <si>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</si>
  <si>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</si>
  <si>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</si>
  <si>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</si>
  <si>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</si>
  <si>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r>
      <rPr>
        <b/>
        <sz val="14"/>
        <color indexed="8"/>
        <rFont val="Calibri"/>
        <family val="2"/>
      </rPr>
      <t>Afiliación. 
Son  beneficiarios del Seguro Familiar de Salud del Régimen Subsidiado:</t>
    </r>
    <r>
      <rPr>
        <sz val="14"/>
        <color indexed="8"/>
        <rFont val="Calibri"/>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(CNSS).
</t>
    </r>
    <r>
      <rPr>
        <b/>
        <sz val="14"/>
        <color indexed="9"/>
        <rFont val="Calibri"/>
        <family val="2"/>
      </rPr>
      <t>Comparativo Afiliados al SFS del RS en relación a la Población Pobre</t>
    </r>
    <r>
      <rPr>
        <sz val="14"/>
        <color indexed="9"/>
        <rFont val="Calibri"/>
        <family val="2"/>
      </rPr>
      <t xml:space="preserve">
Muestra la comparación de los afiliados del Seguro Familiar de Salud (SFS) del Régimen Subsidiado (RS) con la población pobre del país.  Se observa que el41.6% de la población pobre está cubierta al 31 de octubre de 2010.
Para este escenario hipotético, los datos de la población pobre se calcularon tomando como base el 40% de la población total, de acuerdo a la estimación de CEPAL y el PNUD con el apoyo de la ONE.
</t>
    </r>
  </si>
  <si>
    <t>Densidad de Cotizantes</t>
  </si>
  <si>
    <t>% Masculino</t>
  </si>
  <si>
    <t>% Femenino</t>
  </si>
  <si>
    <t>2003</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</si>
  <si>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</si>
  <si>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</si>
  <si>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</si>
  <si>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</si>
  <si>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</si>
  <si>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</si>
  <si>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</si>
  <si>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</si>
  <si>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</si>
  <si>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</si>
  <si>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</si>
  <si>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</si>
  <si>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</si>
  <si>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</si>
  <si>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xml:space="preserve"> 2011</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</si>
  <si>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</si>
  <si>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</si>
  <si>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</si>
  <si>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</si>
  <si>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</si>
  <si>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</si>
  <si>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</si>
  <si>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</si>
  <si>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</si>
  <si>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</si>
  <si>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</si>
  <si>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</si>
  <si>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</si>
  <si>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</si>
  <si>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</si>
  <si>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</si>
  <si>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</si>
  <si>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</si>
  <si>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</si>
  <si>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</si>
  <si>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</si>
  <si>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</si>
  <si>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</si>
  <si>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</si>
  <si>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</si>
  <si>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</si>
  <si>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</si>
  <si>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</si>
  <si>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</si>
  <si>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</si>
  <si>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</si>
  <si>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</si>
  <si>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</si>
  <si>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</si>
  <si>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</si>
  <si>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</si>
  <si>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</si>
  <si>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</si>
  <si>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</si>
  <si>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</si>
  <si>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</si>
  <si>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</si>
  <si>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</si>
  <si>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</si>
  <si>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</si>
  <si>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</si>
  <si>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</si>
  <si>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</si>
  <si>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</si>
  <si>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</si>
  <si>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</si>
  <si>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</si>
  <si>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</si>
  <si>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</si>
  <si>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</si>
  <si>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</si>
  <si>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</si>
  <si>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</si>
  <si>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</si>
  <si>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</si>
  <si>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</si>
  <si>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</si>
  <si>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</si>
  <si>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</si>
  <si>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</si>
  <si>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</si>
  <si>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</si>
  <si>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</si>
  <si>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</si>
  <si>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</si>
  <si>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</si>
  <si>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</si>
  <si>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</si>
  <si>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</si>
  <si>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</si>
  <si>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</si>
  <si>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</si>
  <si>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</si>
  <si>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</si>
  <si>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</si>
  <si>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</si>
  <si>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</si>
  <si>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</si>
  <si>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</si>
  <si>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</si>
  <si>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</si>
  <si>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</si>
  <si>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</si>
  <si>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</si>
  <si>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</si>
  <si>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</si>
  <si>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</si>
  <si>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</si>
  <si>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</si>
  <si>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</si>
  <si>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</si>
  <si>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</si>
  <si>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</si>
  <si>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</si>
  <si>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</si>
  <si>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</si>
  <si>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</si>
  <si>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</si>
  <si>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</si>
  <si>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</si>
  <si>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</si>
  <si>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</si>
  <si>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</si>
  <si>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</si>
  <si>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</si>
  <si>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</si>
  <si>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</si>
  <si>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</si>
  <si>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</si>
  <si>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</si>
  <si>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</si>
  <si>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</si>
  <si>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</si>
  <si>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</si>
  <si>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</si>
  <si>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</si>
  <si>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</si>
  <si>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</si>
  <si>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</si>
  <si>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</si>
  <si>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</si>
  <si>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</si>
  <si>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</si>
  <si>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</si>
  <si>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</si>
  <si>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</si>
  <si>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</si>
  <si>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</si>
  <si>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</si>
  <si>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</si>
  <si>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</si>
  <si>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</si>
  <si>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</si>
  <si>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</si>
  <si>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</si>
  <si>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</si>
  <si>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</si>
  <si>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</si>
  <si>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</si>
  <si>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</si>
  <si>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</si>
  <si>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</si>
  <si>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</si>
  <si>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</si>
  <si>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</si>
  <si>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</si>
  <si>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</si>
  <si>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</si>
  <si>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</si>
  <si>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</si>
  <si>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</si>
  <si>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</si>
  <si>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</si>
  <si>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</si>
  <si>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</si>
  <si>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</si>
  <si>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</si>
  <si>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</si>
  <si>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</si>
  <si>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</si>
  <si>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</si>
  <si>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</si>
  <si>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</si>
  <si>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</si>
  <si>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</si>
  <si>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</si>
  <si>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</si>
  <si>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</si>
  <si>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</si>
  <si>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</si>
  <si>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t>Elías Piña</t>
  </si>
  <si>
    <t>Hermanas Mirabal</t>
  </si>
  <si>
    <t>San Juan de la Maguana</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</si>
  <si>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</si>
  <si>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</si>
  <si>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</si>
  <si>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</si>
  <si>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</si>
  <si>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</si>
  <si>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 xml:space="preserve">Inversión </t>
  </si>
  <si>
    <t>Bonos del Gobierno Central</t>
  </si>
  <si>
    <t>Bonos Corporativos</t>
  </si>
  <si>
    <t>Otras Inversiones</t>
  </si>
  <si>
    <t>Total Inversiones</t>
  </si>
  <si>
    <t>Adm. Serv. Médicos Amor y Paz</t>
  </si>
  <si>
    <t>Palic Salud</t>
  </si>
  <si>
    <t>% Accidentados
 20 -29 años</t>
  </si>
  <si>
    <t>% Accidentados
 30 -39 años</t>
  </si>
  <si>
    <t>Certificados de Depósitos</t>
  </si>
  <si>
    <t>Ocupada Sector Formal</t>
  </si>
  <si>
    <t xml:space="preserve"> No Especificado</t>
  </si>
  <si>
    <t xml:space="preserve"> 2002</t>
  </si>
  <si>
    <t>Bco. Reservas</t>
  </si>
  <si>
    <t>Ingresos del SDSS</t>
  </si>
  <si>
    <t>Egreso del SDSS</t>
  </si>
  <si>
    <t>Ingresos SDSS</t>
  </si>
  <si>
    <t>Egresos SDSS</t>
  </si>
  <si>
    <t>Ocupada Formal</t>
  </si>
  <si>
    <t xml:space="preserve"> Sin Individualizar</t>
  </si>
  <si>
    <t xml:space="preserve">Nota de Renta Fija </t>
  </si>
  <si>
    <t xml:space="preserve">Certificados de Ventanillas </t>
  </si>
  <si>
    <t>Afiliados  SRL</t>
  </si>
  <si>
    <t>Altagracia</t>
  </si>
  <si>
    <t>%  Accidentado /Afiliado Sector Público</t>
  </si>
  <si>
    <t xml:space="preserve">    % Accidentado /Afiliado Sector Privado</t>
  </si>
  <si>
    <t xml:space="preserve"> FSS</t>
  </si>
  <si>
    <t>Pensionados de Hacienda</t>
  </si>
  <si>
    <t>Saldo  (Ingresos - Egresos SDSS)</t>
  </si>
  <si>
    <t>May.12</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</si>
  <si>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</si>
  <si>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</si>
  <si>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</si>
  <si>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</si>
  <si>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</si>
  <si>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</si>
  <si>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</si>
  <si>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</si>
  <si>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</si>
  <si>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</si>
  <si>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</si>
  <si>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</si>
  <si>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Población Económicamente Activa (PEA) Total</t>
  </si>
  <si>
    <t>Dic. 2012</t>
  </si>
  <si>
    <t>2012</t>
  </si>
  <si>
    <t>Dic.08</t>
  </si>
  <si>
    <t>Dic.12</t>
  </si>
  <si>
    <t>Dic.2007</t>
  </si>
  <si>
    <t>Dic.2008</t>
  </si>
  <si>
    <t>Dic.2011</t>
  </si>
  <si>
    <t>Dic.2012</t>
  </si>
  <si>
    <t xml:space="preserve"> 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</si>
  <si>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</si>
  <si>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Pensiones Sobrevivencia</t>
  </si>
  <si>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</si>
  <si>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</si>
  <si>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</si>
  <si>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</si>
  <si>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</si>
  <si>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</si>
  <si>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</si>
  <si>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</si>
  <si>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</si>
  <si>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</si>
  <si>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</si>
  <si>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</si>
  <si>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</si>
  <si>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</si>
  <si>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</si>
  <si>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</si>
  <si>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</si>
  <si>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</si>
  <si>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</si>
  <si>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</si>
  <si>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</si>
  <si>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</si>
  <si>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</si>
  <si>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</si>
  <si>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</si>
  <si>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</si>
  <si>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</si>
  <si>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</si>
  <si>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</si>
  <si>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</si>
  <si>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</si>
  <si>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</si>
  <si>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</si>
  <si>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</si>
  <si>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</si>
  <si>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</si>
  <si>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</si>
  <si>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Cápitas pagadas/  Afiliación </t>
  </si>
  <si>
    <t xml:space="preserve">Afiliados Titulares </t>
  </si>
  <si>
    <t xml:space="preserve">Afiliados Dependientes </t>
  </si>
  <si>
    <t>Afiliación        SFS RS</t>
  </si>
  <si>
    <t>Afiliación Total</t>
  </si>
  <si>
    <t xml:space="preserve">Afiliación  ARS Salud Segura </t>
  </si>
  <si>
    <t xml:space="preserve">Afiliación ARS SENASA </t>
  </si>
  <si>
    <t>Afiliación ARS SEMMA</t>
  </si>
  <si>
    <t>Afiliación    Total</t>
  </si>
  <si>
    <t>% Población Total Afiliada al  SFS</t>
  </si>
  <si>
    <t>Población Nacional Total</t>
  </si>
  <si>
    <t>Dic.13</t>
  </si>
  <si>
    <t>% Empresas por rango</t>
  </si>
  <si>
    <t>% Empleados por rango</t>
  </si>
  <si>
    <t>Total empresas</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</si>
  <si>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</si>
  <si>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</si>
  <si>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</si>
  <si>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</si>
  <si>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</si>
  <si>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</si>
  <si>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</si>
  <si>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</si>
  <si>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</si>
  <si>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</si>
  <si>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r>
      <rPr>
        <b/>
        <sz val="12"/>
        <color theme="1"/>
        <rFont val="Calibri"/>
        <family val="2"/>
        <scheme val="minor"/>
      </rPr>
      <t>Fuente</t>
    </r>
    <r>
      <rPr>
        <sz val="12"/>
        <color theme="1"/>
        <rFont val="Calibri"/>
        <family val="2"/>
        <scheme val="minor"/>
      </rPr>
      <t>:Portal SISALRIL</t>
    </r>
  </si>
  <si>
    <t>Dic. 2013</t>
  </si>
  <si>
    <t>May.13</t>
  </si>
  <si>
    <t>May.11</t>
  </si>
  <si>
    <t>Población Ocupada Formal</t>
  </si>
  <si>
    <t>2013</t>
  </si>
  <si>
    <t>%  Afil./Ocup.</t>
  </si>
  <si>
    <t xml:space="preserve">Rentabilidad  Promedio de los Fondos de Pensiones </t>
  </si>
  <si>
    <t xml:space="preserve">Inflación Acumulada </t>
  </si>
  <si>
    <t>Rentabilidad Real</t>
  </si>
  <si>
    <t>La Altagracia</t>
  </si>
  <si>
    <t>Total Empleados</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</si>
  <si>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</si>
  <si>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</si>
  <si>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</si>
  <si>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</si>
  <si>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</si>
  <si>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</si>
  <si>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</si>
  <si>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</si>
  <si>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</si>
  <si>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</si>
  <si>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</si>
  <si>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</si>
  <si>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</si>
  <si>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</si>
  <si>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</si>
  <si>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</si>
  <si>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</si>
  <si>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 xml:space="preserve">Población Pobre del País </t>
  </si>
  <si>
    <r>
      <rPr>
        <b/>
        <sz val="14"/>
        <color theme="1"/>
        <rFont val="Calibri"/>
        <family val="2"/>
        <scheme val="minor"/>
      </rPr>
      <t xml:space="preserve">Fuente: </t>
    </r>
    <r>
      <rPr>
        <sz val="14"/>
        <color theme="1"/>
        <rFont val="Calibri"/>
        <family val="2"/>
        <scheme val="minor"/>
      </rPr>
      <t>Superintendencia de Salud y Riesgos Laborales (SISALRIL)</t>
    </r>
  </si>
  <si>
    <t>Hombres Cotiz. / PEA</t>
  </si>
  <si>
    <t>Mujeres Cotiz. / PEA</t>
  </si>
  <si>
    <t>M.H.</t>
  </si>
  <si>
    <t xml:space="preserve"> Tipo I  </t>
  </si>
  <si>
    <t xml:space="preserve">Tipo  II  </t>
  </si>
  <si>
    <t xml:space="preserve">Tipo  III  </t>
  </si>
  <si>
    <t xml:space="preserve">Tipo  IV  </t>
  </si>
  <si>
    <t xml:space="preserve"> 2013</t>
  </si>
  <si>
    <t xml:space="preserve"> 2014</t>
  </si>
  <si>
    <t>Entidades</t>
  </si>
  <si>
    <t>% Participación</t>
  </si>
  <si>
    <t>Banco Central de la República Dominicana</t>
  </si>
  <si>
    <t>Asociación de Ahorros y Préstamos</t>
  </si>
  <si>
    <t>Bancos de Ahorro y Crédito</t>
  </si>
  <si>
    <t>Cartera Ministerio de Hacienda</t>
  </si>
  <si>
    <t>Organismos Multilarerales</t>
  </si>
  <si>
    <t>Certificados Financieros</t>
  </si>
  <si>
    <t>Títulos Desmaterializados del BC</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</si>
  <si>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</si>
  <si>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</si>
  <si>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</si>
  <si>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</si>
  <si>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</si>
  <si>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</si>
  <si>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</si>
  <si>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</si>
  <si>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</si>
  <si>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</si>
  <si>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</si>
  <si>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</si>
  <si>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</si>
  <si>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</si>
  <si>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</si>
  <si>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</si>
  <si>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</si>
  <si>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</si>
  <si>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</si>
  <si>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</si>
  <si>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</si>
  <si>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</si>
  <si>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</si>
  <si>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</si>
  <si>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</si>
  <si>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</si>
  <si>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</si>
  <si>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</si>
  <si>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</si>
  <si>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</si>
  <si>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Afiliación  SFS</t>
  </si>
  <si>
    <t>Rango de Edad</t>
  </si>
  <si>
    <t>&lt;20 años</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</si>
  <si>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</si>
  <si>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</si>
  <si>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</si>
  <si>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</si>
  <si>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</si>
  <si>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</si>
  <si>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</si>
  <si>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</si>
  <si>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</si>
  <si>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</si>
  <si>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</si>
  <si>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</si>
  <si>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</si>
  <si>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</si>
  <si>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 Hombres</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</si>
  <si>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</si>
  <si>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</si>
  <si>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</si>
  <si>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</si>
  <si>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</si>
  <si>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</si>
  <si>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</si>
  <si>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</si>
  <si>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</si>
  <si>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</si>
  <si>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</si>
  <si>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</si>
  <si>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</si>
  <si>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</si>
  <si>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</si>
  <si>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</si>
  <si>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</si>
  <si>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</si>
  <si>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</si>
  <si>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Pago Salud Pensionado</t>
  </si>
  <si>
    <t>Instrumentos</t>
  </si>
  <si>
    <t xml:space="preserve"> Pago a SENASA </t>
  </si>
  <si>
    <t>Pagos a SENASA</t>
  </si>
  <si>
    <r>
      <rPr>
        <b/>
        <sz val="16"/>
        <color theme="1"/>
        <rFont val="Calibri"/>
        <family val="2"/>
        <scheme val="minor"/>
      </rPr>
      <t>Fuente:</t>
    </r>
    <r>
      <rPr>
        <sz val="16"/>
        <color theme="1"/>
        <rFont val="Calibri"/>
        <family val="2"/>
        <scheme val="minor"/>
      </rPr>
      <t xml:space="preserve"> Tesorería de la Seguridad Social (TSS)</t>
    </r>
  </si>
  <si>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</si>
  <si>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</si>
  <si>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</si>
  <si>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</si>
  <si>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</si>
  <si>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</si>
  <si>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</si>
  <si>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</si>
  <si>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</si>
  <si>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</si>
  <si>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Sec. de Est. de Finanzas</t>
  </si>
  <si>
    <t>AFP Romana</t>
  </si>
  <si>
    <t>SIPEN</t>
  </si>
  <si>
    <t>Fondo BR</t>
  </si>
  <si>
    <t>Fondo BC</t>
  </si>
  <si>
    <t>Autoseguro (IDSS)</t>
  </si>
  <si>
    <t>AFP LEON</t>
  </si>
  <si>
    <t>AFP CARIBALICO</t>
  </si>
  <si>
    <t>Salud Pensionados</t>
  </si>
  <si>
    <t xml:space="preserve"> FONAMAT</t>
  </si>
  <si>
    <t>RC (Empleador)</t>
  </si>
  <si>
    <t>PIB Corriente Nacional</t>
  </si>
  <si>
    <t xml:space="preserve">                                   </t>
  </si>
  <si>
    <t>Saldo (Recaudo RC - Pagos RC)</t>
  </si>
  <si>
    <t>%Hombres</t>
  </si>
  <si>
    <r>
      <rPr>
        <b/>
        <sz val="11"/>
        <color theme="1"/>
        <rFont val="Calibri"/>
        <family val="2"/>
        <scheme val="minor"/>
      </rPr>
      <t>Fuente:</t>
    </r>
    <r>
      <rPr>
        <sz val="11"/>
        <color theme="1"/>
        <rFont val="Calibri"/>
        <family val="2"/>
        <scheme val="minor"/>
      </rPr>
      <t xml:space="preserve"> Portal SIRALRIL</t>
    </r>
  </si>
  <si>
    <r>
      <t xml:space="preserve">Fuente: </t>
    </r>
    <r>
      <rPr>
        <sz val="11"/>
        <rFont val="Calibri"/>
        <family val="2"/>
        <scheme val="minor"/>
      </rPr>
      <t>Informes TSS</t>
    </r>
  </si>
  <si>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</si>
  <si>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</si>
  <si>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</si>
  <si>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r>
      <rPr>
        <b/>
        <sz val="11"/>
        <color theme="1"/>
        <rFont val="Calibri"/>
        <family val="2"/>
        <scheme val="minor"/>
      </rPr>
      <t>Nota:</t>
    </r>
    <r>
      <rPr>
        <sz val="11"/>
        <color theme="1"/>
        <rFont val="Calibri"/>
        <family val="2"/>
        <scheme val="minor"/>
      </rPr>
      <t xml:space="preserve"> AFP León y AFP CARIBALICO fueron absorbidas por AFP Siembra en 2007.</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</si>
  <si>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</si>
  <si>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t xml:space="preserve">Fuente: </t>
    </r>
    <r>
      <rPr>
        <sz val="12"/>
        <color theme="1"/>
        <rFont val="Calibri"/>
        <family val="2"/>
        <scheme val="minor"/>
      </rPr>
      <t>Portal de la ARL</t>
    </r>
  </si>
  <si>
    <t xml:space="preserve"> Provincia</t>
  </si>
  <si>
    <t>AFP Popular</t>
  </si>
  <si>
    <t xml:space="preserve">Siembra </t>
  </si>
  <si>
    <t>% Provincia</t>
  </si>
  <si>
    <t>Santiago</t>
  </si>
  <si>
    <t>Valverde Mao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</si>
  <si>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</si>
  <si>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</si>
  <si>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</si>
  <si>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</si>
  <si>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</si>
  <si>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</si>
  <si>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</si>
  <si>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</si>
  <si>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Abr.15</t>
  </si>
  <si>
    <t>Casos</t>
  </si>
  <si>
    <t>Letras hipotecarias</t>
  </si>
  <si>
    <t>Abr-15</t>
  </si>
  <si>
    <r>
      <rPr>
        <b/>
        <sz val="16"/>
        <rFont val="Calibri"/>
        <family val="2"/>
        <scheme val="minor"/>
      </rPr>
      <t>Fuente:</t>
    </r>
    <r>
      <rPr>
        <sz val="16"/>
        <rFont val="Calibri"/>
        <family val="2"/>
        <scheme val="minor"/>
      </rPr>
      <t xml:space="preserve"> Portal SISALRIL</t>
    </r>
  </si>
  <si>
    <t xml:space="preserve"> Cobertura de Afiliación RET</t>
  </si>
  <si>
    <t xml:space="preserve">Elías Piña </t>
  </si>
  <si>
    <t>May.15</t>
  </si>
  <si>
    <t xml:space="preserve">Trabajadores Cotizantes </t>
  </si>
  <si>
    <t>May. 09</t>
  </si>
  <si>
    <t xml:space="preserve">May.10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</si>
  <si>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</si>
  <si>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</si>
  <si>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</si>
  <si>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</si>
  <si>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</si>
  <si>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</si>
  <si>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</si>
  <si>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Instituto Dom. de Seguridad Social (IDSS)</t>
  </si>
  <si>
    <t>Jun.15</t>
  </si>
  <si>
    <t>Índice de dependencia</t>
  </si>
  <si>
    <t>Índice de Dependencia</t>
  </si>
  <si>
    <r>
      <rPr>
        <b/>
        <sz val="12"/>
        <color theme="1"/>
        <rFont val="Calibri"/>
        <family val="2"/>
        <scheme val="minor"/>
      </rPr>
      <t>Fuente</t>
    </r>
    <r>
      <rPr>
        <sz val="12"/>
        <color theme="1"/>
        <rFont val="Calibri"/>
        <family val="2"/>
        <scheme val="minor"/>
      </rPr>
      <t>: Portal SISALRIL</t>
    </r>
  </si>
  <si>
    <t>Total Masculino</t>
  </si>
  <si>
    <t>No.</t>
  </si>
  <si>
    <t>Cápita de Niños Beneficiados</t>
  </si>
  <si>
    <t>Pagos</t>
  </si>
  <si>
    <t>Retiro Programado</t>
  </si>
  <si>
    <t>Jul.15</t>
  </si>
  <si>
    <r>
      <rPr>
        <b/>
        <sz val="12"/>
        <color theme="1"/>
        <rFont val="Calibri"/>
        <family val="2"/>
        <scheme val="minor"/>
      </rPr>
      <t>Fuente:</t>
    </r>
    <r>
      <rPr>
        <sz val="12"/>
        <color theme="1"/>
        <rFont val="Calibri"/>
        <family val="2"/>
        <scheme val="minor"/>
      </rPr>
      <t xml:space="preserve"> Informes de la TSS</t>
    </r>
  </si>
  <si>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</si>
  <si>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</si>
  <si>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</si>
  <si>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</si>
  <si>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r>
      <rPr>
        <b/>
        <sz val="14"/>
        <color theme="1"/>
        <rFont val="Calibri"/>
        <family val="2"/>
        <scheme val="minor"/>
      </rPr>
      <t xml:space="preserve">Nota: </t>
    </r>
    <r>
      <rPr>
        <sz val="14"/>
        <color theme="1"/>
        <rFont val="Calibri"/>
        <family val="2"/>
        <scheme val="minor"/>
      </rPr>
      <t>La población nacional  total estimada,  fue ajusta por la publicación  de la Oficina Nacional de estadísticas (ONE), "Estimaciones y</t>
    </r>
    <r>
      <rPr>
        <b/>
        <sz val="14"/>
        <color theme="1"/>
        <rFont val="Calibri"/>
        <family val="2"/>
        <scheme val="minor"/>
      </rPr>
      <t xml:space="preserve"> </t>
    </r>
    <r>
      <rPr>
        <sz val="14"/>
        <color theme="1"/>
        <rFont val="Calibri"/>
        <family val="2"/>
        <scheme val="minor"/>
      </rPr>
      <t>Proyecciones de Población",  basada en el censo 2010.</t>
    </r>
  </si>
  <si>
    <t>%  Afiliación Cubierta  / Población Pobre</t>
  </si>
  <si>
    <t>Ago.15</t>
  </si>
  <si>
    <t>Afiliación Total al SFS</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</si>
  <si>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</si>
  <si>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</si>
  <si>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</si>
  <si>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</si>
  <si>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</si>
  <si>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</si>
  <si>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</si>
  <si>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</si>
  <si>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</si>
  <si>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</si>
  <si>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</si>
  <si>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</si>
  <si>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</si>
  <si>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</si>
  <si>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</si>
  <si>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</si>
  <si>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</si>
  <si>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</si>
  <si>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</si>
  <si>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</si>
  <si>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</si>
  <si>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</si>
  <si>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</si>
  <si>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</si>
  <si>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</si>
  <si>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</si>
  <si>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</si>
  <si>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</si>
  <si>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</si>
  <si>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</si>
  <si>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</si>
  <si>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</si>
  <si>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</si>
  <si>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</si>
  <si>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</si>
  <si>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</si>
  <si>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</si>
  <si>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</si>
  <si>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</si>
  <si>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</si>
  <si>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</si>
  <si>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</si>
  <si>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 xml:space="preserve">III.3.7 Comportamiento de la Afiliación al SFS del RS con Relación a la Población Pobre del País </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</si>
  <si>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</si>
  <si>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</si>
  <si>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</si>
  <si>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</si>
  <si>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</si>
  <si>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</si>
  <si>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</si>
  <si>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</si>
  <si>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</si>
  <si>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</si>
  <si>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</si>
  <si>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</si>
  <si>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</si>
  <si>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</si>
  <si>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</si>
  <si>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</si>
  <si>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</si>
  <si>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</si>
  <si>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</si>
  <si>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</si>
  <si>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</si>
  <si>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</si>
  <si>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</si>
  <si>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</si>
  <si>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</si>
  <si>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</si>
  <si>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</si>
  <si>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</si>
  <si>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</si>
  <si>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</si>
  <si>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</si>
  <si>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</si>
  <si>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</si>
  <si>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</si>
  <si>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</si>
  <si>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</si>
  <si>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</si>
  <si>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</si>
  <si>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</si>
  <si>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</si>
  <si>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</si>
  <si>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</si>
  <si>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</si>
  <si>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</si>
  <si>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</si>
  <si>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</si>
  <si>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</si>
  <si>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</si>
  <si>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</si>
  <si>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</si>
  <si>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</si>
  <si>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</si>
  <si>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</si>
  <si>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</si>
  <si>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</si>
  <si>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</si>
  <si>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</si>
  <si>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</si>
  <si>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</si>
  <si>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</si>
  <si>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</si>
  <si>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</si>
  <si>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</si>
  <si>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</si>
  <si>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</si>
  <si>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</si>
  <si>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</si>
  <si>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</si>
  <si>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</si>
  <si>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</si>
  <si>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</si>
  <si>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</si>
  <si>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</si>
  <si>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</si>
  <si>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</si>
  <si>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</si>
  <si>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</si>
  <si>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</si>
  <si>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</si>
  <si>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</si>
  <si>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</si>
  <si>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</si>
  <si>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</si>
  <si>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</si>
  <si>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</si>
  <si>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</si>
  <si>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</si>
  <si>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</si>
  <si>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</si>
  <si>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</si>
  <si>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</si>
  <si>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</si>
  <si>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</si>
  <si>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</si>
  <si>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</si>
  <si>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</si>
  <si>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</si>
  <si>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</si>
  <si>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</si>
  <si>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</si>
  <si>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</si>
  <si>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</si>
  <si>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</si>
  <si>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</si>
  <si>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</si>
  <si>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</si>
  <si>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</si>
  <si>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</si>
  <si>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</si>
  <si>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</si>
  <si>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</si>
  <si>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</si>
  <si>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</si>
  <si>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</si>
  <si>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</si>
  <si>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</si>
  <si>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DIDA (TSS,IDSS,CGRD)</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</si>
  <si>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</si>
  <si>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</si>
  <si>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</si>
  <si>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</si>
  <si>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</si>
  <si>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</si>
  <si>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</si>
  <si>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</si>
  <si>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</si>
  <si>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</si>
  <si>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</si>
  <si>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</si>
  <si>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</si>
  <si>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</si>
  <si>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</si>
  <si>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</si>
  <si>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</si>
  <si>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</si>
  <si>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</si>
  <si>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</si>
  <si>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</si>
  <si>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</si>
  <si>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</si>
  <si>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</si>
  <si>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</si>
  <si>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</si>
  <si>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</si>
  <si>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</si>
  <si>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</si>
  <si>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</si>
  <si>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</si>
  <si>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rPr>
        <b/>
        <sz val="8"/>
        <color theme="1"/>
        <rFont val="Calibri"/>
        <family val="2"/>
        <scheme val="minor"/>
      </rPr>
      <t>Nota:</t>
    </r>
    <r>
      <rPr>
        <sz val="8"/>
        <color theme="1"/>
        <rFont val="Calibri"/>
        <family val="2"/>
        <scheme val="minor"/>
      </rPr>
      <t xml:space="preserve">  PEA: Banco Central, 2015.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</si>
  <si>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</si>
  <si>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</si>
  <si>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</si>
  <si>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</si>
  <si>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</si>
  <si>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</si>
  <si>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</si>
  <si>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 xml:space="preserve">                              -  </t>
  </si>
  <si>
    <t xml:space="preserve"> Abr.15 </t>
  </si>
  <si>
    <t xml:space="preserve"> May.15 </t>
  </si>
  <si>
    <t xml:space="preserve"> Jun.15 </t>
  </si>
  <si>
    <t xml:space="preserve"> Jul.15 </t>
  </si>
  <si>
    <t xml:space="preserve"> Ago.15 </t>
  </si>
  <si>
    <t xml:space="preserve"> Sep.15 </t>
  </si>
  <si>
    <t xml:space="preserve"> Oct.15 </t>
  </si>
  <si>
    <t>Nov.15</t>
  </si>
  <si>
    <t xml:space="preserve">% Afiliados   titulares </t>
  </si>
  <si>
    <t xml:space="preserve">Nov.15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</si>
  <si>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</si>
  <si>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</si>
  <si>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Aportes del Gob. (SFS RS)</t>
  </si>
  <si>
    <t>VII.7 Cantidad de Solicitudes por Fecha y Sexo</t>
  </si>
  <si>
    <t>VIII.1 Ocup. formal'!Área_de_impresión</t>
  </si>
  <si>
    <t>* Incluye la dispersión para cubrir a los dependientes adicionales.
   (ADA)  dependientes adicionales</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</si>
  <si>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</si>
  <si>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</si>
  <si>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</si>
  <si>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</si>
  <si>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</si>
  <si>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</si>
  <si>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</si>
  <si>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r>
      <rPr>
        <b/>
        <sz val="14"/>
        <color theme="1"/>
        <rFont val="Calibri"/>
        <family val="2"/>
        <scheme val="minor"/>
      </rPr>
      <t>Nota:</t>
    </r>
    <r>
      <rPr>
        <sz val="11"/>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</si>
  <si>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t>Rendimientos Inversiones *</t>
  </si>
  <si>
    <t xml:space="preserve">Dic.15 </t>
  </si>
  <si>
    <t>Rentabilidad Nominal Promedio del Sistema</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</si>
  <si>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</si>
  <si>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 Población Pobre del País Según Probreza Monetaria**</t>
  </si>
  <si>
    <t>Dic. 2003</t>
  </si>
  <si>
    <t>Dic. 2004</t>
  </si>
  <si>
    <t>Aportes del Gob. Central y/o Retenciones  Salud Pensionado *</t>
  </si>
  <si>
    <t>Patrimonio Fondos de Pensiones (RD$ Millones)</t>
  </si>
  <si>
    <t>PIB Corriente
 (RD$ Millones)</t>
  </si>
  <si>
    <t>% Afiliación SFS / Pob. Total</t>
  </si>
  <si>
    <t>Ene.16</t>
  </si>
  <si>
    <t>El Seibo</t>
  </si>
  <si>
    <t>Depositos Flexibles</t>
  </si>
  <si>
    <t>Bonos EIF</t>
  </si>
  <si>
    <t>Feb.16</t>
  </si>
  <si>
    <t xml:space="preserve">                                                                    </t>
  </si>
  <si>
    <r>
      <rPr>
        <b/>
        <sz val="12"/>
        <color theme="1"/>
        <rFont val="Calibri"/>
        <family val="2"/>
        <scheme val="minor"/>
      </rPr>
      <t>Fuente:</t>
    </r>
    <r>
      <rPr>
        <sz val="12"/>
        <color theme="1"/>
        <rFont val="Calibri"/>
        <family val="2"/>
        <scheme val="minor"/>
      </rPr>
      <t xml:space="preserve"> Afiliación Portal SISALRIL. Comité de Pobreza. 
 **Boletín de Estadísticas Oficiales de Pobreza Monetaria RD. Año 1, No.1. Septiembre 2015.</t>
    </r>
  </si>
  <si>
    <t>Inversión Renta de valores</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</si>
  <si>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</si>
  <si>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</si>
  <si>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</si>
  <si>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</si>
  <si>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</si>
  <si>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r>
      <t xml:space="preserve">* Nota: </t>
    </r>
    <r>
      <rPr>
        <sz val="12"/>
        <rFont val="Calibri"/>
        <family val="2"/>
        <scheme val="minor"/>
      </rPr>
      <t>Los aportes y rendimientos fueron ajustados según los informes de TSS.</t>
    </r>
  </si>
  <si>
    <r>
      <t xml:space="preserve">    Fuente:</t>
    </r>
    <r>
      <rPr>
        <sz val="12"/>
        <rFont val="Calibri"/>
        <family val="2"/>
        <scheme val="minor"/>
      </rPr>
      <t xml:space="preserve"> Tesoreria de la Seguridad Social (TSS).</t>
    </r>
  </si>
  <si>
    <r>
      <rPr>
        <b/>
        <sz val="12"/>
        <color theme="1"/>
        <rFont val="Calibri"/>
        <family val="2"/>
        <scheme val="minor"/>
      </rPr>
      <t>Nota:</t>
    </r>
    <r>
      <rPr>
        <sz val="12"/>
        <color theme="1"/>
        <rFont val="Calibri"/>
        <family val="2"/>
        <scheme val="minor"/>
      </rPr>
      <t xml:space="preserve">  La cantidad de niños estimada,  es calculada por la dispersión mensual entre el cápita asignado (este pago puede contener pagos retroactivos).</t>
    </r>
  </si>
  <si>
    <r>
      <rPr>
        <b/>
        <sz val="9"/>
        <color theme="1"/>
        <rFont val="Calibri"/>
        <family val="2"/>
        <scheme val="minor"/>
      </rPr>
      <t xml:space="preserve">Nota: </t>
    </r>
    <r>
      <rPr>
        <sz val="9"/>
        <color theme="1"/>
        <rFont val="Calibri"/>
        <family val="2"/>
        <scheme val="minor"/>
      </rPr>
      <t xml:space="preserve">El % PIB del año 2016, fue calculado con el PIB del 2015. </t>
    </r>
  </si>
  <si>
    <t>Mar.16</t>
  </si>
  <si>
    <t xml:space="preserve">                                                                                                                                                                                                                                                                                                                                                                                                                                                                                                                                                                                                                                                                                                                                                                                                                                                                                                                                                                                                                                                                                                                                                                                                                                                                                                                                                                                                                                                                                                                                                                                                                                                                                                                                                                                                                                                                                                                                                                                                                                                                                                                                                                                                                                                                                                                                                                                                                              </t>
  </si>
  <si>
    <r>
      <rPr>
        <b/>
        <sz val="11"/>
        <color theme="1"/>
        <rFont val="Calibri"/>
        <family val="2"/>
        <scheme val="minor"/>
      </rPr>
      <t xml:space="preserve">Fuente: </t>
    </r>
    <r>
      <rPr>
        <sz val="11"/>
        <color theme="1"/>
        <rFont val="Calibri"/>
        <family val="2"/>
        <scheme val="minor"/>
      </rPr>
      <t xml:space="preserve"> Banco Central de la RD.
</t>
    </r>
    <r>
      <rPr>
        <b/>
        <sz val="11"/>
        <color theme="1"/>
        <rFont val="Calibri"/>
        <family val="2"/>
        <scheme val="minor"/>
      </rPr>
      <t>Nota</t>
    </r>
    <r>
      <rPr>
        <sz val="11"/>
        <color theme="1"/>
        <rFont val="Calibri"/>
        <family val="2"/>
        <scheme val="minor"/>
      </rPr>
      <t>: Los datos de la poblacion Formal serán ajustados una vez que el BCRD los publique.</t>
    </r>
  </si>
  <si>
    <r>
      <t xml:space="preserve">Fuente: </t>
    </r>
    <r>
      <rPr>
        <sz val="14"/>
        <rFont val="Calibri"/>
        <family val="2"/>
        <scheme val="minor"/>
      </rPr>
      <t>Boletín Sipen No.51</t>
    </r>
  </si>
  <si>
    <t>Mar. 16</t>
  </si>
  <si>
    <t>Bancos Comerciales y de Sevicios Múltiples</t>
  </si>
  <si>
    <t xml:space="preserve">Banco Nacional de Exportaciones </t>
  </si>
  <si>
    <r>
      <rPr>
        <b/>
        <sz val="11"/>
        <color theme="1"/>
        <rFont val="Calibri"/>
        <family val="2"/>
        <scheme val="minor"/>
      </rPr>
      <t>Fuente:</t>
    </r>
    <r>
      <rPr>
        <sz val="11"/>
        <color theme="1"/>
        <rFont val="Calibri"/>
        <family val="2"/>
        <scheme val="minor"/>
      </rPr>
      <t xml:space="preserve"> Boletín No.51 Sipen</t>
    </r>
  </si>
  <si>
    <t>Fuente: Boletín No.51 Sipen</t>
  </si>
  <si>
    <t xml:space="preserve">Ene-Mar.2016 </t>
  </si>
  <si>
    <r>
      <t xml:space="preserve">Fuente: </t>
    </r>
    <r>
      <rPr>
        <sz val="14"/>
        <rFont val="Calibri"/>
        <family val="2"/>
        <scheme val="minor"/>
      </rPr>
      <t>Boletín de SIPEN No. 51</t>
    </r>
  </si>
  <si>
    <t>Fuente: Boletin No. 51 SIPEN</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</si>
  <si>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marzo 2016, se ha beneficiado a 131,618 parturientas, las cuales han recibido prestaciones económicas por Maternidad por un monto total ascendente a RD$5,203,685,296 y 100,015 trabajadoras han percibido el subsidio por Lactancia por un monto total de RD$1,394,042,628.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marzo se han beneficiados 299,142 trabajadores, recibiendo beneficios económicos por un monto global de RD$1,340,023,084.</t>
  </si>
  <si>
    <r>
      <rPr>
        <b/>
        <sz val="12"/>
        <color theme="1"/>
        <rFont val="Calibri"/>
        <family val="2"/>
        <scheme val="minor"/>
      </rPr>
      <t>Fuente:</t>
    </r>
    <r>
      <rPr>
        <sz val="12"/>
        <color theme="1"/>
        <rFont val="Calibri"/>
        <family val="2"/>
        <scheme val="minor"/>
      </rPr>
      <t xml:space="preserve"> Superintendencia de Salud y Riesgos Laborales (SISALRIL)
</t>
    </r>
    <r>
      <rPr>
        <b/>
        <sz val="12"/>
        <color theme="1"/>
        <rFont val="Calibri"/>
        <family val="2"/>
        <scheme val="minor"/>
      </rPr>
      <t>Nota:</t>
    </r>
    <r>
      <rPr>
        <sz val="12"/>
        <color theme="1"/>
        <rFont val="Calibri"/>
        <family val="2"/>
        <scheme val="minor"/>
      </rPr>
      <t xml:space="preserve"> Incluye SFS, RC y RS</t>
    </r>
  </si>
  <si>
    <t>Abr.16</t>
  </si>
  <si>
    <t>Total  Empleados</t>
  </si>
  <si>
    <t>Abr. 2016</t>
  </si>
  <si>
    <t>Abr.2016</t>
  </si>
  <si>
    <t>Ene-Abr.16</t>
  </si>
  <si>
    <t>Ene-Abr. 16</t>
  </si>
  <si>
    <t>Ene -Abr. 2016</t>
  </si>
  <si>
    <t>Ene-Abr. 2016</t>
  </si>
  <si>
    <t>Abr. 16</t>
  </si>
  <si>
    <t>Ene-Abr.  2016</t>
  </si>
  <si>
    <t>Abr.2016*</t>
  </si>
  <si>
    <t>Ene-Abr.2016</t>
  </si>
  <si>
    <t>Ene - Abr.2016</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</si>
  <si>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abril 2016, se otorgaron 209 pensiones por Discapacidad y 269 pensiones por Sobrevivencia y ninguna por retiro programado (vejez) a afiliados de Ingreso Tardío.
Desde su inicio y hasta abril 2016, el Sistema Previsional ha beneficiado un total de 10,979 pensiones, desglosadas de la siguiente manera:  5,207 por Discapacidad;  5,751 por Sobrevivencia y 21 por Retiro Programado (vejez), otorgadas estas últimas a personas de ingreso tardío. Las pensiones de sobrevivencia otorgadas benefician a 13,760 personas a marzo 2016. 
A marzo 2016, el monto promedio de pensión por sobrevivencia asciende a RD$ 10,731.79 mientras que el monto promedio de pensión por discapacidad asciende a RD$7,456.49.</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</si>
  <si>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</si>
  <si>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18"/>
        <color indexed="8"/>
        <rFont val="Calibri"/>
        <family val="2"/>
      </rPr>
      <t xml:space="preserve">
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</si>
</sst>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0.000000_);_([$€-2]* \(#,##0.000000\);_([$€-2]* &quot;-&quot;??_)"/>
    <numFmt numFmtId="193" formatCode="_([$€-2]\ * #,##0.0_);_([$€-2]\ * \(#,##0.0\);_([$€-2]\ * &quot;-&quot;??_);_(@_)"/>
    <numFmt numFmtId="194" formatCode="#,##0.000000_);[Red]\(#,##0.000000\)"/>
    <numFmt numFmtId="195" formatCode="&quot;$&quot;#,##0.00"/>
    <numFmt numFmtId="196" formatCode="0.00_);\(0.00\)"/>
    <numFmt numFmtId="197" formatCode="#,##0.0000"/>
    <numFmt numFmtId="198" formatCode="[$-1C0A]d&quot; de &quot;mmmm&quot; de &quot;yyyy;@"/>
    <numFmt numFmtId="199" formatCode="dd/mm/yyyy;@"/>
  </numFmts>
  <fonts count="168">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b/>
      <sz val="14"/>
      <color indexed="8"/>
      <name val="Calibri"/>
      <family val="2"/>
    </font>
    <font>
      <sz val="14"/>
      <color indexed="8"/>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b/>
      <sz val="14"/>
      <color indexed="9"/>
      <name val="Calibri"/>
      <family val="2"/>
    </font>
    <font>
      <sz val="9"/>
      <name val="Century Gothic"/>
      <family val="2"/>
    </font>
    <font>
      <sz val="14"/>
      <color indexed="9"/>
      <name val="Calibri"/>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1"/>
      <color theme="0"/>
      <name val="Arial"/>
      <family val="2"/>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sz val="15"/>
      <color rgb="FF000000"/>
      <name val="Calibri"/>
      <family val="2"/>
      <scheme val="minor"/>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color theme="1"/>
      <name val="Calibri"/>
      <family val="2"/>
      <scheme val="minor"/>
    </font>
    <font>
      <sz val="22"/>
      <name val="Calibri"/>
      <family val="2"/>
      <scheme val="minor"/>
    </font>
    <font>
      <b/>
      <u/>
      <sz val="11"/>
      <color theme="1"/>
      <name val="Calibri"/>
      <family val="2"/>
      <scheme val="minor"/>
    </font>
    <font>
      <b/>
      <sz val="12"/>
      <color indexed="81"/>
      <name val="Tahoma"/>
      <family val="2"/>
    </font>
    <font>
      <sz val="12"/>
      <color indexed="81"/>
      <name val="Tahoma"/>
      <family val="2"/>
    </font>
    <font>
      <sz val="10"/>
      <name val="Arial"/>
      <family val="2"/>
    </font>
    <font>
      <b/>
      <sz val="14"/>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4"/>
      <color rgb="FF000000"/>
      <name val="Calibri"/>
      <family val="2"/>
      <scheme val="minor"/>
    </font>
    <font>
      <b/>
      <sz val="14"/>
      <color rgb="FFFFFF00"/>
      <name val="Calibri"/>
      <family val="2"/>
      <scheme val="minor"/>
    </font>
    <font>
      <sz val="18"/>
      <color rgb="FFFFFF00"/>
      <name val="Calibri"/>
      <family val="2"/>
      <scheme val="minor"/>
    </font>
    <font>
      <b/>
      <sz val="20"/>
      <color rgb="FFFFFF00"/>
      <name val="Calibri"/>
      <family val="2"/>
      <scheme val="minor"/>
    </font>
    <font>
      <b/>
      <sz val="12"/>
      <color rgb="FFFFFF00"/>
      <name val="Calibri"/>
      <family val="2"/>
      <scheme val="minor"/>
    </font>
    <font>
      <sz val="20"/>
      <color rgb="FF9E2C96"/>
      <name val="Calibri"/>
      <family val="2"/>
      <scheme val="minor"/>
    </font>
    <font>
      <sz val="18"/>
      <color rgb="FF9E2C96"/>
      <name val="Calibri"/>
      <family val="2"/>
      <scheme val="minor"/>
    </font>
    <font>
      <sz val="10"/>
      <name val="Arial"/>
      <family val="2"/>
    </font>
    <font>
      <sz val="18"/>
      <color theme="0"/>
      <name val="Calibri"/>
      <family val="2"/>
      <scheme val="minor"/>
    </font>
    <font>
      <b/>
      <sz val="26"/>
      <color rgb="FFFFFF00"/>
      <name val="Calibri"/>
      <family val="2"/>
      <scheme val="minor"/>
    </font>
    <font>
      <sz val="20"/>
      <name val="Calibri"/>
      <family val="2"/>
      <scheme val="minor"/>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sz val="10"/>
      <name val="Arial"/>
      <family val="2"/>
    </font>
    <font>
      <sz val="14"/>
      <color rgb="FF226E44"/>
      <name val="Consolas"/>
      <family val="3"/>
    </font>
    <font>
      <sz val="12"/>
      <color rgb="FFFF0000"/>
      <name val="Calibri"/>
      <family val="2"/>
      <scheme val="minor"/>
    </font>
    <font>
      <b/>
      <sz val="24"/>
      <color rgb="FFFFC000"/>
      <name val="Calibri"/>
      <family val="2"/>
      <scheme val="minor"/>
    </font>
    <font>
      <b/>
      <sz val="16"/>
      <color rgb="FFFFFF00"/>
      <name val="Calibri"/>
      <family val="2"/>
      <scheme val="minor"/>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s>
  <cellStyleXfs count="1128">
    <xf numFmtId="174" fontId="0" fillId="0" borderId="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20" fillId="3" borderId="0" applyNumberFormat="0" applyBorder="0" applyAlignment="0" applyProtection="0"/>
    <xf numFmtId="0" fontId="20" fillId="3" borderId="0" applyNumberFormat="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15" fillId="20" borderId="1" applyNumberFormat="0" applyAlignment="0" applyProtection="0"/>
    <xf numFmtId="0" fontId="15" fillId="20" borderId="1" applyNumberFormat="0" applyAlignment="0" applyProtection="0"/>
    <xf numFmtId="174" fontId="15" fillId="20" borderId="1" applyNumberFormat="0" applyAlignment="0" applyProtection="0"/>
    <xf numFmtId="0" fontId="15" fillId="20" borderId="1" applyNumberFormat="0" applyAlignment="0" applyProtection="0"/>
    <xf numFmtId="174" fontId="16" fillId="21" borderId="2" applyNumberFormat="0" applyAlignment="0" applyProtection="0"/>
    <xf numFmtId="0" fontId="16" fillId="21" borderId="2" applyNumberFormat="0" applyAlignment="0" applyProtection="0"/>
    <xf numFmtId="174" fontId="17" fillId="0" borderId="3" applyNumberFormat="0" applyFill="0" applyAlignment="0" applyProtection="0"/>
    <xf numFmtId="0" fontId="17" fillId="0" borderId="3" applyNumberFormat="0" applyFill="0" applyAlignment="0" applyProtection="0"/>
    <xf numFmtId="174" fontId="16" fillId="21" borderId="2" applyNumberFormat="0" applyAlignment="0" applyProtection="0"/>
    <xf numFmtId="0" fontId="16"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8" fillId="0" borderId="0" applyNumberFormat="0" applyFill="0" applyBorder="0" applyAlignment="0" applyProtection="0"/>
    <xf numFmtId="0" fontId="18" fillId="0" borderId="0" applyNumberFormat="0" applyFill="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2" fillId="0" borderId="0" applyFon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33" fillId="0" borderId="0" applyNumberFormat="0" applyFill="0" applyBorder="0" applyAlignment="0" applyProtection="0">
      <alignment vertical="top"/>
      <protection locked="0"/>
    </xf>
    <xf numFmtId="174" fontId="20" fillId="3" borderId="0" applyNumberFormat="0" applyBorder="0" applyAlignment="0" applyProtection="0"/>
    <xf numFmtId="0" fontId="20" fillId="3"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17" fillId="0" borderId="3" applyNumberFormat="0" applyFill="0" applyAlignment="0" applyProtection="0"/>
    <xf numFmtId="0" fontId="17" fillId="0" borderId="3" applyNumberFormat="0" applyFill="0" applyAlignment="0" applyProtection="0"/>
    <xf numFmtId="43" fontId="47" fillId="0" borderId="0" applyFont="0" applyFill="0" applyBorder="0" applyAlignment="0" applyProtection="0"/>
    <xf numFmtId="43" fontId="2" fillId="0" borderId="0" applyFont="0" applyFill="0" applyBorder="0" applyAlignment="0" applyProtection="0"/>
    <xf numFmtId="166" fontId="4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21" fillId="22" borderId="0" applyNumberFormat="0" applyBorder="0" applyAlignment="0" applyProtection="0"/>
    <xf numFmtId="0" fontId="21" fillId="22" borderId="0" applyNumberFormat="0" applyBorder="0" applyAlignment="0" applyProtection="0"/>
    <xf numFmtId="174" fontId="12" fillId="0" borderId="0"/>
    <xf numFmtId="174" fontId="2" fillId="0" borderId="0"/>
    <xf numFmtId="0" fontId="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47" fillId="0" borderId="0"/>
    <xf numFmtId="174" fontId="2" fillId="0" borderId="0"/>
    <xf numFmtId="174" fontId="2" fillId="0" borderId="0"/>
    <xf numFmtId="174" fontId="47" fillId="0" borderId="0"/>
    <xf numFmtId="0" fontId="2" fillId="0" borderId="0"/>
    <xf numFmtId="182" fontId="47"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7" fillId="0" borderId="0"/>
    <xf numFmtId="174" fontId="35" fillId="0" borderId="0"/>
    <xf numFmtId="174" fontId="2" fillId="0" borderId="0"/>
    <xf numFmtId="0" fontId="2" fillId="0" borderId="0"/>
    <xf numFmtId="0" fontId="2" fillId="0" borderId="0"/>
    <xf numFmtId="174" fontId="47" fillId="0" borderId="0"/>
    <xf numFmtId="0" fontId="47" fillId="0" borderId="0"/>
    <xf numFmtId="174" fontId="47" fillId="0" borderId="0"/>
    <xf numFmtId="0" fontId="47" fillId="0" borderId="0"/>
    <xf numFmtId="174" fontId="47" fillId="0" borderId="0"/>
    <xf numFmtId="0" fontId="47" fillId="0" borderId="0"/>
    <xf numFmtId="174" fontId="47" fillId="0" borderId="0"/>
    <xf numFmtId="0" fontId="47" fillId="0" borderId="0"/>
    <xf numFmtId="174" fontId="47" fillId="0" borderId="0"/>
    <xf numFmtId="0" fontId="47" fillId="0" borderId="0"/>
    <xf numFmtId="0" fontId="47" fillId="0" borderId="0"/>
    <xf numFmtId="0" fontId="47" fillId="0" borderId="0"/>
    <xf numFmtId="0" fontId="47" fillId="0" borderId="0"/>
    <xf numFmtId="174" fontId="2" fillId="0" borderId="0"/>
    <xf numFmtId="174" fontId="2" fillId="0" borderId="0"/>
    <xf numFmtId="0" fontId="2" fillId="0" borderId="0"/>
    <xf numFmtId="174" fontId="12" fillId="0" borderId="0"/>
    <xf numFmtId="174" fontId="30" fillId="0" borderId="0"/>
    <xf numFmtId="0" fontId="30" fillId="0" borderId="0"/>
    <xf numFmtId="0" fontId="12"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4" fillId="0" borderId="0"/>
    <xf numFmtId="174" fontId="2" fillId="0" borderId="0"/>
    <xf numFmtId="174" fontId="12" fillId="0" borderId="0"/>
    <xf numFmtId="174" fontId="2" fillId="0" borderId="0"/>
    <xf numFmtId="0" fontId="2" fillId="0" borderId="0"/>
    <xf numFmtId="0" fontId="12" fillId="0" borderId="0"/>
    <xf numFmtId="174" fontId="2" fillId="0" borderId="0"/>
    <xf numFmtId="174" fontId="2" fillId="0" borderId="0"/>
    <xf numFmtId="174" fontId="2" fillId="0" borderId="0"/>
    <xf numFmtId="0" fontId="2" fillId="0" borderId="0"/>
    <xf numFmtId="0" fontId="47" fillId="0" borderId="0"/>
    <xf numFmtId="182" fontId="47" fillId="0" borderId="0"/>
    <xf numFmtId="0" fontId="47" fillId="0" borderId="0"/>
    <xf numFmtId="182" fontId="47" fillId="0" borderId="0"/>
    <xf numFmtId="174" fontId="2" fillId="0" borderId="0"/>
    <xf numFmtId="0" fontId="2" fillId="0" borderId="0"/>
    <xf numFmtId="174" fontId="30" fillId="0" borderId="0"/>
    <xf numFmtId="174" fontId="2" fillId="0" borderId="0"/>
    <xf numFmtId="0" fontId="2" fillId="0" borderId="0"/>
    <xf numFmtId="0" fontId="30"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47" fillId="0" borderId="0"/>
    <xf numFmtId="174" fontId="30" fillId="0" borderId="0"/>
    <xf numFmtId="174" fontId="2" fillId="0" borderId="0"/>
    <xf numFmtId="0" fontId="2"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0" fontId="30" fillId="0" borderId="0"/>
    <xf numFmtId="174" fontId="30"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30" fillId="0" borderId="0"/>
    <xf numFmtId="174" fontId="1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2" fillId="0" borderId="0"/>
    <xf numFmtId="174" fontId="12" fillId="23" borderId="8" applyNumberFormat="0" applyFont="0" applyAlignment="0" applyProtection="0"/>
    <xf numFmtId="0" fontId="12"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2" fillId="20" borderId="9" applyNumberFormat="0" applyAlignment="0" applyProtection="0"/>
    <xf numFmtId="0" fontId="22" fillId="20" borderId="9" applyNumberFormat="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2" fillId="20" borderId="9" applyNumberFormat="0" applyAlignment="0" applyProtection="0"/>
    <xf numFmtId="0" fontId="22" fillId="20" borderId="9" applyNumberFormat="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8" fillId="0" borderId="10" applyNumberFormat="0" applyFill="0" applyAlignment="0" applyProtection="0"/>
    <xf numFmtId="0" fontId="28" fillId="0" borderId="10" applyNumberFormat="0" applyFill="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0" fontId="47" fillId="0" borderId="0"/>
    <xf numFmtId="0" fontId="1" fillId="0" borderId="10" applyNumberFormat="0" applyFill="0" applyAlignment="0" applyProtection="0"/>
    <xf numFmtId="0" fontId="47" fillId="0" borderId="0"/>
    <xf numFmtId="165" fontId="2"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174" fontId="47" fillId="0" borderId="0"/>
    <xf numFmtId="174" fontId="2" fillId="0" borderId="0"/>
    <xf numFmtId="174" fontId="47" fillId="0" borderId="0"/>
    <xf numFmtId="0" fontId="47" fillId="0" borderId="0"/>
    <xf numFmtId="0" fontId="1" fillId="0" borderId="10" applyNumberFormat="0" applyFill="0" applyAlignment="0" applyProtection="0"/>
    <xf numFmtId="0" fontId="47" fillId="0" borderId="0"/>
    <xf numFmtId="0" fontId="47" fillId="0" borderId="0"/>
    <xf numFmtId="0" fontId="47" fillId="0" borderId="0"/>
    <xf numFmtId="43" fontId="2" fillId="0" borderId="0" applyFont="0" applyFill="0" applyBorder="0" applyAlignment="0" applyProtection="0"/>
    <xf numFmtId="0" fontId="2" fillId="0" borderId="0">
      <alignment wrapText="1"/>
    </xf>
    <xf numFmtId="0" fontId="2" fillId="0" borderId="0">
      <alignment wrapText="1"/>
    </xf>
    <xf numFmtId="0" fontId="47" fillId="0" borderId="0"/>
    <xf numFmtId="0" fontId="91" fillId="0" borderId="0">
      <alignment wrapText="1"/>
    </xf>
    <xf numFmtId="0" fontId="47" fillId="0" borderId="0"/>
    <xf numFmtId="0" fontId="47" fillId="0" borderId="0"/>
    <xf numFmtId="0" fontId="2" fillId="0" borderId="0">
      <alignment wrapText="1"/>
    </xf>
    <xf numFmtId="0" fontId="47" fillId="0" borderId="0"/>
    <xf numFmtId="0" fontId="47" fillId="0" borderId="0"/>
    <xf numFmtId="0" fontId="47" fillId="0" borderId="0"/>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47"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7" fillId="0" borderId="0"/>
    <xf numFmtId="174" fontId="47" fillId="0" borderId="0"/>
    <xf numFmtId="0"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43"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30" fillId="0" borderId="0"/>
    <xf numFmtId="0" fontId="30"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0" fontId="2" fillId="0" borderId="0"/>
    <xf numFmtId="0" fontId="47" fillId="0" borderId="0"/>
    <xf numFmtId="174" fontId="47" fillId="0" borderId="0"/>
    <xf numFmtId="174"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0" fontId="47" fillId="0" borderId="0"/>
    <xf numFmtId="0" fontId="47" fillId="0" borderId="0"/>
    <xf numFmtId="0" fontId="4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7" fillId="0" borderId="0"/>
    <xf numFmtId="174" fontId="47" fillId="0" borderId="0"/>
    <xf numFmtId="174" fontId="47" fillId="0" borderId="0"/>
    <xf numFmtId="174" fontId="47" fillId="0" borderId="0"/>
    <xf numFmtId="0" fontId="2" fillId="0" borderId="0"/>
    <xf numFmtId="0" fontId="2" fillId="0" borderId="0">
      <alignment wrapText="1"/>
    </xf>
    <xf numFmtId="0" fontId="47" fillId="0" borderId="0"/>
    <xf numFmtId="0" fontId="2" fillId="0" borderId="0">
      <alignment wrapText="1"/>
    </xf>
    <xf numFmtId="0" fontId="30" fillId="0" borderId="0"/>
    <xf numFmtId="0" fontId="2" fillId="0" borderId="0"/>
    <xf numFmtId="0" fontId="30" fillId="0" borderId="0"/>
    <xf numFmtId="0" fontId="47" fillId="0" borderId="0"/>
    <xf numFmtId="0" fontId="47" fillId="0" borderId="0"/>
    <xf numFmtId="0" fontId="47" fillId="0" borderId="0"/>
    <xf numFmtId="0" fontId="2" fillId="0" borderId="0"/>
    <xf numFmtId="0" fontId="30" fillId="0" borderId="0"/>
    <xf numFmtId="0" fontId="30"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25" fillId="0" borderId="0"/>
    <xf numFmtId="0" fontId="126" fillId="0" borderId="0"/>
    <xf numFmtId="178" fontId="126" fillId="0" borderId="0" applyFont="0" applyFill="0" applyBorder="0" applyAlignment="0" applyProtection="0"/>
    <xf numFmtId="9" fontId="126" fillId="0" borderId="0" applyFont="0" applyFill="0" applyBorder="0" applyAlignment="0" applyProtection="0"/>
    <xf numFmtId="0" fontId="47" fillId="0" borderId="0"/>
    <xf numFmtId="0" fontId="47" fillId="0" borderId="0"/>
    <xf numFmtId="182" fontId="47" fillId="0" borderId="0"/>
    <xf numFmtId="0" fontId="128"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9" fillId="0" borderId="0">
      <alignment wrapText="1"/>
    </xf>
    <xf numFmtId="0" fontId="2" fillId="0" borderId="0"/>
    <xf numFmtId="0" fontId="140" fillId="0" borderId="0"/>
    <xf numFmtId="0" fontId="2" fillId="0" borderId="0">
      <alignment wrapText="1"/>
    </xf>
    <xf numFmtId="0" fontId="142" fillId="0" borderId="0"/>
    <xf numFmtId="0" fontId="153" fillId="0" borderId="0"/>
    <xf numFmtId="178" fontId="153" fillId="0" borderId="0" applyFont="0" applyFill="0" applyBorder="0" applyAlignment="0" applyProtection="0"/>
    <xf numFmtId="9" fontId="153" fillId="0" borderId="0" applyFont="0" applyFill="0" applyBorder="0" applyAlignment="0" applyProtection="0"/>
    <xf numFmtId="0" fontId="2" fillId="0" borderId="0">
      <alignment wrapText="1"/>
    </xf>
    <xf numFmtId="43" fontId="47" fillId="0" borderId="0" applyFont="0" applyFill="0" applyBorder="0" applyAlignment="0" applyProtection="0"/>
    <xf numFmtId="9" fontId="2" fillId="0" borderId="0" applyFont="0" applyFill="0" applyBorder="0" applyAlignment="0" applyProtection="0"/>
    <xf numFmtId="0" fontId="157" fillId="0" borderId="0"/>
    <xf numFmtId="178" fontId="2" fillId="0" borderId="0" applyFont="0" applyFill="0" applyBorder="0" applyAlignment="0" applyProtection="0"/>
    <xf numFmtId="9" fontId="2" fillId="0" borderId="0" applyFont="0" applyFill="0" applyBorder="0" applyAlignment="0" applyProtection="0"/>
    <xf numFmtId="0" fontId="30" fillId="0" borderId="0"/>
    <xf numFmtId="43" fontId="2" fillId="0" borderId="0" applyFont="0" applyFill="0" applyBorder="0" applyAlignment="0" applyProtection="0"/>
    <xf numFmtId="0" fontId="47" fillId="0" borderId="0"/>
    <xf numFmtId="174" fontId="158" fillId="0" borderId="0" applyNumberFormat="0" applyFill="0" applyBorder="0" applyAlignment="0" applyProtection="0">
      <alignment vertical="top"/>
      <protection locked="0"/>
    </xf>
    <xf numFmtId="0" fontId="47" fillId="0" borderId="0"/>
    <xf numFmtId="198" fontId="2" fillId="0" borderId="0"/>
    <xf numFmtId="199" fontId="2" fillId="0" borderId="0" applyFont="0" applyFill="0" applyBorder="0" applyAlignment="0" applyProtection="0"/>
    <xf numFmtId="0" fontId="47" fillId="0" borderId="0"/>
    <xf numFmtId="0" fontId="47" fillId="0" borderId="0"/>
    <xf numFmtId="0" fontId="47" fillId="0" borderId="0"/>
    <xf numFmtId="0" fontId="162" fillId="0" borderId="0"/>
    <xf numFmtId="0" fontId="163" fillId="0" borderId="0"/>
    <xf numFmtId="178" fontId="163" fillId="0" borderId="0" applyFont="0" applyFill="0" applyBorder="0" applyAlignment="0" applyProtection="0"/>
    <xf numFmtId="9" fontId="163" fillId="0" borderId="0" applyFont="0" applyFill="0" applyBorder="0" applyAlignment="0" applyProtection="0"/>
  </cellStyleXfs>
  <cellXfs count="2275">
    <xf numFmtId="174" fontId="0" fillId="0" borderId="0" xfId="0"/>
    <xf numFmtId="174" fontId="47" fillId="0" borderId="0" xfId="388" applyFont="1"/>
    <xf numFmtId="10" fontId="52" fillId="0" borderId="0" xfId="388" applyNumberFormat="1" applyFont="1"/>
    <xf numFmtId="10" fontId="51" fillId="0" borderId="0" xfId="388" applyNumberFormat="1" applyFont="1"/>
    <xf numFmtId="10" fontId="47" fillId="0" borderId="0" xfId="388" applyNumberFormat="1" applyFont="1"/>
    <xf numFmtId="174" fontId="47" fillId="0" borderId="0" xfId="388" applyFont="1" applyFill="1" applyBorder="1"/>
    <xf numFmtId="171" fontId="47" fillId="0" borderId="0" xfId="388" applyNumberFormat="1" applyFont="1"/>
    <xf numFmtId="174" fontId="47" fillId="0" borderId="0" xfId="388" applyNumberFormat="1" applyFont="1"/>
    <xf numFmtId="10" fontId="47" fillId="0" borderId="0" xfId="388" applyNumberFormat="1" applyFont="1" applyBorder="1"/>
    <xf numFmtId="174" fontId="47" fillId="0" borderId="0" xfId="388" applyFont="1" applyBorder="1"/>
    <xf numFmtId="4" fontId="29" fillId="0" borderId="11" xfId="398" applyNumberFormat="1" applyFont="1" applyFill="1" applyBorder="1" applyAlignment="1">
      <alignment horizontal="right" vertical="justify" wrapText="1"/>
    </xf>
    <xf numFmtId="4" fontId="29" fillId="0" borderId="12" xfId="398" applyNumberFormat="1" applyFont="1" applyFill="1" applyBorder="1" applyAlignment="1">
      <alignment horizontal="right" vertical="justify" wrapText="1"/>
    </xf>
    <xf numFmtId="174" fontId="53"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52"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4" fillId="0" borderId="0" xfId="0" applyFont="1" applyFill="1" applyBorder="1" applyAlignment="1">
      <alignment horizontal="center" wrapText="1"/>
    </xf>
    <xf numFmtId="174" fontId="0" fillId="0" borderId="0" xfId="0" applyBorder="1"/>
    <xf numFmtId="43" fontId="0" fillId="0" borderId="0" xfId="0" applyNumberFormat="1"/>
    <xf numFmtId="3" fontId="55" fillId="0" borderId="0" xfId="0" applyNumberFormat="1" applyFont="1" applyFill="1" applyBorder="1" applyAlignment="1" applyProtection="1"/>
    <xf numFmtId="1" fontId="0" fillId="0" borderId="0" xfId="0" applyNumberFormat="1" applyFill="1"/>
    <xf numFmtId="1" fontId="55" fillId="0" borderId="0" xfId="0" applyNumberFormat="1" applyFont="1" applyFill="1" applyBorder="1" applyAlignment="1" applyProtection="1"/>
    <xf numFmtId="1" fontId="0" fillId="0" borderId="0" xfId="0" applyNumberFormat="1"/>
    <xf numFmtId="4" fontId="0" fillId="0" borderId="0" xfId="0" applyNumberFormat="1"/>
    <xf numFmtId="174" fontId="55" fillId="0" borderId="0" xfId="0" applyNumberFormat="1" applyFont="1" applyFill="1"/>
    <xf numFmtId="174" fontId="57" fillId="0" borderId="0" xfId="0" applyNumberFormat="1" applyFont="1"/>
    <xf numFmtId="174" fontId="0" fillId="0" borderId="0" xfId="0" applyNumberFormat="1" applyBorder="1" applyAlignment="1">
      <alignment horizontal="left"/>
    </xf>
    <xf numFmtId="174" fontId="58" fillId="0" borderId="0" xfId="0" applyNumberFormat="1" applyFont="1" applyBorder="1" applyAlignment="1">
      <alignment horizontal="left"/>
    </xf>
    <xf numFmtId="168" fontId="0" fillId="0" borderId="0" xfId="0" applyNumberFormat="1" applyBorder="1" applyAlignment="1">
      <alignment horizontal="left"/>
    </xf>
    <xf numFmtId="43" fontId="59"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4" fillId="0" borderId="0" xfId="328" applyFont="1"/>
    <xf numFmtId="43" fontId="34"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43" fontId="47" fillId="0" borderId="0" xfId="323" applyFont="1"/>
    <xf numFmtId="174" fontId="55" fillId="0" borderId="0" xfId="0" applyFont="1"/>
    <xf numFmtId="10" fontId="47" fillId="0" borderId="0" xfId="551" applyNumberFormat="1" applyFont="1"/>
    <xf numFmtId="167" fontId="47" fillId="0" borderId="0" xfId="323" applyNumberFormat="1" applyFont="1"/>
    <xf numFmtId="174" fontId="51" fillId="0" borderId="0" xfId="0" applyFont="1"/>
    <xf numFmtId="174" fontId="63" fillId="0" borderId="0" xfId="0" applyNumberFormat="1" applyFont="1" applyAlignment="1">
      <alignment horizontal="left" wrapText="1"/>
    </xf>
    <xf numFmtId="174" fontId="50" fillId="0" borderId="0" xfId="0" applyNumberFormat="1" applyFont="1" applyFill="1" applyBorder="1"/>
    <xf numFmtId="174" fontId="50" fillId="0" borderId="0" xfId="0" applyFont="1" applyFill="1" applyBorder="1"/>
    <xf numFmtId="174" fontId="48" fillId="0" borderId="0" xfId="0" applyFont="1"/>
    <xf numFmtId="174" fontId="48" fillId="0" borderId="0" xfId="0" applyFont="1" applyFill="1" applyBorder="1"/>
    <xf numFmtId="43" fontId="48" fillId="0" borderId="0" xfId="0" applyNumberFormat="1" applyFont="1" applyFill="1" applyBorder="1"/>
    <xf numFmtId="174" fontId="48" fillId="0" borderId="0" xfId="0" applyFont="1" applyFill="1" applyBorder="1" applyAlignment="1"/>
    <xf numFmtId="174" fontId="0" fillId="0" borderId="0" xfId="0" applyFill="1" applyBorder="1" applyAlignment="1"/>
    <xf numFmtId="173" fontId="47" fillId="0" borderId="0" xfId="323" applyNumberFormat="1" applyFont="1" applyFill="1"/>
    <xf numFmtId="43" fontId="47" fillId="0" borderId="0" xfId="323" applyFont="1" applyFill="1"/>
    <xf numFmtId="174" fontId="55" fillId="0" borderId="0" xfId="0" applyNumberFormat="1" applyFont="1" applyFill="1" applyBorder="1" applyAlignment="1" applyProtection="1"/>
    <xf numFmtId="3" fontId="64" fillId="0" borderId="0" xfId="0" applyNumberFormat="1" applyFont="1" applyFill="1" applyBorder="1" applyAlignment="1" applyProtection="1"/>
    <xf numFmtId="3" fontId="55" fillId="0" borderId="13" xfId="0" applyNumberFormat="1" applyFont="1" applyFill="1" applyBorder="1" applyAlignment="1" applyProtection="1"/>
    <xf numFmtId="167" fontId="51" fillId="26" borderId="13" xfId="0" applyNumberFormat="1" applyFont="1" applyFill="1" applyBorder="1"/>
    <xf numFmtId="43" fontId="47" fillId="0" borderId="0" xfId="323" applyFont="1" applyBorder="1"/>
    <xf numFmtId="174" fontId="67" fillId="0" borderId="0" xfId="0" applyFont="1" applyBorder="1" applyAlignment="1">
      <alignment vertical="top" wrapText="1"/>
    </xf>
    <xf numFmtId="174" fontId="67" fillId="0" borderId="0" xfId="0" applyFont="1" applyBorder="1" applyAlignment="1">
      <alignment vertical="top"/>
    </xf>
    <xf numFmtId="174" fontId="53" fillId="0" borderId="0" xfId="347"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63" fillId="27" borderId="0" xfId="0" applyFont="1" applyFill="1"/>
    <xf numFmtId="174" fontId="0" fillId="27" borderId="0" xfId="0" applyFill="1" applyBorder="1"/>
    <xf numFmtId="43" fontId="0" fillId="27" borderId="0" xfId="0" applyNumberFormat="1" applyFill="1" applyBorder="1"/>
    <xf numFmtId="174" fontId="47" fillId="0" borderId="0" xfId="442" applyFont="1"/>
    <xf numFmtId="174" fontId="0" fillId="0" borderId="0" xfId="0"/>
    <xf numFmtId="174" fontId="0" fillId="0" borderId="0" xfId="0" applyNumberFormat="1" applyBorder="1" applyAlignment="1">
      <alignment horizontal="right"/>
    </xf>
    <xf numFmtId="174" fontId="57" fillId="0" borderId="0" xfId="0" applyNumberFormat="1" applyFont="1" applyBorder="1"/>
    <xf numFmtId="43" fontId="34" fillId="0" borderId="0" xfId="328" applyFont="1" applyBorder="1"/>
    <xf numFmtId="174" fontId="55" fillId="0" borderId="0" xfId="0" applyFont="1" applyBorder="1"/>
    <xf numFmtId="174" fontId="50" fillId="0" borderId="0" xfId="0" applyFont="1" applyBorder="1"/>
    <xf numFmtId="174" fontId="47" fillId="0" borderId="0" xfId="446" applyFont="1"/>
    <xf numFmtId="174" fontId="47" fillId="0" borderId="0" xfId="446" applyFont="1" applyAlignment="1"/>
    <xf numFmtId="173" fontId="3" fillId="0" borderId="0" xfId="323" applyNumberFormat="1" applyFont="1" applyBorder="1"/>
    <xf numFmtId="174" fontId="47" fillId="0" borderId="0" xfId="446" applyFont="1" applyBorder="1"/>
    <xf numFmtId="174" fontId="47" fillId="0" borderId="0" xfId="450" applyFont="1"/>
    <xf numFmtId="43" fontId="47" fillId="0" borderId="0" xfId="323" applyFont="1" applyFill="1" applyBorder="1"/>
    <xf numFmtId="172" fontId="0" fillId="0" borderId="0" xfId="0" applyNumberFormat="1" applyFill="1" applyBorder="1"/>
    <xf numFmtId="9" fontId="63" fillId="0" borderId="0" xfId="0" applyNumberFormat="1" applyFont="1"/>
    <xf numFmtId="172" fontId="63" fillId="0" borderId="0" xfId="0" applyNumberFormat="1" applyFont="1" applyFill="1" applyBorder="1" applyAlignment="1">
      <alignment horizontal="left" indent="1"/>
    </xf>
    <xf numFmtId="171" fontId="0" fillId="0" borderId="0" xfId="0" applyNumberFormat="1"/>
    <xf numFmtId="49" fontId="31"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5" fillId="27" borderId="0" xfId="0" applyFont="1" applyFill="1" applyBorder="1"/>
    <xf numFmtId="43" fontId="55" fillId="27" borderId="0" xfId="0" applyNumberFormat="1" applyFont="1" applyFill="1" applyBorder="1"/>
    <xf numFmtId="43" fontId="55" fillId="27" borderId="0" xfId="0" applyNumberFormat="1" applyFont="1" applyFill="1"/>
    <xf numFmtId="174" fontId="0" fillId="27" borderId="0" xfId="0" applyNumberFormat="1" applyFill="1"/>
    <xf numFmtId="43" fontId="51" fillId="26" borderId="13" xfId="0" applyNumberFormat="1" applyFont="1" applyFill="1" applyBorder="1" applyAlignment="1">
      <alignment horizontal="center" vertical="center" wrapText="1"/>
    </xf>
    <xf numFmtId="43" fontId="51" fillId="26" borderId="13" xfId="0" applyNumberFormat="1" applyFont="1" applyFill="1" applyBorder="1" applyAlignment="1">
      <alignment horizontal="center"/>
    </xf>
    <xf numFmtId="167" fontId="67" fillId="0" borderId="0" xfId="323" applyNumberFormat="1" applyFont="1" applyBorder="1" applyAlignment="1">
      <alignment vertical="top" wrapText="1"/>
    </xf>
    <xf numFmtId="174" fontId="47" fillId="0" borderId="0" xfId="450" applyFont="1" applyBorder="1"/>
    <xf numFmtId="174" fontId="47" fillId="0" borderId="0" xfId="450" applyFont="1" applyBorder="1" applyAlignment="1"/>
    <xf numFmtId="174" fontId="61" fillId="0" borderId="0" xfId="0" applyNumberFormat="1" applyFont="1" applyBorder="1"/>
    <xf numFmtId="174" fontId="0" fillId="0" borderId="0" xfId="0" applyNumberFormat="1" applyFont="1"/>
    <xf numFmtId="174" fontId="72" fillId="27" borderId="0" xfId="0" applyFont="1" applyFill="1" applyBorder="1" applyAlignment="1">
      <alignment vertical="center" wrapText="1"/>
    </xf>
    <xf numFmtId="167" fontId="75" fillId="0" borderId="0" xfId="323" applyNumberFormat="1" applyFont="1"/>
    <xf numFmtId="3" fontId="39" fillId="24" borderId="0" xfId="0" applyNumberFormat="1" applyFont="1" applyFill="1" applyBorder="1" applyAlignment="1">
      <alignment horizontal="center"/>
    </xf>
    <xf numFmtId="174" fontId="0" fillId="0" borderId="0" xfId="0" applyNumberFormat="1" applyFill="1" applyBorder="1"/>
    <xf numFmtId="3" fontId="39" fillId="0" borderId="0" xfId="0" applyNumberFormat="1" applyFont="1" applyFill="1" applyBorder="1" applyAlignment="1">
      <alignment horizontal="center"/>
    </xf>
    <xf numFmtId="174" fontId="77" fillId="0" borderId="0" xfId="0" applyFont="1"/>
    <xf numFmtId="174" fontId="47" fillId="0" borderId="0" xfId="391" applyFont="1"/>
    <xf numFmtId="174" fontId="78" fillId="0" borderId="0" xfId="391" applyFont="1" applyAlignment="1">
      <alignment horizontal="center"/>
    </xf>
    <xf numFmtId="43" fontId="47" fillId="0" borderId="0" xfId="391" applyNumberFormat="1" applyFont="1"/>
    <xf numFmtId="43" fontId="47" fillId="0" borderId="0" xfId="442" applyNumberFormat="1" applyFont="1"/>
    <xf numFmtId="43" fontId="61" fillId="0" borderId="0" xfId="0" applyNumberFormat="1" applyFont="1" applyFill="1" applyBorder="1" applyAlignment="1">
      <alignment horizontal="left"/>
    </xf>
    <xf numFmtId="2" fontId="0" fillId="0" borderId="0" xfId="0" applyNumberFormat="1"/>
    <xf numFmtId="174" fontId="79" fillId="29" borderId="0" xfId="0" applyFont="1" applyFill="1" applyBorder="1" applyAlignment="1">
      <alignment horizontal="center" vertical="top" wrapText="1"/>
    </xf>
    <xf numFmtId="10" fontId="47" fillId="0" borderId="0" xfId="446" applyNumberFormat="1" applyFont="1"/>
    <xf numFmtId="167" fontId="53" fillId="27" borderId="0" xfId="394" applyNumberFormat="1" applyFont="1" applyFill="1" applyBorder="1" applyAlignment="1">
      <alignment horizontal="center" vertical="center"/>
    </xf>
    <xf numFmtId="43" fontId="55" fillId="0" borderId="0" xfId="0" applyNumberFormat="1" applyFont="1" applyBorder="1"/>
    <xf numFmtId="174" fontId="55" fillId="27" borderId="0" xfId="0" applyNumberFormat="1" applyFont="1" applyFill="1" applyBorder="1"/>
    <xf numFmtId="49" fontId="42" fillId="0" borderId="0" xfId="361" applyNumberFormat="1" applyFont="1" applyFill="1" applyBorder="1" applyAlignment="1">
      <alignment vertical="center" wrapText="1"/>
    </xf>
    <xf numFmtId="174" fontId="79" fillId="29" borderId="0" xfId="0" applyFont="1" applyFill="1" applyBorder="1" applyAlignment="1">
      <alignment horizontal="center" vertical="center" wrapText="1"/>
    </xf>
    <xf numFmtId="167" fontId="53" fillId="31" borderId="0" xfId="394" applyNumberFormat="1" applyFont="1" applyFill="1" applyBorder="1" applyAlignment="1">
      <alignment horizontal="center" vertical="center"/>
    </xf>
    <xf numFmtId="3" fontId="84" fillId="0" borderId="0" xfId="0" applyNumberFormat="1" applyFont="1" applyFill="1" applyBorder="1" applyAlignment="1">
      <alignment horizontal="center"/>
    </xf>
    <xf numFmtId="174" fontId="55" fillId="0" borderId="0" xfId="0" applyNumberFormat="1" applyFont="1" applyBorder="1"/>
    <xf numFmtId="43" fontId="68" fillId="26" borderId="13" xfId="0" applyNumberFormat="1" applyFont="1" applyFill="1" applyBorder="1" applyAlignment="1">
      <alignment horizontal="center" vertical="center" wrapText="1"/>
    </xf>
    <xf numFmtId="3" fontId="53" fillId="27" borderId="13" xfId="0" applyNumberFormat="1" applyFont="1" applyFill="1" applyBorder="1" applyAlignment="1" applyProtection="1"/>
    <xf numFmtId="10" fontId="0" fillId="27" borderId="0" xfId="0" applyNumberFormat="1" applyFill="1"/>
    <xf numFmtId="179" fontId="53" fillId="27" borderId="13" xfId="0" applyNumberFormat="1" applyFont="1" applyFill="1" applyBorder="1" applyAlignment="1" applyProtection="1"/>
    <xf numFmtId="174" fontId="0" fillId="0" borderId="0" xfId="0" applyAlignment="1">
      <alignment vertical="center"/>
    </xf>
    <xf numFmtId="174" fontId="61" fillId="0" borderId="0" xfId="0" applyFont="1"/>
    <xf numFmtId="174" fontId="74" fillId="0" borderId="0" xfId="0" applyNumberFormat="1" applyFont="1" applyBorder="1" applyAlignment="1">
      <alignment vertical="top" wrapText="1"/>
    </xf>
    <xf numFmtId="43" fontId="68" fillId="26" borderId="13" xfId="0" applyNumberFormat="1" applyFont="1" applyFill="1" applyBorder="1" applyAlignment="1">
      <alignment horizontal="center"/>
    </xf>
    <xf numFmtId="0" fontId="55" fillId="0" borderId="0" xfId="0" applyNumberFormat="1" applyFont="1" applyFill="1" applyBorder="1" applyAlignment="1" applyProtection="1"/>
    <xf numFmtId="174" fontId="53" fillId="0" borderId="0" xfId="0" applyNumberFormat="1" applyFont="1" applyFill="1" applyBorder="1" applyAlignment="1" applyProtection="1"/>
    <xf numFmtId="180" fontId="0" fillId="0" borderId="0" xfId="0" applyNumberFormat="1" applyFill="1" applyBorder="1"/>
    <xf numFmtId="174" fontId="80" fillId="0" borderId="0" xfId="0" applyFont="1"/>
    <xf numFmtId="174" fontId="80" fillId="0" borderId="0" xfId="0" applyFont="1" applyAlignment="1">
      <alignment horizontal="left" vertical="center"/>
    </xf>
    <xf numFmtId="174" fontId="69" fillId="34" borderId="0" xfId="0" applyFont="1" applyFill="1" applyBorder="1" applyAlignment="1">
      <alignment vertical="center" wrapText="1"/>
    </xf>
    <xf numFmtId="183" fontId="0" fillId="0" borderId="0" xfId="0" applyNumberFormat="1"/>
    <xf numFmtId="49" fontId="61" fillId="0" borderId="0" xfId="0" applyNumberFormat="1" applyFont="1"/>
    <xf numFmtId="3" fontId="53" fillId="0" borderId="0" xfId="0" applyNumberFormat="1" applyFont="1" applyFill="1" applyBorder="1" applyAlignment="1" applyProtection="1"/>
    <xf numFmtId="174" fontId="80" fillId="0" borderId="0" xfId="0" applyNumberFormat="1" applyFont="1" applyBorder="1"/>
    <xf numFmtId="43" fontId="0" fillId="0" borderId="0" xfId="0" applyNumberFormat="1" applyFont="1" applyBorder="1" applyAlignment="1">
      <alignment horizontal="left"/>
    </xf>
    <xf numFmtId="10" fontId="47" fillId="0" borderId="0" xfId="551" applyNumberFormat="1" applyFont="1" applyBorder="1"/>
    <xf numFmtId="174" fontId="80"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82"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61" fillId="0" borderId="0" xfId="323" applyNumberFormat="1" applyFont="1" applyFill="1" applyBorder="1" applyAlignment="1">
      <alignment horizontal="center"/>
    </xf>
    <xf numFmtId="10" fontId="0" fillId="0" borderId="0" xfId="551" applyNumberFormat="1" applyFont="1"/>
    <xf numFmtId="174" fontId="49" fillId="0" borderId="0" xfId="0"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4" fontId="0" fillId="0" borderId="0" xfId="0" applyBorder="1" applyAlignment="1">
      <alignment vertical="center"/>
    </xf>
    <xf numFmtId="0" fontId="73" fillId="0" borderId="0" xfId="579" applyFont="1" applyAlignment="1">
      <alignment vertical="center"/>
    </xf>
    <xf numFmtId="0" fontId="47" fillId="0" borderId="0" xfId="579"/>
    <xf numFmtId="43" fontId="47" fillId="0" borderId="0" xfId="579" applyNumberFormat="1"/>
    <xf numFmtId="43" fontId="0" fillId="0" borderId="0" xfId="323" applyFont="1"/>
    <xf numFmtId="174" fontId="61" fillId="0" borderId="0" xfId="0" applyFont="1" applyBorder="1" applyAlignment="1">
      <alignment horizontal="left" vertical="top"/>
    </xf>
    <xf numFmtId="174" fontId="0" fillId="0" borderId="0" xfId="0" applyFont="1" applyBorder="1"/>
    <xf numFmtId="3" fontId="53" fillId="0" borderId="0" xfId="325" applyNumberFormat="1" applyFont="1" applyFill="1" applyBorder="1"/>
    <xf numFmtId="17" fontId="90" fillId="0" borderId="0" xfId="0" applyNumberFormat="1" applyFont="1" applyFill="1" applyBorder="1" applyAlignment="1">
      <alignment horizontal="center"/>
    </xf>
    <xf numFmtId="176" fontId="47" fillId="0" borderId="0" xfId="551" applyNumberFormat="1" applyFont="1"/>
    <xf numFmtId="171" fontId="0" fillId="0" borderId="0" xfId="551" applyNumberFormat="1" applyFont="1"/>
    <xf numFmtId="10" fontId="90" fillId="0" borderId="0" xfId="551" applyNumberFormat="1" applyFont="1" applyFill="1" applyBorder="1" applyAlignment="1">
      <alignment horizontal="center"/>
    </xf>
    <xf numFmtId="174" fontId="89" fillId="27" borderId="0" xfId="0" applyFont="1" applyFill="1" applyBorder="1" applyAlignment="1">
      <alignment horizontal="center" vertical="top" wrapText="1"/>
    </xf>
    <xf numFmtId="49" fontId="52" fillId="0" borderId="0" xfId="0" applyNumberFormat="1"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69" fillId="0" borderId="0" xfId="0" applyFont="1" applyFill="1" applyBorder="1" applyAlignment="1">
      <alignment vertical="center" wrapText="1"/>
    </xf>
    <xf numFmtId="174" fontId="86" fillId="0"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0" fillId="27" borderId="0" xfId="0" applyFill="1" applyAlignment="1"/>
    <xf numFmtId="174" fontId="82" fillId="28" borderId="0" xfId="0" applyFont="1" applyFill="1" applyBorder="1" applyAlignment="1">
      <alignment horizontal="center" vertical="center" wrapText="1"/>
    </xf>
    <xf numFmtId="174" fontId="0" fillId="31" borderId="0" xfId="0" applyFill="1"/>
    <xf numFmtId="174" fontId="96" fillId="0" borderId="0" xfId="0" applyFont="1"/>
    <xf numFmtId="174" fontId="0" fillId="0" borderId="0" xfId="0" applyBorder="1" applyAlignment="1"/>
    <xf numFmtId="174" fontId="50" fillId="0" borderId="0" xfId="0" applyFont="1"/>
    <xf numFmtId="174" fontId="0" fillId="0" borderId="0" xfId="0" applyFill="1" applyBorder="1" applyAlignment="1">
      <alignment horizontal="center"/>
    </xf>
    <xf numFmtId="174" fontId="79" fillId="0" borderId="0" xfId="0" applyFont="1" applyFill="1" applyBorder="1" applyAlignment="1">
      <alignment horizontal="center" vertical="center" wrapText="1"/>
    </xf>
    <xf numFmtId="43" fontId="34" fillId="0" borderId="0" xfId="328" applyFont="1" applyFill="1" applyBorder="1" applyAlignment="1">
      <alignment horizontal="right"/>
    </xf>
    <xf numFmtId="43" fontId="34" fillId="0" borderId="0" xfId="328" applyFont="1" applyFill="1" applyBorder="1"/>
    <xf numFmtId="0" fontId="66" fillId="0" borderId="0" xfId="0" applyNumberFormat="1" applyFont="1" applyFill="1" applyBorder="1" applyAlignment="1">
      <alignment horizontal="center" vertical="center" wrapText="1"/>
    </xf>
    <xf numFmtId="0" fontId="66" fillId="0" borderId="0" xfId="0" applyNumberFormat="1" applyFont="1" applyFill="1" applyBorder="1" applyAlignment="1">
      <alignment horizontal="center" vertical="center"/>
    </xf>
    <xf numFmtId="49" fontId="68" fillId="0" borderId="0" xfId="0" applyNumberFormat="1" applyFont="1" applyFill="1" applyBorder="1" applyAlignment="1">
      <alignment horizontal="center" vertical="center" wrapText="1"/>
    </xf>
    <xf numFmtId="174" fontId="0" fillId="0" borderId="0" xfId="450" applyFont="1"/>
    <xf numFmtId="43" fontId="0" fillId="0" borderId="0" xfId="0" applyNumberFormat="1" applyBorder="1" applyAlignment="1">
      <alignment horizontal="left" indent="1"/>
    </xf>
    <xf numFmtId="43" fontId="68"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1" fontId="0" fillId="0" borderId="0" xfId="551" applyNumberFormat="1" applyFont="1" applyBorder="1"/>
    <xf numFmtId="49" fontId="52" fillId="30" borderId="0" xfId="0" applyNumberFormat="1" applyFont="1" applyFill="1" applyBorder="1" applyAlignment="1">
      <alignment horizontal="center" vertical="center" wrapText="1"/>
    </xf>
    <xf numFmtId="174" fontId="52" fillId="0" borderId="0" xfId="0" applyNumberFormat="1" applyFont="1" applyAlignment="1">
      <alignment horizontal="center"/>
    </xf>
    <xf numFmtId="43" fontId="0" fillId="0" borderId="0" xfId="0" applyNumberFormat="1" applyAlignment="1">
      <alignment vertical="center"/>
    </xf>
    <xf numFmtId="0" fontId="100" fillId="0" borderId="0" xfId="626" applyFont="1"/>
    <xf numFmtId="171" fontId="100"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4" borderId="0" xfId="0" applyNumberFormat="1" applyFill="1" applyBorder="1" applyAlignment="1">
      <alignment horizontal="right"/>
    </xf>
    <xf numFmtId="174" fontId="68" fillId="0" borderId="0" xfId="0" applyFont="1"/>
    <xf numFmtId="174" fontId="49" fillId="0" borderId="0" xfId="0" applyFont="1" applyFill="1" applyBorder="1" applyAlignment="1">
      <alignment horizontal="center" vertical="center" wrapText="1"/>
    </xf>
    <xf numFmtId="174" fontId="0" fillId="0" borderId="0" xfId="0" applyNumberFormat="1" applyFont="1" applyBorder="1"/>
    <xf numFmtId="49" fontId="68" fillId="30" borderId="0" xfId="0" applyNumberFormat="1" applyFont="1" applyFill="1" applyBorder="1" applyAlignment="1">
      <alignment horizontal="center" vertical="center" wrapText="1"/>
    </xf>
    <xf numFmtId="171" fontId="61" fillId="0" borderId="0" xfId="323" applyNumberFormat="1" applyFont="1" applyBorder="1" applyAlignment="1">
      <alignment horizontal="right"/>
    </xf>
    <xf numFmtId="171" fontId="68" fillId="30" borderId="0" xfId="0" applyNumberFormat="1" applyFont="1" applyFill="1" applyBorder="1"/>
    <xf numFmtId="0" fontId="0" fillId="0" borderId="0" xfId="579" applyFont="1"/>
    <xf numFmtId="43" fontId="110" fillId="0" borderId="13" xfId="607" applyFont="1" applyFill="1" applyBorder="1" applyAlignment="1">
      <alignment horizontal="right"/>
    </xf>
    <xf numFmtId="49" fontId="108" fillId="25" borderId="13" xfId="0" applyNumberFormat="1" applyFont="1" applyFill="1" applyBorder="1" applyAlignment="1">
      <alignment horizontal="center" vertical="center" wrapText="1"/>
    </xf>
    <xf numFmtId="174" fontId="111" fillId="25" borderId="13" xfId="0" applyFont="1" applyFill="1" applyBorder="1" applyAlignment="1">
      <alignment horizontal="center" vertical="center" wrapText="1"/>
    </xf>
    <xf numFmtId="181" fontId="111" fillId="25" borderId="13" xfId="0" applyNumberFormat="1" applyFont="1" applyFill="1" applyBorder="1" applyAlignment="1">
      <alignment horizontal="center" vertical="center" wrapText="1"/>
    </xf>
    <xf numFmtId="49" fontId="108" fillId="25" borderId="15" xfId="0" applyNumberFormat="1" applyFont="1" applyFill="1" applyBorder="1" applyAlignment="1">
      <alignment horizontal="center" vertical="center" wrapText="1"/>
    </xf>
    <xf numFmtId="174" fontId="111" fillId="25" borderId="13" xfId="0" applyFont="1" applyFill="1" applyBorder="1" applyAlignment="1">
      <alignment horizontal="left" vertical="center" wrapText="1"/>
    </xf>
    <xf numFmtId="181" fontId="111" fillId="25" borderId="13" xfId="0" applyNumberFormat="1" applyFont="1" applyFill="1" applyBorder="1" applyAlignment="1">
      <alignment horizontal="left" vertical="center" wrapText="1"/>
    </xf>
    <xf numFmtId="174" fontId="107" fillId="0" borderId="0" xfId="0" applyFont="1" applyBorder="1" applyAlignment="1">
      <alignment horizontal="center" vertical="center"/>
    </xf>
    <xf numFmtId="43" fontId="110" fillId="33" borderId="13" xfId="607" applyFont="1" applyFill="1" applyBorder="1" applyAlignment="1">
      <alignment horizontal="center" vertical="center"/>
    </xf>
    <xf numFmtId="49" fontId="108" fillId="33" borderId="13" xfId="0" applyNumberFormat="1" applyFont="1" applyFill="1" applyBorder="1" applyAlignment="1">
      <alignment horizontal="center" vertical="center" wrapText="1"/>
    </xf>
    <xf numFmtId="174" fontId="109" fillId="32" borderId="0" xfId="0" applyFont="1" applyFill="1" applyBorder="1" applyAlignment="1">
      <alignment vertical="center"/>
    </xf>
    <xf numFmtId="174" fontId="115" fillId="0" borderId="0" xfId="0" applyFont="1"/>
    <xf numFmtId="3" fontId="64" fillId="0" borderId="0" xfId="336" applyNumberFormat="1" applyFont="1" applyFill="1" applyBorder="1" applyAlignment="1"/>
    <xf numFmtId="10" fontId="64" fillId="0" borderId="0" xfId="328" applyNumberFormat="1" applyFont="1" applyFill="1" applyBorder="1" applyAlignment="1">
      <alignment horizontal="center" vertical="center" wrapText="1"/>
    </xf>
    <xf numFmtId="43" fontId="64" fillId="0" borderId="0" xfId="336" applyNumberFormat="1" applyFont="1" applyFill="1" applyBorder="1" applyAlignment="1">
      <alignment horizontal="right"/>
    </xf>
    <xf numFmtId="3" fontId="73" fillId="0" borderId="0" xfId="0" applyNumberFormat="1" applyFont="1" applyFill="1" applyBorder="1"/>
    <xf numFmtId="10" fontId="86" fillId="0" borderId="0" xfId="328" applyNumberFormat="1" applyFont="1" applyFill="1" applyBorder="1" applyAlignment="1">
      <alignment horizontal="center" vertical="center" wrapText="1"/>
    </xf>
    <xf numFmtId="174" fontId="73" fillId="0" borderId="0" xfId="0" applyNumberFormat="1" applyFont="1" applyFill="1" applyBorder="1" applyAlignment="1">
      <alignment horizontal="center" vertical="center" wrapText="1"/>
    </xf>
    <xf numFmtId="174" fontId="86" fillId="0" borderId="0" xfId="0" applyNumberFormat="1" applyFont="1" applyFill="1" applyBorder="1" applyAlignment="1">
      <alignment horizontal="center" vertical="center" wrapText="1"/>
    </xf>
    <xf numFmtId="174" fontId="0" fillId="0" borderId="0" xfId="0" applyAlignment="1">
      <alignment horizontal="center"/>
    </xf>
    <xf numFmtId="3" fontId="83" fillId="0" borderId="0" xfId="388" applyNumberFormat="1" applyFont="1" applyFill="1" applyBorder="1" applyAlignment="1">
      <alignment horizontal="center"/>
    </xf>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4" fontId="63" fillId="27" borderId="0" xfId="0" applyFont="1" applyFill="1" applyBorder="1"/>
    <xf numFmtId="174" fontId="0" fillId="0" borderId="0" xfId="0" applyAlignment="1">
      <alignment horizontal="center"/>
    </xf>
    <xf numFmtId="3" fontId="83" fillId="27" borderId="0" xfId="328" applyNumberFormat="1" applyFont="1" applyFill="1" applyBorder="1" applyAlignment="1">
      <alignment horizontal="right" vertical="center"/>
    </xf>
    <xf numFmtId="3" fontId="83" fillId="27" borderId="0" xfId="328" applyNumberFormat="1" applyFont="1" applyFill="1" applyBorder="1" applyAlignment="1">
      <alignment vertical="center"/>
    </xf>
    <xf numFmtId="174" fontId="53" fillId="27" borderId="0" xfId="0" applyNumberFormat="1" applyFont="1" applyFill="1" applyBorder="1" applyAlignment="1">
      <alignment horizontal="center" vertical="center" wrapText="1"/>
    </xf>
    <xf numFmtId="3" fontId="53" fillId="0" borderId="0" xfId="325" applyNumberFormat="1" applyFont="1" applyFill="1" applyBorder="1" applyAlignment="1">
      <alignment vertical="center"/>
    </xf>
    <xf numFmtId="3" fontId="53" fillId="27" borderId="0" xfId="325" applyNumberFormat="1" applyFont="1" applyFill="1" applyBorder="1" applyAlignment="1">
      <alignment horizontal="center" vertical="center"/>
    </xf>
    <xf numFmtId="3" fontId="53" fillId="27" borderId="0" xfId="325" applyNumberFormat="1" applyFont="1" applyFill="1" applyBorder="1" applyAlignment="1">
      <alignment horizontal="center" vertical="center" wrapText="1"/>
    </xf>
    <xf numFmtId="3" fontId="95" fillId="27" borderId="0" xfId="325" applyNumberFormat="1" applyFont="1" applyFill="1" applyBorder="1" applyAlignment="1">
      <alignment horizontal="right" wrapText="1"/>
    </xf>
    <xf numFmtId="3" fontId="95" fillId="27" borderId="0" xfId="325" applyNumberFormat="1" applyFont="1" applyFill="1" applyBorder="1" applyAlignment="1">
      <alignment horizontal="right"/>
    </xf>
    <xf numFmtId="3" fontId="95" fillId="27" borderId="0" xfId="325" applyNumberFormat="1" applyFont="1" applyFill="1" applyBorder="1" applyAlignment="1">
      <alignment horizontal="right" vertical="center" wrapText="1"/>
    </xf>
    <xf numFmtId="49" fontId="95" fillId="27" borderId="0" xfId="0" applyNumberFormat="1" applyFont="1" applyFill="1" applyBorder="1" applyAlignment="1">
      <alignment horizontal="center" vertical="center"/>
    </xf>
    <xf numFmtId="3" fontId="95" fillId="27" borderId="0" xfId="0" applyNumberFormat="1" applyFont="1" applyFill="1" applyBorder="1" applyAlignment="1">
      <alignment horizontal="right"/>
    </xf>
    <xf numFmtId="10" fontId="95" fillId="27" borderId="0" xfId="0" applyNumberFormat="1" applyFont="1" applyFill="1" applyBorder="1" applyAlignment="1">
      <alignment horizontal="right"/>
    </xf>
    <xf numFmtId="3" fontId="81" fillId="27" borderId="0" xfId="0" applyNumberFormat="1" applyFont="1" applyFill="1" applyBorder="1" applyAlignment="1">
      <alignment horizontal="center"/>
    </xf>
    <xf numFmtId="171" fontId="55" fillId="27" borderId="0" xfId="388" applyNumberFormat="1" applyFont="1" applyFill="1" applyBorder="1"/>
    <xf numFmtId="171" fontId="55" fillId="27" borderId="0" xfId="0" applyNumberFormat="1" applyFont="1" applyFill="1" applyBorder="1"/>
    <xf numFmtId="38" fontId="83" fillId="27" borderId="0" xfId="0" applyNumberFormat="1" applyFont="1" applyFill="1" applyBorder="1"/>
    <xf numFmtId="180" fontId="0" fillId="0" borderId="0" xfId="0" applyNumberFormat="1"/>
    <xf numFmtId="171" fontId="53" fillId="27" borderId="0" xfId="0" applyNumberFormat="1" applyFont="1" applyFill="1" applyBorder="1"/>
    <xf numFmtId="3" fontId="83" fillId="0" borderId="0" xfId="0" applyNumberFormat="1" applyFont="1" applyFill="1" applyBorder="1" applyAlignment="1" applyProtection="1">
      <alignment horizontal="center"/>
    </xf>
    <xf numFmtId="3" fontId="83" fillId="27" borderId="0" xfId="0" applyNumberFormat="1" applyFont="1" applyFill="1" applyBorder="1" applyAlignment="1" applyProtection="1">
      <alignment horizontal="center"/>
    </xf>
    <xf numFmtId="167" fontId="53" fillId="27" borderId="0" xfId="323" applyNumberFormat="1" applyFont="1" applyFill="1" applyBorder="1"/>
    <xf numFmtId="174" fontId="47" fillId="0" borderId="0" xfId="633" applyFont="1"/>
    <xf numFmtId="174" fontId="47" fillId="0" borderId="0" xfId="633" applyFont="1" applyBorder="1"/>
    <xf numFmtId="9" fontId="47" fillId="0" borderId="0" xfId="551" applyFont="1" applyBorder="1"/>
    <xf numFmtId="174" fontId="47" fillId="0" borderId="0" xfId="636" applyBorder="1"/>
    <xf numFmtId="174" fontId="47" fillId="0" borderId="0" xfId="633" applyFont="1" applyBorder="1" applyAlignment="1"/>
    <xf numFmtId="174" fontId="47" fillId="0" borderId="0" xfId="636"/>
    <xf numFmtId="174" fontId="89" fillId="0" borderId="0" xfId="0" applyFont="1" applyFill="1" applyBorder="1" applyAlignment="1">
      <alignment horizontal="center" vertical="top" wrapText="1"/>
    </xf>
    <xf numFmtId="174" fontId="89"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5" fillId="27" borderId="0" xfId="0" applyNumberFormat="1" applyFont="1" applyFill="1" applyBorder="1" applyAlignment="1" applyProtection="1">
      <alignment vertical="center"/>
    </xf>
    <xf numFmtId="2" fontId="55" fillId="27" borderId="0" xfId="0" applyNumberFormat="1" applyFont="1" applyFill="1" applyBorder="1" applyAlignment="1" applyProtection="1">
      <alignment vertical="center"/>
    </xf>
    <xf numFmtId="186" fontId="0" fillId="27" borderId="0" xfId="0" applyNumberFormat="1" applyFill="1" applyAlignment="1">
      <alignment vertical="center"/>
    </xf>
    <xf numFmtId="2" fontId="0" fillId="27" borderId="0" xfId="0" applyNumberFormat="1" applyFill="1" applyAlignment="1">
      <alignment vertical="center"/>
    </xf>
    <xf numFmtId="171" fontId="0" fillId="27" borderId="0" xfId="551" applyNumberFormat="1" applyFont="1" applyFill="1" applyAlignment="1">
      <alignment vertical="center"/>
    </xf>
    <xf numFmtId="174" fontId="0" fillId="27" borderId="0" xfId="0" applyFill="1" applyAlignment="1">
      <alignment vertical="center"/>
    </xf>
    <xf numFmtId="9" fontId="0" fillId="27" borderId="0" xfId="551" applyFont="1" applyFill="1" applyAlignment="1">
      <alignment vertical="center"/>
    </xf>
    <xf numFmtId="49" fontId="82" fillId="0" borderId="13" xfId="0" applyNumberFormat="1" applyFont="1" applyFill="1" applyBorder="1" applyAlignment="1">
      <alignment horizontal="center" vertical="center" wrapText="1"/>
    </xf>
    <xf numFmtId="49" fontId="82" fillId="0" borderId="19" xfId="0" applyNumberFormat="1" applyFont="1" applyFill="1" applyBorder="1" applyAlignment="1" applyProtection="1">
      <alignment horizontal="center" vertical="center"/>
    </xf>
    <xf numFmtId="174" fontId="82" fillId="0" borderId="13" xfId="0" applyNumberFormat="1" applyFont="1" applyFill="1" applyBorder="1" applyAlignment="1" applyProtection="1">
      <alignment horizontal="center" vertical="center" wrapText="1"/>
    </xf>
    <xf numFmtId="174" fontId="85" fillId="0" borderId="23" xfId="0" applyNumberFormat="1" applyFont="1" applyFill="1" applyBorder="1" applyAlignment="1">
      <alignment horizontal="center" vertical="center" wrapText="1"/>
    </xf>
    <xf numFmtId="174" fontId="85" fillId="0" borderId="16" xfId="0" applyNumberFormat="1" applyFont="1" applyFill="1" applyBorder="1" applyAlignment="1">
      <alignment horizontal="center" vertical="center" wrapText="1"/>
    </xf>
    <xf numFmtId="174" fontId="85" fillId="0" borderId="13" xfId="0" applyNumberFormat="1" applyFont="1" applyFill="1" applyBorder="1" applyAlignment="1">
      <alignment horizontal="center" vertical="center" wrapText="1"/>
    </xf>
    <xf numFmtId="49" fontId="85" fillId="0" borderId="19" xfId="0" applyNumberFormat="1" applyFont="1" applyFill="1" applyBorder="1" applyAlignment="1">
      <alignment horizontal="center" vertical="center"/>
    </xf>
    <xf numFmtId="174" fontId="53" fillId="27" borderId="0" xfId="0" applyNumberFormat="1" applyFont="1" applyFill="1" applyBorder="1" applyAlignment="1">
      <alignment horizontal="center" vertical="center"/>
    </xf>
    <xf numFmtId="174" fontId="85" fillId="0" borderId="23" xfId="0" applyNumberFormat="1" applyFont="1" applyFill="1" applyBorder="1" applyAlignment="1">
      <alignment horizontal="center" vertical="center"/>
    </xf>
    <xf numFmtId="174" fontId="116" fillId="0" borderId="0" xfId="0" applyFont="1" applyFill="1" applyBorder="1" applyAlignment="1">
      <alignment horizontal="center" vertical="center" wrapText="1"/>
    </xf>
    <xf numFmtId="174" fontId="82" fillId="0" borderId="13" xfId="388" applyNumberFormat="1" applyFont="1" applyFill="1" applyBorder="1" applyAlignment="1">
      <alignment horizontal="center" vertical="center"/>
    </xf>
    <xf numFmtId="174" fontId="69" fillId="27" borderId="23" xfId="0" applyNumberFormat="1" applyFont="1" applyFill="1" applyBorder="1" applyAlignment="1">
      <alignment horizontal="center" vertical="center" wrapText="1"/>
    </xf>
    <xf numFmtId="174" fontId="69" fillId="27" borderId="16" xfId="0" applyNumberFormat="1" applyFont="1" applyFill="1" applyBorder="1" applyAlignment="1">
      <alignment horizontal="center" vertical="center" wrapText="1"/>
    </xf>
    <xf numFmtId="174" fontId="69" fillId="27" borderId="15" xfId="0" applyNumberFormat="1" applyFont="1" applyFill="1" applyBorder="1" applyAlignment="1">
      <alignment horizontal="center" vertical="center" wrapText="1"/>
    </xf>
    <xf numFmtId="43" fontId="82" fillId="27" borderId="13" xfId="394" applyNumberFormat="1" applyFont="1" applyFill="1" applyBorder="1" applyAlignment="1">
      <alignment horizontal="center" vertical="center"/>
    </xf>
    <xf numFmtId="174" fontId="69" fillId="27" borderId="23" xfId="388" applyNumberFormat="1" applyFont="1" applyFill="1" applyBorder="1" applyAlignment="1">
      <alignment horizontal="center" vertical="center" wrapText="1"/>
    </xf>
    <xf numFmtId="174" fontId="69" fillId="27" borderId="16" xfId="388" applyNumberFormat="1" applyFont="1" applyFill="1" applyBorder="1" applyAlignment="1">
      <alignment horizontal="center" vertical="center" wrapText="1"/>
    </xf>
    <xf numFmtId="174" fontId="69" fillId="27" borderId="13" xfId="388" applyNumberFormat="1" applyFont="1" applyFill="1" applyBorder="1" applyAlignment="1">
      <alignment horizontal="center" vertical="center"/>
    </xf>
    <xf numFmtId="0" fontId="69" fillId="27" borderId="19" xfId="388" applyNumberFormat="1" applyFont="1" applyFill="1" applyBorder="1" applyAlignment="1">
      <alignment horizontal="center" vertical="center"/>
    </xf>
    <xf numFmtId="167" fontId="82" fillId="0" borderId="23" xfId="336" applyNumberFormat="1" applyFont="1" applyFill="1" applyBorder="1" applyAlignment="1">
      <alignment horizontal="center" vertical="center" wrapText="1"/>
    </xf>
    <xf numFmtId="17" fontId="121" fillId="0" borderId="0" xfId="0" applyNumberFormat="1" applyFont="1" applyFill="1" applyBorder="1" applyAlignment="1"/>
    <xf numFmtId="174" fontId="64" fillId="27" borderId="0" xfId="0" applyNumberFormat="1" applyFont="1" applyFill="1" applyBorder="1" applyAlignment="1"/>
    <xf numFmtId="174" fontId="74" fillId="0" borderId="0" xfId="0" applyFont="1" applyAlignment="1"/>
    <xf numFmtId="167" fontId="85" fillId="27" borderId="23" xfId="338" applyNumberFormat="1" applyFont="1" applyFill="1" applyBorder="1" applyAlignment="1">
      <alignment horizontal="center" vertical="center" wrapText="1"/>
    </xf>
    <xf numFmtId="170" fontId="85" fillId="27" borderId="19" xfId="361" applyNumberFormat="1" applyFont="1" applyFill="1" applyBorder="1" applyAlignment="1">
      <alignment horizontal="left" vertical="center"/>
    </xf>
    <xf numFmtId="49" fontId="85" fillId="27" borderId="19" xfId="361" applyNumberFormat="1" applyFont="1" applyFill="1" applyBorder="1" applyAlignment="1">
      <alignment horizontal="left" vertical="center"/>
    </xf>
    <xf numFmtId="174" fontId="85" fillId="27" borderId="13" xfId="361" applyFont="1" applyFill="1" applyBorder="1" applyAlignment="1">
      <alignment horizontal="left" vertical="center"/>
    </xf>
    <xf numFmtId="174" fontId="88" fillId="0" borderId="0" xfId="0" applyFont="1" applyAlignment="1">
      <alignment horizontal="justify" vertical="justify" wrapText="1"/>
    </xf>
    <xf numFmtId="174" fontId="82" fillId="0" borderId="12" xfId="0" applyNumberFormat="1" applyFont="1" applyFill="1" applyBorder="1" applyAlignment="1" applyProtection="1">
      <alignment horizontal="center" vertical="center" wrapText="1"/>
    </xf>
    <xf numFmtId="174" fontId="82" fillId="0" borderId="25" xfId="0" applyNumberFormat="1" applyFont="1" applyFill="1" applyBorder="1" applyAlignment="1" applyProtection="1">
      <alignment horizontal="center" vertical="center" wrapText="1"/>
    </xf>
    <xf numFmtId="3" fontId="82" fillId="0" borderId="20" xfId="0" applyNumberFormat="1" applyFont="1" applyFill="1" applyBorder="1" applyAlignment="1" applyProtection="1"/>
    <xf numFmtId="3" fontId="82" fillId="0" borderId="15" xfId="0" applyNumberFormat="1" applyFont="1" applyFill="1" applyBorder="1" applyAlignment="1" applyProtection="1">
      <alignment vertical="center"/>
    </xf>
    <xf numFmtId="3" fontId="73" fillId="27" borderId="19" xfId="0" applyNumberFormat="1" applyFont="1" applyFill="1" applyBorder="1" applyAlignment="1"/>
    <xf numFmtId="49" fontId="85" fillId="27" borderId="14" xfId="0" applyNumberFormat="1" applyFont="1" applyFill="1" applyBorder="1" applyAlignment="1">
      <alignment horizontal="center" vertical="center"/>
    </xf>
    <xf numFmtId="49" fontId="73" fillId="27" borderId="19" xfId="0" applyNumberFormat="1" applyFont="1" applyFill="1" applyBorder="1" applyAlignment="1">
      <alignment horizontal="center" vertical="center"/>
    </xf>
    <xf numFmtId="3" fontId="74" fillId="27" borderId="0" xfId="328" applyNumberFormat="1" applyFont="1" applyFill="1" applyBorder="1" applyAlignment="1"/>
    <xf numFmtId="49" fontId="73" fillId="27" borderId="14" xfId="0" applyNumberFormat="1" applyFont="1" applyFill="1" applyBorder="1" applyAlignment="1">
      <alignment horizontal="center" vertical="center"/>
    </xf>
    <xf numFmtId="171" fontId="73" fillId="27" borderId="0" xfId="328" applyNumberFormat="1" applyFont="1" applyFill="1" applyBorder="1" applyAlignment="1">
      <alignment horizontal="right" vertical="center" wrapText="1"/>
    </xf>
    <xf numFmtId="43" fontId="73" fillId="27" borderId="24" xfId="336" applyNumberFormat="1" applyFont="1" applyFill="1" applyBorder="1" applyAlignment="1">
      <alignment horizontal="right"/>
    </xf>
    <xf numFmtId="171" fontId="73" fillId="27" borderId="24" xfId="551" applyNumberFormat="1" applyFont="1" applyFill="1" applyBorder="1" applyAlignment="1">
      <alignment horizontal="right" vertical="center" wrapText="1"/>
    </xf>
    <xf numFmtId="3" fontId="73" fillId="27" borderId="17" xfId="0" applyNumberFormat="1" applyFont="1" applyFill="1" applyBorder="1" applyAlignment="1"/>
    <xf numFmtId="174" fontId="85" fillId="0" borderId="13" xfId="0" applyNumberFormat="1" applyFont="1" applyFill="1" applyBorder="1" applyAlignment="1">
      <alignment horizontal="center" vertical="center"/>
    </xf>
    <xf numFmtId="3" fontId="83" fillId="0" borderId="21" xfId="388" applyNumberFormat="1" applyFont="1" applyFill="1" applyBorder="1" applyAlignment="1">
      <alignment horizontal="center"/>
    </xf>
    <xf numFmtId="3" fontId="83" fillId="0" borderId="12" xfId="388" applyNumberFormat="1" applyFont="1" applyFill="1" applyBorder="1" applyAlignment="1">
      <alignment horizontal="center"/>
    </xf>
    <xf numFmtId="3" fontId="83" fillId="0" borderId="20" xfId="388" applyNumberFormat="1" applyFont="1" applyFill="1" applyBorder="1" applyAlignment="1">
      <alignment horizontal="center"/>
    </xf>
    <xf numFmtId="3" fontId="123" fillId="0" borderId="20" xfId="388" applyNumberFormat="1" applyFont="1" applyFill="1" applyBorder="1" applyAlignment="1">
      <alignment horizontal="center"/>
    </xf>
    <xf numFmtId="3" fontId="123" fillId="0" borderId="18" xfId="388" applyNumberFormat="1" applyFont="1" applyFill="1" applyBorder="1" applyAlignment="1">
      <alignment horizontal="center"/>
    </xf>
    <xf numFmtId="3" fontId="83" fillId="27" borderId="20" xfId="328" applyNumberFormat="1" applyFont="1" applyFill="1" applyBorder="1" applyAlignment="1">
      <alignment horizontal="right" vertical="center"/>
    </xf>
    <xf numFmtId="174" fontId="79" fillId="0" borderId="0" xfId="0" applyFont="1" applyFill="1" applyBorder="1" applyAlignment="1">
      <alignment horizontal="left" vertical="center" wrapText="1"/>
    </xf>
    <xf numFmtId="43" fontId="69" fillId="27" borderId="23" xfId="394" applyNumberFormat="1" applyFont="1" applyFill="1" applyBorder="1" applyAlignment="1">
      <alignment horizontal="center" vertical="center" wrapText="1"/>
    </xf>
    <xf numFmtId="17" fontId="69" fillId="27" borderId="19" xfId="394" applyNumberFormat="1" applyFont="1" applyFill="1" applyBorder="1" applyAlignment="1">
      <alignment horizontal="center"/>
    </xf>
    <xf numFmtId="174" fontId="52" fillId="27" borderId="13"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wrapText="1"/>
    </xf>
    <xf numFmtId="174" fontId="52" fillId="27" borderId="15" xfId="0" applyNumberFormat="1" applyFont="1" applyFill="1" applyBorder="1" applyAlignment="1">
      <alignment horizontal="center" vertical="center" wrapText="1"/>
    </xf>
    <xf numFmtId="174" fontId="52" fillId="27" borderId="16" xfId="0" applyNumberFormat="1" applyFont="1" applyFill="1" applyBorder="1" applyAlignment="1">
      <alignment horizontal="center" vertical="center" wrapText="1"/>
    </xf>
    <xf numFmtId="49" fontId="52" fillId="27" borderId="19" xfId="0" applyNumberFormat="1" applyFont="1" applyFill="1" applyBorder="1" applyAlignment="1">
      <alignment horizontal="center" vertical="center"/>
    </xf>
    <xf numFmtId="43" fontId="69" fillId="27" borderId="13" xfId="394" applyNumberFormat="1" applyFont="1" applyFill="1" applyBorder="1" applyAlignment="1">
      <alignment horizontal="center" vertical="center"/>
    </xf>
    <xf numFmtId="49" fontId="82" fillId="27" borderId="20" xfId="394" applyNumberFormat="1" applyFont="1" applyFill="1" applyBorder="1" applyAlignment="1">
      <alignment horizontal="center"/>
    </xf>
    <xf numFmtId="49" fontId="82" fillId="27" borderId="18" xfId="394" applyNumberFormat="1" applyFont="1" applyFill="1" applyBorder="1" applyAlignment="1">
      <alignment horizontal="center"/>
    </xf>
    <xf numFmtId="17" fontId="69" fillId="27" borderId="14" xfId="394" applyNumberFormat="1" applyFont="1" applyFill="1" applyBorder="1" applyAlignment="1">
      <alignment horizontal="center"/>
    </xf>
    <xf numFmtId="167" fontId="85" fillId="27" borderId="13" xfId="338" applyNumberFormat="1" applyFont="1" applyFill="1" applyBorder="1" applyAlignment="1">
      <alignment horizontal="center" vertical="center" wrapText="1"/>
    </xf>
    <xf numFmtId="3" fontId="83" fillId="27" borderId="12" xfId="0" applyNumberFormat="1" applyFont="1" applyFill="1" applyBorder="1" applyAlignment="1" applyProtection="1"/>
    <xf numFmtId="171" fontId="82" fillId="27" borderId="25" xfId="551" applyNumberFormat="1" applyFont="1" applyFill="1" applyBorder="1" applyAlignment="1" applyProtection="1"/>
    <xf numFmtId="3" fontId="83" fillId="27" borderId="0" xfId="0" applyNumberFormat="1" applyFont="1" applyFill="1" applyBorder="1" applyAlignment="1" applyProtection="1"/>
    <xf numFmtId="171" fontId="82" fillId="27" borderId="24" xfId="551" applyNumberFormat="1" applyFont="1" applyFill="1" applyBorder="1" applyAlignment="1" applyProtection="1"/>
    <xf numFmtId="3" fontId="82" fillId="27" borderId="15" xfId="0" applyNumberFormat="1" applyFont="1" applyFill="1" applyBorder="1" applyAlignment="1" applyProtection="1">
      <alignment vertical="center"/>
    </xf>
    <xf numFmtId="3" fontId="82" fillId="27" borderId="23" xfId="0" applyNumberFormat="1" applyFont="1" applyFill="1" applyBorder="1" applyAlignment="1" applyProtection="1">
      <alignment vertical="center"/>
    </xf>
    <xf numFmtId="171" fontId="82" fillId="27" borderId="23" xfId="551" applyNumberFormat="1" applyFont="1" applyFill="1" applyBorder="1" applyAlignment="1" applyProtection="1">
      <alignment vertical="center"/>
    </xf>
    <xf numFmtId="171" fontId="82" fillId="27" borderId="16" xfId="551" applyNumberFormat="1" applyFont="1" applyFill="1" applyBorder="1" applyAlignment="1" applyProtection="1">
      <alignment vertical="center"/>
    </xf>
    <xf numFmtId="49" fontId="85" fillId="0" borderId="20" xfId="0" applyNumberFormat="1" applyFont="1" applyFill="1" applyBorder="1" applyAlignment="1">
      <alignment horizontal="center" vertical="center"/>
    </xf>
    <xf numFmtId="49" fontId="85" fillId="27" borderId="20" xfId="0" applyNumberFormat="1" applyFont="1" applyFill="1" applyBorder="1" applyAlignment="1">
      <alignment horizontal="center" vertical="center"/>
    </xf>
    <xf numFmtId="49" fontId="85" fillId="27" borderId="18" xfId="0" applyNumberFormat="1" applyFont="1" applyFill="1" applyBorder="1" applyAlignment="1">
      <alignment horizontal="center" vertical="center"/>
    </xf>
    <xf numFmtId="3" fontId="123" fillId="27" borderId="0" xfId="388" applyNumberFormat="1" applyFont="1" applyFill="1" applyBorder="1" applyAlignment="1">
      <alignment horizontal="center"/>
    </xf>
    <xf numFmtId="3" fontId="123" fillId="27" borderId="11" xfId="388" applyNumberFormat="1" applyFont="1" applyFill="1" applyBorder="1" applyAlignment="1">
      <alignment horizontal="center"/>
    </xf>
    <xf numFmtId="49" fontId="52" fillId="27" borderId="14" xfId="0" applyNumberFormat="1" applyFont="1" applyFill="1" applyBorder="1" applyAlignment="1">
      <alignment horizontal="center" vertical="center"/>
    </xf>
    <xf numFmtId="174" fontId="69" fillId="27" borderId="13" xfId="0" applyNumberFormat="1" applyFont="1" applyFill="1" applyBorder="1" applyAlignment="1">
      <alignment horizontal="center" vertical="center"/>
    </xf>
    <xf numFmtId="3" fontId="95" fillId="27" borderId="11" xfId="325" applyNumberFormat="1" applyFont="1" applyFill="1" applyBorder="1" applyAlignment="1">
      <alignment horizontal="right"/>
    </xf>
    <xf numFmtId="49" fontId="104" fillId="27" borderId="19" xfId="0" applyNumberFormat="1" applyFont="1" applyFill="1" applyBorder="1" applyAlignment="1">
      <alignment horizontal="center" vertical="center"/>
    </xf>
    <xf numFmtId="3" fontId="64" fillId="27" borderId="0" xfId="0" applyNumberFormat="1" applyFont="1" applyFill="1" applyBorder="1" applyAlignment="1">
      <alignment horizontal="center" vertical="center"/>
    </xf>
    <xf numFmtId="167" fontId="82" fillId="27" borderId="23" xfId="338" applyNumberFormat="1" applyFont="1" applyFill="1" applyBorder="1" applyAlignment="1">
      <alignment horizontal="center" vertical="center" wrapText="1"/>
    </xf>
    <xf numFmtId="41" fontId="82" fillId="27" borderId="23" xfId="361" applyNumberFormat="1" applyFont="1" applyFill="1" applyBorder="1" applyAlignment="1">
      <alignment horizontal="center" vertical="center"/>
    </xf>
    <xf numFmtId="174" fontId="82" fillId="27" borderId="13" xfId="361" applyFont="1" applyFill="1" applyBorder="1" applyAlignment="1">
      <alignment horizontal="center" vertical="center"/>
    </xf>
    <xf numFmtId="170" fontId="82" fillId="27" borderId="19" xfId="361" applyNumberFormat="1" applyFont="1" applyFill="1" applyBorder="1" applyAlignment="1">
      <alignment horizontal="left" vertical="center"/>
    </xf>
    <xf numFmtId="49" fontId="82" fillId="27" borderId="19" xfId="361" applyNumberFormat="1" applyFont="1" applyFill="1" applyBorder="1" applyAlignment="1">
      <alignment horizontal="left" vertical="center"/>
    </xf>
    <xf numFmtId="174" fontId="82" fillId="27" borderId="12" xfId="388" applyFont="1" applyFill="1" applyBorder="1" applyAlignment="1">
      <alignment horizontal="center" vertical="center" wrapText="1"/>
    </xf>
    <xf numFmtId="174" fontId="82" fillId="27" borderId="12" xfId="388" applyFont="1" applyFill="1" applyBorder="1" applyAlignment="1">
      <alignment horizontal="center" vertical="center"/>
    </xf>
    <xf numFmtId="174" fontId="82" fillId="27" borderId="12" xfId="0" applyFont="1" applyFill="1" applyBorder="1" applyAlignment="1">
      <alignment horizontal="center" vertical="center" wrapText="1"/>
    </xf>
    <xf numFmtId="174" fontId="82" fillId="27" borderId="13" xfId="0" applyFont="1" applyFill="1" applyBorder="1" applyAlignment="1">
      <alignment horizontal="center" vertical="center"/>
    </xf>
    <xf numFmtId="174" fontId="82" fillId="27" borderId="17" xfId="388" applyFont="1" applyFill="1" applyBorder="1" applyAlignment="1">
      <alignment horizontal="center" vertical="center" wrapText="1"/>
    </xf>
    <xf numFmtId="10" fontId="100" fillId="0" borderId="0" xfId="626" applyNumberFormat="1" applyFont="1"/>
    <xf numFmtId="0" fontId="105" fillId="0" borderId="13" xfId="626" applyFont="1" applyFill="1" applyBorder="1" applyAlignment="1">
      <alignment horizontal="center" vertical="center"/>
    </xf>
    <xf numFmtId="3" fontId="105" fillId="0" borderId="0" xfId="626" applyNumberFormat="1" applyFont="1" applyFill="1" applyBorder="1" applyAlignment="1">
      <alignment horizontal="center"/>
    </xf>
    <xf numFmtId="3" fontId="101" fillId="0" borderId="0" xfId="392" applyNumberFormat="1" applyFont="1" applyFill="1" applyBorder="1" applyAlignment="1">
      <alignment horizontal="center"/>
    </xf>
    <xf numFmtId="167" fontId="101" fillId="0" borderId="0" xfId="323" applyNumberFormat="1" applyFont="1" applyFill="1" applyBorder="1" applyAlignment="1">
      <alignment horizontal="center"/>
    </xf>
    <xf numFmtId="171" fontId="105" fillId="0" borderId="0" xfId="626" applyNumberFormat="1" applyFont="1" applyFill="1" applyBorder="1" applyAlignment="1">
      <alignment horizontal="center"/>
    </xf>
    <xf numFmtId="10" fontId="105" fillId="0" borderId="0" xfId="626" applyNumberFormat="1" applyFont="1" applyFill="1" applyBorder="1" applyAlignment="1">
      <alignment horizontal="center"/>
    </xf>
    <xf numFmtId="0" fontId="105" fillId="0" borderId="23" xfId="626" applyFont="1" applyFill="1" applyBorder="1" applyAlignment="1">
      <alignment horizontal="center" vertical="center" wrapText="1"/>
    </xf>
    <xf numFmtId="0" fontId="105" fillId="0" borderId="16" xfId="626" applyFont="1" applyFill="1" applyBorder="1" applyAlignment="1">
      <alignment horizontal="center" vertical="center" wrapText="1"/>
    </xf>
    <xf numFmtId="0" fontId="105" fillId="0" borderId="19" xfId="626" applyFont="1" applyFill="1" applyBorder="1" applyAlignment="1">
      <alignment horizontal="center"/>
    </xf>
    <xf numFmtId="10" fontId="105" fillId="0" borderId="24" xfId="626" applyNumberFormat="1" applyFont="1" applyFill="1" applyBorder="1" applyAlignment="1">
      <alignment horizontal="center"/>
    </xf>
    <xf numFmtId="3" fontId="105" fillId="0" borderId="11" xfId="626" applyNumberFormat="1" applyFont="1" applyFill="1" applyBorder="1" applyAlignment="1">
      <alignment horizontal="center"/>
    </xf>
    <xf numFmtId="3" fontId="101" fillId="0" borderId="11" xfId="392" applyNumberFormat="1" applyFont="1" applyFill="1" applyBorder="1" applyAlignment="1">
      <alignment horizontal="center"/>
    </xf>
    <xf numFmtId="167" fontId="101" fillId="0" borderId="11" xfId="323" applyNumberFormat="1" applyFont="1" applyFill="1" applyBorder="1" applyAlignment="1">
      <alignment horizontal="center"/>
    </xf>
    <xf numFmtId="171" fontId="105" fillId="0" borderId="11" xfId="626" applyNumberFormat="1" applyFont="1" applyFill="1" applyBorder="1" applyAlignment="1">
      <alignment horizontal="center"/>
    </xf>
    <xf numFmtId="10" fontId="105" fillId="0" borderId="11" xfId="626" applyNumberFormat="1" applyFont="1" applyFill="1" applyBorder="1" applyAlignment="1">
      <alignment horizontal="center"/>
    </xf>
    <xf numFmtId="10" fontId="105" fillId="0" borderId="22" xfId="626" applyNumberFormat="1" applyFont="1" applyFill="1" applyBorder="1" applyAlignment="1">
      <alignment horizontal="center"/>
    </xf>
    <xf numFmtId="0" fontId="105" fillId="0" borderId="15" xfId="626" applyFont="1" applyFill="1" applyBorder="1" applyAlignment="1">
      <alignment horizontal="center" vertical="center" wrapText="1"/>
    </xf>
    <xf numFmtId="167" fontId="105" fillId="0" borderId="20" xfId="323" applyNumberFormat="1" applyFont="1" applyFill="1" applyBorder="1" applyAlignment="1">
      <alignment horizontal="center"/>
    </xf>
    <xf numFmtId="167" fontId="101" fillId="0" borderId="20" xfId="323" applyNumberFormat="1" applyFont="1" applyFill="1" applyBorder="1" applyAlignment="1">
      <alignment horizontal="center"/>
    </xf>
    <xf numFmtId="167" fontId="105" fillId="0" borderId="18" xfId="323" applyNumberFormat="1" applyFont="1" applyFill="1" applyBorder="1" applyAlignment="1">
      <alignment horizontal="center"/>
    </xf>
    <xf numFmtId="167" fontId="101" fillId="0" borderId="18" xfId="323" applyNumberFormat="1" applyFont="1" applyFill="1" applyBorder="1" applyAlignment="1">
      <alignment horizontal="center"/>
    </xf>
    <xf numFmtId="174" fontId="113" fillId="25" borderId="0" xfId="0" applyFont="1" applyFill="1" applyBorder="1" applyAlignment="1">
      <alignment horizontal="center" vertical="center" wrapText="1"/>
    </xf>
    <xf numFmtId="171" fontId="81" fillId="0" borderId="0" xfId="0" applyNumberFormat="1" applyFont="1" applyFill="1" applyBorder="1" applyAlignment="1">
      <alignment horizontal="center"/>
    </xf>
    <xf numFmtId="3" fontId="81" fillId="0" borderId="0" xfId="0" applyNumberFormat="1" applyFont="1" applyFill="1" applyBorder="1" applyAlignment="1">
      <alignment horizontal="center"/>
    </xf>
    <xf numFmtId="3" fontId="81" fillId="0" borderId="11" xfId="0" applyNumberFormat="1" applyFont="1" applyFill="1" applyBorder="1" applyAlignment="1">
      <alignment horizontal="center"/>
    </xf>
    <xf numFmtId="17" fontId="62" fillId="0" borderId="19" xfId="0" applyNumberFormat="1" applyFont="1" applyFill="1" applyBorder="1" applyAlignment="1">
      <alignment horizontal="center"/>
    </xf>
    <xf numFmtId="17" fontId="62" fillId="0" borderId="14" xfId="0" applyNumberFormat="1" applyFont="1" applyFill="1" applyBorder="1" applyAlignment="1">
      <alignment horizontal="center"/>
    </xf>
    <xf numFmtId="3" fontId="81" fillId="0" borderId="20" xfId="0" applyNumberFormat="1" applyFont="1" applyFill="1" applyBorder="1" applyAlignment="1">
      <alignment horizontal="center"/>
    </xf>
    <xf numFmtId="3" fontId="81" fillId="0" borderId="18" xfId="0" applyNumberFormat="1" applyFont="1" applyFill="1" applyBorder="1" applyAlignment="1">
      <alignment horizontal="center"/>
    </xf>
    <xf numFmtId="174" fontId="55" fillId="0" borderId="0" xfId="0" applyNumberFormat="1" applyFont="1" applyAlignment="1">
      <alignment vertical="center"/>
    </xf>
    <xf numFmtId="174" fontId="0" fillId="0" borderId="0" xfId="0" applyNumberFormat="1" applyAlignment="1">
      <alignment vertical="center"/>
    </xf>
    <xf numFmtId="3" fontId="39" fillId="0" borderId="0" xfId="0" applyNumberFormat="1" applyFont="1" applyFill="1" applyBorder="1" applyAlignment="1">
      <alignment horizontal="center" vertical="center"/>
    </xf>
    <xf numFmtId="3" fontId="53" fillId="27" borderId="0" xfId="323" applyNumberFormat="1" applyFont="1" applyFill="1" applyBorder="1" applyAlignment="1">
      <alignment horizontal="center" vertical="center"/>
    </xf>
    <xf numFmtId="174" fontId="69" fillId="27" borderId="23" xfId="0" applyNumberFormat="1" applyFont="1" applyFill="1" applyBorder="1" applyAlignment="1">
      <alignment horizontal="center" vertical="center"/>
    </xf>
    <xf numFmtId="49" fontId="69" fillId="27" borderId="19" xfId="0" applyNumberFormat="1" applyFont="1" applyFill="1" applyBorder="1" applyAlignment="1">
      <alignment horizontal="center" vertical="center"/>
    </xf>
    <xf numFmtId="174" fontId="69" fillId="27" borderId="14" xfId="0" applyNumberFormat="1" applyFont="1" applyFill="1" applyBorder="1" applyAlignment="1">
      <alignment horizontal="center" vertical="center"/>
    </xf>
    <xf numFmtId="3" fontId="69" fillId="27" borderId="23" xfId="323" applyNumberFormat="1" applyFont="1" applyFill="1" applyBorder="1" applyAlignment="1">
      <alignment horizontal="center" vertical="center"/>
    </xf>
    <xf numFmtId="3" fontId="69" fillId="27" borderId="19" xfId="323" applyNumberFormat="1" applyFont="1" applyFill="1" applyBorder="1" applyAlignment="1">
      <alignment horizontal="center" vertical="center"/>
    </xf>
    <xf numFmtId="174" fontId="69" fillId="27" borderId="13" xfId="0" applyNumberFormat="1" applyFont="1" applyFill="1" applyBorder="1" applyAlignment="1">
      <alignment horizontal="center" vertical="center" wrapText="1"/>
    </xf>
    <xf numFmtId="3" fontId="69" fillId="27" borderId="20" xfId="323" applyNumberFormat="1" applyFont="1" applyFill="1" applyBorder="1" applyAlignment="1">
      <alignment horizontal="center" vertical="center"/>
    </xf>
    <xf numFmtId="1" fontId="53" fillId="27" borderId="0" xfId="323" applyNumberFormat="1" applyFont="1" applyFill="1" applyBorder="1" applyAlignment="1">
      <alignment horizontal="center" vertical="center"/>
    </xf>
    <xf numFmtId="167" fontId="53" fillId="27" borderId="0" xfId="323" applyNumberFormat="1" applyFont="1" applyFill="1" applyBorder="1" applyAlignment="1">
      <alignment horizontal="center" vertical="center"/>
    </xf>
    <xf numFmtId="174" fontId="69" fillId="27" borderId="11" xfId="0" applyNumberFormat="1" applyFont="1" applyFill="1" applyBorder="1" applyAlignment="1">
      <alignment horizontal="center" vertical="center"/>
    </xf>
    <xf numFmtId="174" fontId="69" fillId="27" borderId="11" xfId="0" applyNumberFormat="1" applyFont="1" applyFill="1" applyBorder="1" applyAlignment="1">
      <alignment horizontal="center" vertical="center" wrapText="1"/>
    </xf>
    <xf numFmtId="49" fontId="69" fillId="27" borderId="13" xfId="0" applyNumberFormat="1" applyFont="1" applyFill="1" applyBorder="1" applyAlignment="1">
      <alignment horizontal="center" vertical="center"/>
    </xf>
    <xf numFmtId="167" fontId="69" fillId="27" borderId="23" xfId="323" applyNumberFormat="1" applyFont="1" applyFill="1" applyBorder="1" applyAlignment="1">
      <alignment horizontal="center" vertical="center"/>
    </xf>
    <xf numFmtId="167" fontId="69" fillId="27" borderId="19" xfId="0" applyNumberFormat="1" applyFont="1" applyFill="1" applyBorder="1" applyAlignment="1">
      <alignment horizontal="center" vertical="center"/>
    </xf>
    <xf numFmtId="49" fontId="69" fillId="27" borderId="14" xfId="0" applyNumberFormat="1" applyFont="1" applyFill="1" applyBorder="1" applyAlignment="1">
      <alignment horizontal="center" vertical="center"/>
    </xf>
    <xf numFmtId="174" fontId="69" fillId="27" borderId="18" xfId="0" applyNumberFormat="1" applyFont="1" applyFill="1" applyBorder="1" applyAlignment="1">
      <alignment horizontal="center" vertical="center" wrapText="1"/>
    </xf>
    <xf numFmtId="40" fontId="69" fillId="27" borderId="13" xfId="0" applyNumberFormat="1" applyFont="1" applyFill="1" applyBorder="1" applyAlignment="1">
      <alignment horizontal="center" vertical="center"/>
    </xf>
    <xf numFmtId="40" fontId="69" fillId="27" borderId="13" xfId="0" applyNumberFormat="1" applyFont="1" applyFill="1" applyBorder="1" applyAlignment="1">
      <alignment horizontal="center" vertical="center" wrapText="1"/>
    </xf>
    <xf numFmtId="38" fontId="61" fillId="27" borderId="0" xfId="323" applyNumberFormat="1" applyFont="1" applyFill="1" applyBorder="1" applyAlignment="1">
      <alignment horizontal="center"/>
    </xf>
    <xf numFmtId="40" fontId="69" fillId="27" borderId="11" xfId="0" applyNumberFormat="1" applyFont="1" applyFill="1" applyBorder="1" applyAlignment="1">
      <alignment horizontal="center" vertical="center"/>
    </xf>
    <xf numFmtId="40" fontId="69" fillId="27" borderId="11" xfId="0" applyNumberFormat="1" applyFont="1" applyFill="1" applyBorder="1" applyAlignment="1">
      <alignment horizontal="center" vertical="center" wrapText="1"/>
    </xf>
    <xf numFmtId="49" fontId="69" fillId="27" borderId="19" xfId="0" applyNumberFormat="1" applyFont="1" applyFill="1" applyBorder="1" applyAlignment="1">
      <alignment horizontal="center"/>
    </xf>
    <xf numFmtId="38" fontId="69" fillId="27" borderId="23" xfId="323" applyNumberFormat="1" applyFont="1" applyFill="1" applyBorder="1" applyAlignment="1">
      <alignment horizontal="center" vertical="center"/>
    </xf>
    <xf numFmtId="38" fontId="69" fillId="27" borderId="19" xfId="0" applyNumberFormat="1" applyFont="1" applyFill="1" applyBorder="1" applyAlignment="1">
      <alignment horizontal="center" wrapText="1"/>
    </xf>
    <xf numFmtId="38" fontId="69" fillId="27" borderId="15" xfId="323" applyNumberFormat="1" applyFont="1" applyFill="1" applyBorder="1" applyAlignment="1">
      <alignment horizontal="center" vertical="center"/>
    </xf>
    <xf numFmtId="38" fontId="67" fillId="27" borderId="0" xfId="0" applyNumberFormat="1" applyFont="1" applyFill="1" applyBorder="1"/>
    <xf numFmtId="171" fontId="52" fillId="27" borderId="24" xfId="0" applyNumberFormat="1" applyFont="1" applyFill="1" applyBorder="1"/>
    <xf numFmtId="171" fontId="52" fillId="27" borderId="22" xfId="0" applyNumberFormat="1" applyFont="1" applyFill="1" applyBorder="1"/>
    <xf numFmtId="38" fontId="67" fillId="27" borderId="12" xfId="0" applyNumberFormat="1" applyFont="1" applyFill="1" applyBorder="1"/>
    <xf numFmtId="171" fontId="52" fillId="27" borderId="25" xfId="0" applyNumberFormat="1" applyFont="1" applyFill="1" applyBorder="1"/>
    <xf numFmtId="171" fontId="53" fillId="27" borderId="24" xfId="0" applyNumberFormat="1" applyFont="1" applyFill="1" applyBorder="1"/>
    <xf numFmtId="43" fontId="69" fillId="27" borderId="13" xfId="0" applyNumberFormat="1" applyFont="1" applyFill="1" applyBorder="1" applyAlignment="1">
      <alignment horizontal="center" vertical="center"/>
    </xf>
    <xf numFmtId="17" fontId="82" fillId="27" borderId="19" xfId="0" applyNumberFormat="1" applyFont="1" applyFill="1" applyBorder="1" applyAlignment="1" applyProtection="1">
      <alignment horizontal="center"/>
    </xf>
    <xf numFmtId="17" fontId="82" fillId="27" borderId="14" xfId="0" applyNumberFormat="1" applyFont="1" applyFill="1" applyBorder="1" applyAlignment="1" applyProtection="1">
      <alignment horizontal="center"/>
    </xf>
    <xf numFmtId="10" fontId="74" fillId="0" borderId="0" xfId="551" applyNumberFormat="1" applyFont="1" applyFill="1" applyBorder="1" applyAlignment="1"/>
    <xf numFmtId="3" fontId="82" fillId="27" borderId="19" xfId="0" applyNumberFormat="1" applyFont="1" applyFill="1" applyBorder="1" applyAlignment="1" applyProtection="1">
      <alignment horizontal="center"/>
    </xf>
    <xf numFmtId="3" fontId="82" fillId="27" borderId="14" xfId="0" applyNumberFormat="1" applyFont="1" applyFill="1" applyBorder="1" applyAlignment="1" applyProtection="1">
      <alignment horizontal="center"/>
    </xf>
    <xf numFmtId="174" fontId="69" fillId="27" borderId="23" xfId="0" applyFont="1" applyFill="1" applyBorder="1" applyAlignment="1">
      <alignment horizontal="center" vertical="center" wrapText="1"/>
    </xf>
    <xf numFmtId="174" fontId="69" fillId="27" borderId="16" xfId="0" applyFont="1" applyFill="1" applyBorder="1" applyAlignment="1">
      <alignment horizontal="center" vertical="center" wrapText="1"/>
    </xf>
    <xf numFmtId="167" fontId="69" fillId="27" borderId="23" xfId="323" applyNumberFormat="1" applyFont="1" applyFill="1" applyBorder="1"/>
    <xf numFmtId="43" fontId="69" fillId="27" borderId="13" xfId="0" applyNumberFormat="1" applyFont="1" applyFill="1" applyBorder="1" applyAlignment="1">
      <alignment vertical="center"/>
    </xf>
    <xf numFmtId="43" fontId="68" fillId="0" borderId="0" xfId="0" applyNumberFormat="1" applyFont="1" applyFill="1" applyBorder="1" applyAlignment="1">
      <alignment vertical="center"/>
    </xf>
    <xf numFmtId="43" fontId="53" fillId="27" borderId="0" xfId="336" applyNumberFormat="1" applyFont="1" applyFill="1" applyBorder="1" applyAlignment="1">
      <alignment horizontal="right" vertical="center"/>
    </xf>
    <xf numFmtId="43" fontId="53" fillId="27" borderId="0" xfId="336" applyNumberFormat="1" applyFont="1" applyFill="1" applyBorder="1" applyAlignment="1">
      <alignment vertical="center"/>
    </xf>
    <xf numFmtId="49" fontId="69" fillId="27" borderId="23" xfId="336" applyNumberFormat="1" applyFont="1" applyFill="1" applyBorder="1" applyAlignment="1">
      <alignment horizontal="center" vertical="center" wrapText="1"/>
    </xf>
    <xf numFmtId="43" fontId="69" fillId="27" borderId="23" xfId="0" applyNumberFormat="1" applyFont="1" applyFill="1" applyBorder="1" applyAlignment="1">
      <alignment vertical="center"/>
    </xf>
    <xf numFmtId="40" fontId="69" fillId="27" borderId="0" xfId="323" applyNumberFormat="1" applyFont="1" applyFill="1" applyBorder="1"/>
    <xf numFmtId="174" fontId="69" fillId="27" borderId="15" xfId="388" applyNumberFormat="1" applyFont="1" applyFill="1" applyBorder="1" applyAlignment="1">
      <alignment horizontal="center" vertical="center" wrapText="1"/>
    </xf>
    <xf numFmtId="189" fontId="0" fillId="0" borderId="0" xfId="0" applyNumberFormat="1"/>
    <xf numFmtId="176" fontId="0" fillId="0" borderId="0" xfId="551" applyNumberFormat="1" applyFont="1"/>
    <xf numFmtId="174" fontId="82" fillId="27" borderId="13" xfId="336" applyNumberFormat="1" applyFont="1" applyFill="1" applyBorder="1" applyAlignment="1">
      <alignment horizontal="center" vertical="center" wrapText="1"/>
    </xf>
    <xf numFmtId="43" fontId="104" fillId="27" borderId="19" xfId="336" applyNumberFormat="1" applyFont="1" applyFill="1" applyBorder="1" applyAlignment="1">
      <alignment horizontal="left" vertical="center" wrapText="1"/>
    </xf>
    <xf numFmtId="43" fontId="104" fillId="27" borderId="13" xfId="0" applyNumberFormat="1" applyFont="1" applyFill="1" applyBorder="1" applyAlignment="1">
      <alignment vertical="center"/>
    </xf>
    <xf numFmtId="174" fontId="69" fillId="27" borderId="13" xfId="388" applyNumberFormat="1" applyFont="1" applyFill="1" applyBorder="1" applyAlignment="1">
      <alignment horizontal="center" vertical="center" wrapText="1"/>
    </xf>
    <xf numFmtId="43" fontId="55" fillId="27" borderId="0" xfId="394" applyNumberFormat="1" applyFont="1" applyFill="1" applyBorder="1" applyAlignment="1">
      <alignment horizontal="right"/>
    </xf>
    <xf numFmtId="40" fontId="66" fillId="27" borderId="19" xfId="394" applyNumberFormat="1" applyFont="1" applyFill="1" applyBorder="1" applyAlignment="1">
      <alignment horizontal="left" vertical="center" wrapText="1"/>
    </xf>
    <xf numFmtId="49" fontId="66" fillId="27" borderId="23" xfId="394" applyNumberFormat="1" applyFont="1" applyFill="1" applyBorder="1" applyAlignment="1">
      <alignment horizontal="center" vertical="center"/>
    </xf>
    <xf numFmtId="40" fontId="66" fillId="27" borderId="13" xfId="394" applyNumberFormat="1" applyFont="1" applyFill="1" applyBorder="1" applyAlignment="1">
      <alignment horizontal="center" vertical="center" wrapText="1"/>
    </xf>
    <xf numFmtId="43" fontId="69" fillId="27" borderId="0" xfId="336" applyFont="1" applyFill="1" applyBorder="1" applyAlignment="1">
      <alignment horizontal="center" vertical="center" wrapText="1"/>
    </xf>
    <xf numFmtId="43" fontId="69" fillId="27" borderId="0" xfId="336" applyFont="1" applyFill="1" applyBorder="1" applyAlignment="1">
      <alignment vertical="center"/>
    </xf>
    <xf numFmtId="49" fontId="66" fillId="27" borderId="13" xfId="394" applyNumberFormat="1" applyFont="1" applyFill="1" applyBorder="1" applyAlignment="1">
      <alignment horizontal="center" vertical="center"/>
    </xf>
    <xf numFmtId="43" fontId="66" fillId="27" borderId="19" xfId="394" applyNumberFormat="1" applyFont="1" applyFill="1" applyBorder="1" applyAlignment="1">
      <alignment horizontal="right"/>
    </xf>
    <xf numFmtId="174" fontId="82" fillId="27" borderId="13" xfId="391" applyFont="1" applyFill="1" applyBorder="1" applyAlignment="1">
      <alignment horizontal="center" vertical="center"/>
    </xf>
    <xf numFmtId="174" fontId="82" fillId="27" borderId="13" xfId="391" applyFont="1" applyFill="1" applyBorder="1" applyAlignment="1">
      <alignment vertical="center"/>
    </xf>
    <xf numFmtId="174" fontId="82" fillId="27" borderId="19" xfId="391" applyFont="1" applyFill="1" applyBorder="1" applyAlignment="1">
      <alignment vertical="center" wrapText="1"/>
    </xf>
    <xf numFmtId="43" fontId="69" fillId="27" borderId="23" xfId="0" applyNumberFormat="1" applyFont="1" applyFill="1" applyBorder="1" applyAlignment="1">
      <alignment horizontal="center" vertical="center" wrapText="1"/>
    </xf>
    <xf numFmtId="0" fontId="69" fillId="27" borderId="19" xfId="0" applyNumberFormat="1" applyFont="1" applyFill="1" applyBorder="1" applyAlignment="1">
      <alignment horizontal="center"/>
    </xf>
    <xf numFmtId="0" fontId="69" fillId="27" borderId="19" xfId="0" applyNumberFormat="1" applyFont="1" applyFill="1" applyBorder="1" applyAlignment="1">
      <alignment horizontal="center" vertical="center"/>
    </xf>
    <xf numFmtId="43" fontId="69" fillId="27" borderId="23" xfId="0" applyNumberFormat="1" applyFont="1" applyFill="1" applyBorder="1" applyAlignment="1">
      <alignment horizontal="center" vertical="center"/>
    </xf>
    <xf numFmtId="174" fontId="69" fillId="27" borderId="23" xfId="446" applyFont="1" applyFill="1" applyBorder="1" applyAlignment="1">
      <alignment horizontal="center" vertical="center" wrapText="1"/>
    </xf>
    <xf numFmtId="174" fontId="69" fillId="27" borderId="16" xfId="446" applyFont="1" applyFill="1" applyBorder="1" applyAlignment="1">
      <alignment horizontal="center" vertical="center" wrapText="1"/>
    </xf>
    <xf numFmtId="174" fontId="69" fillId="27" borderId="13" xfId="446" applyFont="1" applyFill="1" applyBorder="1" applyAlignment="1">
      <alignment horizontal="center" vertical="center"/>
    </xf>
    <xf numFmtId="1" fontId="69" fillId="27" borderId="19" xfId="0" applyNumberFormat="1" applyFont="1" applyFill="1" applyBorder="1" applyAlignment="1">
      <alignment horizontal="center"/>
    </xf>
    <xf numFmtId="0" fontId="69" fillId="27" borderId="13" xfId="579" applyFont="1" applyFill="1" applyBorder="1" applyAlignment="1">
      <alignment horizontal="center"/>
    </xf>
    <xf numFmtId="0" fontId="66" fillId="27" borderId="13" xfId="579" applyFont="1" applyFill="1" applyBorder="1"/>
    <xf numFmtId="43" fontId="55" fillId="27" borderId="0" xfId="323" applyFont="1" applyFill="1" applyBorder="1"/>
    <xf numFmtId="0" fontId="69" fillId="27" borderId="23" xfId="579" applyFont="1" applyFill="1" applyBorder="1" applyAlignment="1">
      <alignment horizontal="center"/>
    </xf>
    <xf numFmtId="174" fontId="47" fillId="0" borderId="0" xfId="448" applyFont="1"/>
    <xf numFmtId="174" fontId="0" fillId="0" borderId="0" xfId="448" applyFont="1"/>
    <xf numFmtId="174" fontId="47" fillId="0" borderId="0" xfId="448" applyFont="1" applyAlignment="1">
      <alignment horizontal="center"/>
    </xf>
    <xf numFmtId="4" fontId="30"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30" fillId="0" borderId="0" xfId="1088" applyNumberFormat="1" applyFont="1" applyBorder="1"/>
    <xf numFmtId="174" fontId="69" fillId="27" borderId="13" xfId="448" applyFont="1" applyFill="1" applyBorder="1" applyAlignment="1">
      <alignment horizontal="center" vertical="center"/>
    </xf>
    <xf numFmtId="174" fontId="69" fillId="27" borderId="23" xfId="448" applyFont="1" applyFill="1" applyBorder="1" applyAlignment="1">
      <alignment horizontal="center" vertical="center"/>
    </xf>
    <xf numFmtId="174" fontId="69" fillId="27" borderId="19" xfId="448" applyFont="1" applyFill="1" applyBorder="1" applyAlignment="1">
      <alignment horizontal="left" vertical="center"/>
    </xf>
    <xf numFmtId="0" fontId="66" fillId="27" borderId="19" xfId="579" applyFont="1" applyFill="1" applyBorder="1" applyAlignment="1">
      <alignment horizontal="left"/>
    </xf>
    <xf numFmtId="174" fontId="69" fillId="0" borderId="23" xfId="0" applyFont="1" applyFill="1" applyBorder="1" applyAlignment="1">
      <alignment horizontal="center" vertical="center" wrapText="1"/>
    </xf>
    <xf numFmtId="174" fontId="69" fillId="0" borderId="16" xfId="0" applyFont="1" applyFill="1" applyBorder="1" applyAlignment="1">
      <alignment horizontal="center" vertical="center" wrapText="1"/>
    </xf>
    <xf numFmtId="174" fontId="0" fillId="0" borderId="0" xfId="450" applyFont="1" applyBorder="1" applyAlignment="1">
      <alignment vertical="center" wrapText="1"/>
    </xf>
    <xf numFmtId="17" fontId="82" fillId="0" borderId="19" xfId="633" applyNumberFormat="1" applyFont="1" applyFill="1" applyBorder="1" applyAlignment="1">
      <alignment horizontal="center"/>
    </xf>
    <xf numFmtId="17" fontId="82" fillId="0" borderId="14" xfId="633" applyNumberFormat="1" applyFont="1" applyFill="1" applyBorder="1" applyAlignment="1">
      <alignment horizontal="center"/>
    </xf>
    <xf numFmtId="43" fontId="68" fillId="0" borderId="13" xfId="0" applyNumberFormat="1" applyFont="1" applyFill="1" applyBorder="1" applyAlignment="1">
      <alignment horizontal="center" vertical="center"/>
    </xf>
    <xf numFmtId="17" fontId="69" fillId="0" borderId="13" xfId="0" applyNumberFormat="1" applyFont="1" applyFill="1" applyBorder="1" applyAlignment="1">
      <alignment horizontal="center"/>
    </xf>
    <xf numFmtId="43" fontId="69" fillId="0" borderId="23" xfId="323" applyNumberFormat="1" applyFont="1" applyFill="1" applyBorder="1" applyAlignment="1">
      <alignment horizontal="center" vertical="center" wrapText="1"/>
    </xf>
    <xf numFmtId="0" fontId="69" fillId="0" borderId="19" xfId="0" applyNumberFormat="1" applyFont="1" applyFill="1" applyBorder="1" applyAlignment="1">
      <alignment horizontal="center"/>
    </xf>
    <xf numFmtId="43" fontId="53" fillId="27" borderId="0" xfId="0" applyNumberFormat="1" applyFont="1" applyFill="1" applyBorder="1" applyAlignment="1">
      <alignment horizontal="right"/>
    </xf>
    <xf numFmtId="10" fontId="69" fillId="27" borderId="0" xfId="0" applyNumberFormat="1" applyFont="1" applyFill="1" applyBorder="1" applyAlignment="1">
      <alignment horizontal="right"/>
    </xf>
    <xf numFmtId="10" fontId="69" fillId="27" borderId="23" xfId="0" applyNumberFormat="1" applyFont="1" applyFill="1" applyBorder="1" applyAlignment="1">
      <alignment vertical="center"/>
    </xf>
    <xf numFmtId="174" fontId="66" fillId="27" borderId="13" xfId="0" applyNumberFormat="1" applyFont="1" applyFill="1" applyBorder="1" applyAlignment="1">
      <alignment horizontal="center" vertical="center"/>
    </xf>
    <xf numFmtId="43" fontId="69" fillId="27" borderId="19" xfId="0" applyNumberFormat="1" applyFont="1" applyFill="1" applyBorder="1" applyAlignment="1">
      <alignment vertical="center"/>
    </xf>
    <xf numFmtId="0" fontId="62" fillId="27" borderId="13" xfId="0" applyNumberFormat="1" applyFont="1" applyFill="1" applyBorder="1" applyAlignment="1">
      <alignment horizontal="center" vertical="center"/>
    </xf>
    <xf numFmtId="174" fontId="62" fillId="27" borderId="19" xfId="0" applyFont="1" applyFill="1" applyBorder="1" applyAlignment="1">
      <alignment vertical="center"/>
    </xf>
    <xf numFmtId="0" fontId="82" fillId="27" borderId="13" xfId="0" applyNumberFormat="1" applyFont="1" applyFill="1" applyBorder="1" applyAlignment="1">
      <alignment horizontal="center" vertical="center"/>
    </xf>
    <xf numFmtId="181" fontId="82" fillId="27" borderId="13" xfId="0" applyNumberFormat="1" applyFont="1" applyFill="1" applyBorder="1" applyAlignment="1">
      <alignment horizontal="center" vertical="center"/>
    </xf>
    <xf numFmtId="181" fontId="83" fillId="27" borderId="0" xfId="0" applyNumberFormat="1" applyFont="1" applyFill="1" applyBorder="1" applyAlignment="1">
      <alignment horizontal="center" vertical="center"/>
    </xf>
    <xf numFmtId="0" fontId="82" fillId="27" borderId="23" xfId="0" applyNumberFormat="1" applyFont="1" applyFill="1" applyBorder="1" applyAlignment="1">
      <alignment horizontal="center" vertical="center"/>
    </xf>
    <xf numFmtId="181" fontId="82" fillId="27" borderId="23" xfId="0" applyNumberFormat="1" applyFont="1" applyFill="1" applyBorder="1" applyAlignment="1">
      <alignment horizontal="center" vertical="center"/>
    </xf>
    <xf numFmtId="174" fontId="82" fillId="27" borderId="19" xfId="0" applyFont="1" applyFill="1" applyBorder="1" applyAlignment="1">
      <alignment vertical="center"/>
    </xf>
    <xf numFmtId="181" fontId="82" fillId="27" borderId="19" xfId="0" applyNumberFormat="1" applyFont="1" applyFill="1" applyBorder="1" applyAlignment="1">
      <alignment horizontal="center" vertical="center"/>
    </xf>
    <xf numFmtId="43" fontId="83" fillId="27" borderId="0" xfId="607" applyFont="1" applyFill="1" applyBorder="1" applyAlignment="1">
      <alignment horizontal="right"/>
    </xf>
    <xf numFmtId="174" fontId="82" fillId="27" borderId="13" xfId="0" applyFont="1" applyFill="1" applyBorder="1" applyAlignment="1">
      <alignment horizontal="center" vertical="center" wrapText="1"/>
    </xf>
    <xf numFmtId="43" fontId="82" fillId="27" borderId="19" xfId="607" applyFont="1" applyFill="1" applyBorder="1" applyAlignment="1">
      <alignment horizontal="right"/>
    </xf>
    <xf numFmtId="174" fontId="82" fillId="27" borderId="12" xfId="0" applyFont="1" applyFill="1" applyBorder="1" applyAlignment="1">
      <alignment horizontal="left" vertical="center" wrapText="1"/>
    </xf>
    <xf numFmtId="174" fontId="0" fillId="0" borderId="12" xfId="0" applyBorder="1"/>
    <xf numFmtId="3" fontId="53" fillId="27" borderId="20" xfId="323" applyNumberFormat="1" applyFont="1" applyFill="1" applyBorder="1" applyAlignment="1">
      <alignment horizontal="center" vertical="center"/>
    </xf>
    <xf numFmtId="174" fontId="68" fillId="27" borderId="13" xfId="0" applyFont="1" applyFill="1" applyBorder="1" applyAlignment="1">
      <alignment horizontal="center" vertical="center"/>
    </xf>
    <xf numFmtId="174" fontId="69" fillId="27" borderId="13" xfId="0" applyFont="1" applyFill="1" applyBorder="1" applyAlignment="1">
      <alignment horizontal="center" vertical="center"/>
    </xf>
    <xf numFmtId="49" fontId="69" fillId="27" borderId="13" xfId="0" applyNumberFormat="1" applyFont="1" applyFill="1" applyBorder="1" applyAlignment="1">
      <alignment horizontal="center" vertical="center" wrapText="1"/>
    </xf>
    <xf numFmtId="167" fontId="53" fillId="27" borderId="0" xfId="323" applyNumberFormat="1" applyFont="1" applyFill="1" applyBorder="1" applyAlignment="1">
      <alignment vertical="center"/>
    </xf>
    <xf numFmtId="49" fontId="69" fillId="27" borderId="23" xfId="0" applyNumberFormat="1" applyFont="1" applyFill="1" applyBorder="1" applyAlignment="1">
      <alignment horizontal="center" vertical="center" wrapText="1"/>
    </xf>
    <xf numFmtId="49" fontId="69" fillId="27" borderId="16" xfId="0" applyNumberFormat="1" applyFont="1" applyFill="1" applyBorder="1" applyAlignment="1">
      <alignment horizontal="center" vertical="center" wrapText="1"/>
    </xf>
    <xf numFmtId="167" fontId="69" fillId="27" borderId="23" xfId="0" applyNumberFormat="1" applyFont="1" applyFill="1" applyBorder="1" applyAlignment="1">
      <alignment vertical="center" wrapText="1"/>
    </xf>
    <xf numFmtId="49" fontId="69" fillId="27" borderId="15" xfId="0" applyNumberFormat="1" applyFont="1" applyFill="1" applyBorder="1" applyAlignment="1">
      <alignment horizontal="center" vertical="center" wrapText="1"/>
    </xf>
    <xf numFmtId="49" fontId="68" fillId="27" borderId="13" xfId="0" applyNumberFormat="1" applyFont="1" applyFill="1" applyBorder="1" applyAlignment="1">
      <alignment horizontal="center" wrapText="1"/>
    </xf>
    <xf numFmtId="167" fontId="61" fillId="27" borderId="0" xfId="323" applyNumberFormat="1" applyFont="1" applyFill="1" applyBorder="1"/>
    <xf numFmtId="167" fontId="68" fillId="27" borderId="0" xfId="0" applyNumberFormat="1" applyFont="1" applyFill="1" applyBorder="1" applyAlignment="1">
      <alignment horizontal="center" wrapText="1"/>
    </xf>
    <xf numFmtId="49" fontId="68" fillId="27" borderId="23" xfId="0" applyNumberFormat="1" applyFont="1" applyFill="1" applyBorder="1" applyAlignment="1">
      <alignment horizontal="center" vertical="center" wrapText="1"/>
    </xf>
    <xf numFmtId="49" fontId="68" fillId="27" borderId="16" xfId="0" applyNumberFormat="1" applyFont="1" applyFill="1" applyBorder="1" applyAlignment="1">
      <alignment horizontal="center" vertical="center" wrapText="1"/>
    </xf>
    <xf numFmtId="49" fontId="68" fillId="27" borderId="19" xfId="0" applyNumberFormat="1" applyFont="1" applyFill="1" applyBorder="1" applyAlignment="1">
      <alignment horizontal="center"/>
    </xf>
    <xf numFmtId="167" fontId="68" fillId="27" borderId="23" xfId="0" applyNumberFormat="1" applyFont="1" applyFill="1" applyBorder="1" applyAlignment="1">
      <alignment horizontal="center" wrapText="1"/>
    </xf>
    <xf numFmtId="10" fontId="68" fillId="27" borderId="23" xfId="0" applyNumberFormat="1" applyFont="1" applyFill="1" applyBorder="1"/>
    <xf numFmtId="10" fontId="68" fillId="27" borderId="16" xfId="0" applyNumberFormat="1" applyFont="1" applyFill="1" applyBorder="1"/>
    <xf numFmtId="171" fontId="69" fillId="27" borderId="23" xfId="0" applyNumberFormat="1" applyFont="1" applyFill="1" applyBorder="1"/>
    <xf numFmtId="171" fontId="69" fillId="27" borderId="16" xfId="0" applyNumberFormat="1" applyFont="1" applyFill="1" applyBorder="1"/>
    <xf numFmtId="167" fontId="69" fillId="27" borderId="13" xfId="0" applyNumberFormat="1" applyFont="1" applyFill="1" applyBorder="1" applyAlignment="1">
      <alignment horizontal="right" wrapText="1"/>
    </xf>
    <xf numFmtId="49" fontId="69" fillId="27" borderId="13" xfId="0" applyNumberFormat="1" applyFont="1" applyFill="1" applyBorder="1" applyAlignment="1">
      <alignment horizontal="center" wrapText="1"/>
    </xf>
    <xf numFmtId="167" fontId="53" fillId="27" borderId="0" xfId="323" applyNumberFormat="1" applyFont="1" applyFill="1" applyBorder="1" applyAlignment="1">
      <alignment horizontal="right"/>
    </xf>
    <xf numFmtId="167" fontId="69" fillId="27" borderId="23" xfId="0" applyNumberFormat="1" applyFont="1" applyFill="1" applyBorder="1" applyAlignment="1">
      <alignment horizontal="right" wrapText="1"/>
    </xf>
    <xf numFmtId="10" fontId="69" fillId="27" borderId="23" xfId="0" applyNumberFormat="1" applyFont="1" applyFill="1" applyBorder="1" applyAlignment="1">
      <alignment horizontal="right"/>
    </xf>
    <xf numFmtId="10" fontId="69" fillId="27" borderId="16" xfId="0" applyNumberFormat="1" applyFont="1" applyFill="1" applyBorder="1" applyAlignment="1">
      <alignment horizontal="right"/>
    </xf>
    <xf numFmtId="10" fontId="69" fillId="27" borderId="24" xfId="0" applyNumberFormat="1" applyFont="1" applyFill="1" applyBorder="1" applyAlignment="1">
      <alignment horizontal="right"/>
    </xf>
    <xf numFmtId="167" fontId="69" fillId="27" borderId="19" xfId="0" applyNumberFormat="1" applyFont="1" applyFill="1" applyBorder="1" applyAlignment="1">
      <alignment horizontal="right" wrapText="1"/>
    </xf>
    <xf numFmtId="49" fontId="68" fillId="27" borderId="13" xfId="0" applyNumberFormat="1" applyFont="1" applyFill="1" applyBorder="1" applyAlignment="1">
      <alignment horizontal="center" vertical="center" wrapText="1"/>
    </xf>
    <xf numFmtId="49" fontId="68" fillId="0" borderId="13" xfId="0" applyNumberFormat="1" applyFont="1" applyFill="1" applyBorder="1" applyAlignment="1">
      <alignment horizontal="center" vertical="center" wrapText="1"/>
    </xf>
    <xf numFmtId="49" fontId="52" fillId="0" borderId="20" xfId="0" applyNumberFormat="1" applyFont="1" applyFill="1" applyBorder="1" applyAlignment="1">
      <alignment horizontal="center" vertical="center" wrapText="1"/>
    </xf>
    <xf numFmtId="167" fontId="69" fillId="27" borderId="0" xfId="0" applyNumberFormat="1" applyFont="1" applyFill="1" applyBorder="1" applyAlignment="1">
      <alignment horizontal="center" vertical="center" wrapText="1"/>
    </xf>
    <xf numFmtId="167" fontId="61" fillId="27" borderId="0" xfId="323" applyNumberFormat="1" applyFont="1" applyFill="1" applyBorder="1" applyAlignment="1">
      <alignment vertical="center"/>
    </xf>
    <xf numFmtId="49" fontId="68" fillId="27" borderId="15" xfId="0" applyNumberFormat="1" applyFont="1" applyFill="1" applyBorder="1" applyAlignment="1">
      <alignment horizontal="center" vertical="center" wrapText="1"/>
    </xf>
    <xf numFmtId="49" fontId="68" fillId="27" borderId="19" xfId="0" applyNumberFormat="1" applyFont="1" applyFill="1" applyBorder="1" applyAlignment="1">
      <alignment horizontal="center" vertical="center" wrapText="1"/>
    </xf>
    <xf numFmtId="167" fontId="53" fillId="27" borderId="20" xfId="323" applyNumberFormat="1" applyFont="1" applyFill="1" applyBorder="1" applyAlignment="1">
      <alignment vertical="center"/>
    </xf>
    <xf numFmtId="167" fontId="53" fillId="27" borderId="18" xfId="323" applyNumberFormat="1" applyFont="1" applyFill="1" applyBorder="1" applyAlignment="1">
      <alignment vertical="center"/>
    </xf>
    <xf numFmtId="167" fontId="53" fillId="27" borderId="11" xfId="323" applyNumberFormat="1" applyFont="1" applyFill="1" applyBorder="1" applyAlignment="1">
      <alignment vertical="center"/>
    </xf>
    <xf numFmtId="167" fontId="61" fillId="0" borderId="0" xfId="323" applyNumberFormat="1" applyFont="1" applyFill="1" applyBorder="1" applyAlignment="1">
      <alignment vertical="center"/>
    </xf>
    <xf numFmtId="167" fontId="53" fillId="0" borderId="0" xfId="323" applyNumberFormat="1" applyFont="1" applyFill="1" applyBorder="1"/>
    <xf numFmtId="171" fontId="69" fillId="27" borderId="0" xfId="0" applyNumberFormat="1" applyFont="1" applyFill="1" applyBorder="1"/>
    <xf numFmtId="167" fontId="69" fillId="27" borderId="0" xfId="323" applyNumberFormat="1" applyFont="1" applyFill="1" applyBorder="1" applyAlignment="1">
      <alignment vertical="center"/>
    </xf>
    <xf numFmtId="171" fontId="69" fillId="27" borderId="0" xfId="0" applyNumberFormat="1" applyFont="1" applyFill="1" applyBorder="1" applyAlignment="1">
      <alignment vertical="center"/>
    </xf>
    <xf numFmtId="167" fontId="69" fillId="27" borderId="23" xfId="323" applyNumberFormat="1" applyFont="1" applyFill="1" applyBorder="1" applyAlignment="1">
      <alignment vertical="center"/>
    </xf>
    <xf numFmtId="171" fontId="69" fillId="27" borderId="24" xfId="0" applyNumberFormat="1" applyFont="1" applyFill="1" applyBorder="1"/>
    <xf numFmtId="171" fontId="69" fillId="27" borderId="12" xfId="0" applyNumberFormat="1" applyFont="1" applyFill="1" applyBorder="1"/>
    <xf numFmtId="167" fontId="53" fillId="27" borderId="12" xfId="323" applyNumberFormat="1" applyFont="1" applyFill="1" applyBorder="1"/>
    <xf numFmtId="171" fontId="69" fillId="27" borderId="25" xfId="0" applyNumberFormat="1" applyFont="1" applyFill="1" applyBorder="1"/>
    <xf numFmtId="171" fontId="69" fillId="27" borderId="11" xfId="0" applyNumberFormat="1" applyFont="1" applyFill="1" applyBorder="1"/>
    <xf numFmtId="171" fontId="69" fillId="27" borderId="22" xfId="0" applyNumberFormat="1" applyFont="1" applyFill="1" applyBorder="1"/>
    <xf numFmtId="174" fontId="69" fillId="27" borderId="15" xfId="0" applyFont="1" applyFill="1" applyBorder="1" applyAlignment="1">
      <alignment horizontal="center" vertical="center" wrapText="1"/>
    </xf>
    <xf numFmtId="167" fontId="53" fillId="27" borderId="21" xfId="323" applyNumberFormat="1" applyFont="1" applyFill="1" applyBorder="1"/>
    <xf numFmtId="167" fontId="53" fillId="27" borderId="20" xfId="323" applyNumberFormat="1" applyFont="1" applyFill="1" applyBorder="1"/>
    <xf numFmtId="174" fontId="69" fillId="27" borderId="15" xfId="0" applyFont="1" applyFill="1" applyBorder="1" applyAlignment="1">
      <alignment horizontal="center" vertical="center"/>
    </xf>
    <xf numFmtId="167" fontId="69" fillId="27" borderId="15" xfId="323" applyNumberFormat="1" applyFont="1" applyFill="1" applyBorder="1" applyAlignment="1">
      <alignment vertical="center"/>
    </xf>
    <xf numFmtId="167" fontId="69" fillId="27" borderId="23" xfId="0" applyNumberFormat="1" applyFont="1" applyFill="1" applyBorder="1" applyAlignment="1">
      <alignment horizontal="center" wrapText="1"/>
    </xf>
    <xf numFmtId="167" fontId="61" fillId="27" borderId="0" xfId="323" applyNumberFormat="1" applyFont="1" applyFill="1" applyBorder="1" applyAlignment="1">
      <alignment horizontal="right"/>
    </xf>
    <xf numFmtId="49" fontId="51" fillId="27" borderId="23" xfId="0" applyNumberFormat="1" applyFont="1" applyFill="1" applyBorder="1" applyAlignment="1">
      <alignment horizontal="center" vertical="center" wrapText="1"/>
    </xf>
    <xf numFmtId="49" fontId="51" fillId="27" borderId="16" xfId="0" applyNumberFormat="1" applyFont="1" applyFill="1" applyBorder="1" applyAlignment="1">
      <alignment horizontal="center" vertical="center" wrapText="1"/>
    </xf>
    <xf numFmtId="49" fontId="51" fillId="27" borderId="13" xfId="0" applyNumberFormat="1" applyFont="1" applyFill="1" applyBorder="1" applyAlignment="1">
      <alignment horizontal="center" vertical="center"/>
    </xf>
    <xf numFmtId="49" fontId="51" fillId="27" borderId="19" xfId="0" applyNumberFormat="1" applyFont="1" applyFill="1" applyBorder="1" applyAlignment="1">
      <alignment horizontal="center" vertical="center"/>
    </xf>
    <xf numFmtId="171" fontId="68" fillId="27" borderId="16" xfId="0" applyNumberFormat="1" applyFont="1" applyFill="1" applyBorder="1"/>
    <xf numFmtId="10" fontId="69" fillId="27" borderId="0" xfId="0" applyNumberFormat="1" applyFont="1" applyFill="1" applyBorder="1" applyAlignment="1">
      <alignment vertical="center"/>
    </xf>
    <xf numFmtId="10" fontId="69" fillId="27" borderId="16" xfId="0" applyNumberFormat="1" applyFont="1" applyFill="1" applyBorder="1" applyAlignment="1">
      <alignment vertical="center"/>
    </xf>
    <xf numFmtId="167" fontId="53" fillId="27" borderId="20" xfId="323" applyNumberFormat="1" applyFont="1" applyFill="1" applyBorder="1" applyAlignment="1">
      <alignment horizontal="right"/>
    </xf>
    <xf numFmtId="10" fontId="69" fillId="27" borderId="24" xfId="0" applyNumberFormat="1" applyFont="1" applyFill="1" applyBorder="1" applyAlignment="1">
      <alignment vertical="center"/>
    </xf>
    <xf numFmtId="167" fontId="69" fillId="27" borderId="15" xfId="0" applyNumberFormat="1" applyFont="1" applyFill="1" applyBorder="1" applyAlignment="1">
      <alignment horizontal="center" wrapText="1"/>
    </xf>
    <xf numFmtId="10" fontId="51" fillId="27" borderId="0" xfId="0" applyNumberFormat="1" applyFont="1" applyFill="1" applyBorder="1" applyAlignment="1">
      <alignment horizontal="right"/>
    </xf>
    <xf numFmtId="167" fontId="68" fillId="27" borderId="23" xfId="0" applyNumberFormat="1" applyFont="1" applyFill="1" applyBorder="1" applyAlignment="1">
      <alignment horizontal="right" wrapText="1"/>
    </xf>
    <xf numFmtId="10" fontId="51" fillId="27" borderId="23" xfId="0" applyNumberFormat="1" applyFont="1" applyFill="1" applyBorder="1" applyAlignment="1">
      <alignment horizontal="right"/>
    </xf>
    <xf numFmtId="10" fontId="51" fillId="27" borderId="16" xfId="0" applyNumberFormat="1" applyFont="1" applyFill="1" applyBorder="1" applyAlignment="1">
      <alignment horizontal="right"/>
    </xf>
    <xf numFmtId="10" fontId="51" fillId="27" borderId="24" xfId="0" applyNumberFormat="1" applyFont="1" applyFill="1" applyBorder="1" applyAlignment="1">
      <alignment horizontal="right"/>
    </xf>
    <xf numFmtId="171" fontId="61" fillId="0" borderId="0" xfId="0" applyNumberFormat="1" applyFont="1" applyFill="1" applyBorder="1" applyAlignment="1">
      <alignment vertical="center"/>
    </xf>
    <xf numFmtId="49" fontId="68" fillId="0" borderId="23" xfId="0" applyNumberFormat="1" applyFont="1" applyFill="1" applyBorder="1" applyAlignment="1">
      <alignment horizontal="center" vertical="center" wrapText="1"/>
    </xf>
    <xf numFmtId="49" fontId="68" fillId="0" borderId="16" xfId="0" applyNumberFormat="1" applyFont="1" applyFill="1" applyBorder="1" applyAlignment="1">
      <alignment horizontal="center" vertical="center" wrapText="1"/>
    </xf>
    <xf numFmtId="174" fontId="68" fillId="0" borderId="13" xfId="0" applyFont="1" applyFill="1" applyBorder="1" applyAlignment="1">
      <alignment horizontal="center" vertical="center"/>
    </xf>
    <xf numFmtId="49" fontId="68" fillId="0" borderId="19" xfId="0" applyNumberFormat="1" applyFont="1" applyFill="1" applyBorder="1" applyAlignment="1">
      <alignment horizontal="center" vertical="center"/>
    </xf>
    <xf numFmtId="171" fontId="61" fillId="0" borderId="24" xfId="0" applyNumberFormat="1" applyFont="1" applyFill="1" applyBorder="1" applyAlignment="1">
      <alignment vertical="center"/>
    </xf>
    <xf numFmtId="167" fontId="68" fillId="0" borderId="23" xfId="0" applyNumberFormat="1" applyFont="1" applyFill="1" applyBorder="1" applyAlignment="1">
      <alignment horizontal="center" vertical="center" wrapText="1"/>
    </xf>
    <xf numFmtId="171" fontId="68" fillId="0" borderId="23" xfId="0" applyNumberFormat="1" applyFont="1" applyFill="1" applyBorder="1" applyAlignment="1">
      <alignment vertical="center"/>
    </xf>
    <xf numFmtId="171" fontId="68" fillId="0" borderId="16" xfId="0" applyNumberFormat="1" applyFont="1" applyFill="1" applyBorder="1" applyAlignment="1">
      <alignment vertical="center"/>
    </xf>
    <xf numFmtId="174" fontId="69" fillId="0" borderId="13" xfId="0" applyFont="1" applyFill="1" applyBorder="1" applyAlignment="1">
      <alignment horizontal="center" vertical="center"/>
    </xf>
    <xf numFmtId="49" fontId="69" fillId="0" borderId="19" xfId="0" applyNumberFormat="1" applyFont="1" applyFill="1" applyBorder="1" applyAlignment="1">
      <alignment horizontal="center"/>
    </xf>
    <xf numFmtId="167" fontId="69" fillId="0" borderId="23" xfId="323" applyNumberFormat="1" applyFont="1" applyFill="1" applyBorder="1" applyAlignment="1">
      <alignment vertical="center"/>
    </xf>
    <xf numFmtId="10" fontId="66" fillId="0" borderId="23" xfId="0" applyNumberFormat="1" applyFont="1" applyFill="1" applyBorder="1" applyAlignment="1">
      <alignment vertical="center"/>
    </xf>
    <xf numFmtId="10" fontId="66" fillId="0" borderId="16" xfId="0" applyNumberFormat="1" applyFont="1" applyFill="1" applyBorder="1" applyAlignment="1">
      <alignment vertical="center"/>
    </xf>
    <xf numFmtId="10" fontId="66" fillId="0" borderId="0" xfId="0" applyNumberFormat="1" applyFont="1" applyFill="1" applyBorder="1"/>
    <xf numFmtId="10" fontId="66" fillId="0" borderId="24" xfId="0" applyNumberFormat="1" applyFont="1" applyFill="1" applyBorder="1"/>
    <xf numFmtId="174" fontId="68" fillId="0" borderId="13" xfId="0" applyFont="1" applyFill="1" applyBorder="1"/>
    <xf numFmtId="174" fontId="68" fillId="0" borderId="23" xfId="0" applyFont="1" applyFill="1" applyBorder="1" applyAlignment="1">
      <alignment horizontal="center" vertical="center" wrapText="1"/>
    </xf>
    <xf numFmtId="174" fontId="68" fillId="0" borderId="16" xfId="0" applyFont="1" applyFill="1" applyBorder="1" applyAlignment="1">
      <alignment horizontal="center" vertical="center" wrapText="1"/>
    </xf>
    <xf numFmtId="49" fontId="68" fillId="0" borderId="19" xfId="0" applyNumberFormat="1" applyFont="1" applyFill="1" applyBorder="1" applyAlignment="1">
      <alignment horizontal="center"/>
    </xf>
    <xf numFmtId="10" fontId="68" fillId="27" borderId="0" xfId="323" applyNumberFormat="1" applyFont="1" applyFill="1" applyBorder="1"/>
    <xf numFmtId="10" fontId="68" fillId="27" borderId="24" xfId="323" applyNumberFormat="1" applyFont="1" applyFill="1" applyBorder="1"/>
    <xf numFmtId="171" fontId="68" fillId="27" borderId="0" xfId="323" applyNumberFormat="1" applyFont="1" applyFill="1" applyBorder="1" applyAlignment="1">
      <alignment horizontal="right"/>
    </xf>
    <xf numFmtId="49" fontId="68" fillId="27" borderId="13" xfId="0" applyNumberFormat="1" applyFont="1" applyFill="1" applyBorder="1" applyAlignment="1">
      <alignment horizontal="center" vertical="center"/>
    </xf>
    <xf numFmtId="171" fontId="68" fillId="27" borderId="23" xfId="0" applyNumberFormat="1" applyFont="1" applyFill="1" applyBorder="1"/>
    <xf numFmtId="49" fontId="68" fillId="0" borderId="20" xfId="0" applyNumberFormat="1" applyFont="1" applyFill="1" applyBorder="1" applyAlignment="1">
      <alignment horizontal="center" vertical="center" wrapText="1"/>
    </xf>
    <xf numFmtId="49" fontId="68" fillId="0" borderId="24" xfId="0" applyNumberFormat="1" applyFont="1" applyFill="1" applyBorder="1" applyAlignment="1">
      <alignment horizontal="center" vertical="center" wrapText="1"/>
    </xf>
    <xf numFmtId="174" fontId="80" fillId="27" borderId="0" xfId="0" applyFont="1" applyFill="1" applyBorder="1" applyAlignment="1">
      <alignment horizontal="center" vertical="center"/>
    </xf>
    <xf numFmtId="174" fontId="80" fillId="27" borderId="0" xfId="0" applyFont="1" applyFill="1" applyBorder="1"/>
    <xf numFmtId="49" fontId="68" fillId="27" borderId="23" xfId="0" applyNumberFormat="1" applyFont="1" applyFill="1" applyBorder="1" applyAlignment="1">
      <alignment horizontal="center" wrapText="1"/>
    </xf>
    <xf numFmtId="49" fontId="68" fillId="27" borderId="19" xfId="0" applyNumberFormat="1" applyFont="1" applyFill="1" applyBorder="1" applyAlignment="1">
      <alignment horizontal="center" vertical="center"/>
    </xf>
    <xf numFmtId="49" fontId="69" fillId="0" borderId="14" xfId="0" applyNumberFormat="1" applyFont="1" applyFill="1" applyBorder="1" applyAlignment="1">
      <alignment horizontal="center"/>
    </xf>
    <xf numFmtId="167" fontId="68" fillId="27" borderId="23" xfId="0" applyNumberFormat="1" applyFont="1" applyFill="1" applyBorder="1" applyAlignment="1">
      <alignment horizontal="center" vertical="center" wrapText="1"/>
    </xf>
    <xf numFmtId="167" fontId="69" fillId="27" borderId="23" xfId="0" applyNumberFormat="1" applyFont="1" applyFill="1" applyBorder="1" applyAlignment="1">
      <alignment horizontal="center" vertical="center" wrapText="1"/>
    </xf>
    <xf numFmtId="10" fontId="68" fillId="27" borderId="23" xfId="0" applyNumberFormat="1" applyFont="1" applyFill="1" applyBorder="1" applyAlignment="1">
      <alignment vertical="center"/>
    </xf>
    <xf numFmtId="10" fontId="68" fillId="27" borderId="16" xfId="0" applyNumberFormat="1" applyFont="1" applyFill="1" applyBorder="1" applyAlignment="1">
      <alignment vertical="center"/>
    </xf>
    <xf numFmtId="10" fontId="68" fillId="27" borderId="0" xfId="323" applyNumberFormat="1" applyFont="1" applyFill="1" applyBorder="1" applyAlignment="1">
      <alignment horizontal="right" vertical="center"/>
    </xf>
    <xf numFmtId="10" fontId="68" fillId="27" borderId="24" xfId="323" applyNumberFormat="1" applyFont="1" applyFill="1" applyBorder="1" applyAlignment="1">
      <alignment horizontal="right" vertical="center"/>
    </xf>
    <xf numFmtId="10" fontId="68" fillId="27" borderId="0" xfId="323" applyNumberFormat="1" applyFont="1" applyFill="1" applyBorder="1" applyAlignment="1">
      <alignment horizontal="right"/>
    </xf>
    <xf numFmtId="10" fontId="68" fillId="27" borderId="24" xfId="323" applyNumberFormat="1" applyFont="1" applyFill="1" applyBorder="1" applyAlignment="1">
      <alignment horizontal="right"/>
    </xf>
    <xf numFmtId="10" fontId="66" fillId="27" borderId="24" xfId="0" applyNumberFormat="1" applyFont="1" applyFill="1" applyBorder="1" applyAlignment="1">
      <alignment vertical="center"/>
    </xf>
    <xf numFmtId="10" fontId="66" fillId="27" borderId="16" xfId="0" applyNumberFormat="1" applyFont="1" applyFill="1" applyBorder="1" applyAlignment="1">
      <alignment vertical="center"/>
    </xf>
    <xf numFmtId="167" fontId="69" fillId="27" borderId="19" xfId="0" applyNumberFormat="1" applyFont="1" applyFill="1" applyBorder="1" applyAlignment="1">
      <alignment horizontal="left" vertical="center" wrapText="1"/>
    </xf>
    <xf numFmtId="174" fontId="52" fillId="27" borderId="13" xfId="0" applyFont="1" applyFill="1" applyBorder="1" applyAlignment="1">
      <alignment horizontal="center" vertical="center"/>
    </xf>
    <xf numFmtId="49" fontId="52" fillId="27" borderId="13" xfId="0" applyNumberFormat="1" applyFont="1" applyFill="1" applyBorder="1" applyAlignment="1">
      <alignment horizontal="center" wrapText="1"/>
    </xf>
    <xf numFmtId="174" fontId="52" fillId="27" borderId="19" xfId="0" applyFont="1" applyFill="1" applyBorder="1" applyAlignment="1">
      <alignment horizontal="left" vertical="center"/>
    </xf>
    <xf numFmtId="3" fontId="69" fillId="27" borderId="0" xfId="323" applyNumberFormat="1" applyFont="1" applyFill="1" applyBorder="1" applyAlignment="1">
      <alignment horizontal="center" vertical="center"/>
    </xf>
    <xf numFmtId="3" fontId="53" fillId="27" borderId="0" xfId="0" applyNumberFormat="1" applyFont="1" applyFill="1" applyBorder="1" applyAlignment="1">
      <alignment horizontal="center" vertical="center"/>
    </xf>
    <xf numFmtId="3" fontId="69" fillId="27" borderId="0" xfId="0" applyNumberFormat="1" applyFont="1" applyFill="1" applyBorder="1" applyAlignment="1">
      <alignment horizontal="center" vertical="center"/>
    </xf>
    <xf numFmtId="3" fontId="53" fillId="27" borderId="24" xfId="323" applyNumberFormat="1" applyFont="1" applyFill="1" applyBorder="1" applyAlignment="1">
      <alignment horizontal="center" vertical="center"/>
    </xf>
    <xf numFmtId="3" fontId="69" fillId="27" borderId="11" xfId="323" applyNumberFormat="1" applyFont="1" applyFill="1" applyBorder="1" applyAlignment="1">
      <alignment horizontal="center" vertical="center"/>
    </xf>
    <xf numFmtId="3" fontId="69" fillId="27" borderId="11" xfId="0" applyNumberFormat="1" applyFont="1" applyFill="1" applyBorder="1" applyAlignment="1">
      <alignment horizontal="center" vertical="center"/>
    </xf>
    <xf numFmtId="3" fontId="53" fillId="27" borderId="11" xfId="323" applyNumberFormat="1" applyFont="1" applyFill="1" applyBorder="1" applyAlignment="1">
      <alignment horizontal="center" vertical="center"/>
    </xf>
    <xf numFmtId="3" fontId="53" fillId="27" borderId="22" xfId="323" applyNumberFormat="1" applyFont="1" applyFill="1" applyBorder="1" applyAlignment="1">
      <alignment horizontal="center" vertical="center"/>
    </xf>
    <xf numFmtId="14" fontId="69" fillId="27" borderId="13" xfId="0" applyNumberFormat="1" applyFont="1" applyFill="1" applyBorder="1" applyAlignment="1">
      <alignment horizontal="center" vertical="center" wrapText="1"/>
    </xf>
    <xf numFmtId="37" fontId="55" fillId="27" borderId="0" xfId="323" applyNumberFormat="1" applyFont="1" applyFill="1" applyBorder="1"/>
    <xf numFmtId="167" fontId="55" fillId="27" borderId="0" xfId="323" applyNumberFormat="1" applyFont="1" applyFill="1" applyBorder="1"/>
    <xf numFmtId="49" fontId="66" fillId="27" borderId="23" xfId="0" applyNumberFormat="1" applyFont="1" applyFill="1" applyBorder="1" applyAlignment="1">
      <alignment horizontal="center" vertical="center"/>
    </xf>
    <xf numFmtId="49" fontId="66" fillId="27" borderId="16" xfId="0" applyNumberFormat="1" applyFont="1" applyFill="1" applyBorder="1" applyAlignment="1">
      <alignment horizontal="center" vertical="center"/>
    </xf>
    <xf numFmtId="167" fontId="55" fillId="27" borderId="0" xfId="323" applyNumberFormat="1" applyFont="1" applyFill="1" applyBorder="1" applyAlignment="1">
      <alignment horizontal="center"/>
    </xf>
    <xf numFmtId="37" fontId="55" fillId="27" borderId="24" xfId="323" applyNumberFormat="1" applyFont="1" applyFill="1" applyBorder="1" applyAlignment="1">
      <alignment horizontal="center"/>
    </xf>
    <xf numFmtId="37" fontId="55" fillId="27" borderId="0" xfId="323" applyNumberFormat="1" applyFont="1" applyFill="1" applyBorder="1" applyAlignment="1">
      <alignment horizontal="center"/>
    </xf>
    <xf numFmtId="37" fontId="66" fillId="27" borderId="23" xfId="323" applyNumberFormat="1" applyFont="1" applyFill="1" applyBorder="1" applyAlignment="1">
      <alignment vertical="center"/>
    </xf>
    <xf numFmtId="37" fontId="66" fillId="27" borderId="23" xfId="323" applyNumberFormat="1" applyFont="1" applyFill="1" applyBorder="1" applyAlignment="1">
      <alignment horizontal="center" vertical="center"/>
    </xf>
    <xf numFmtId="37" fontId="66" fillId="27" borderId="16" xfId="323" applyNumberFormat="1" applyFont="1" applyFill="1" applyBorder="1" applyAlignment="1">
      <alignment horizontal="center" vertical="center"/>
    </xf>
    <xf numFmtId="174" fontId="66" fillId="27" borderId="19" xfId="0" applyNumberFormat="1" applyFont="1" applyFill="1" applyBorder="1" applyAlignment="1">
      <alignment horizontal="left" vertical="center"/>
    </xf>
    <xf numFmtId="3" fontId="69" fillId="27" borderId="12" xfId="323" applyNumberFormat="1" applyFont="1" applyFill="1" applyBorder="1" applyAlignment="1">
      <alignment horizontal="center" vertical="center"/>
    </xf>
    <xf numFmtId="3" fontId="69" fillId="27" borderId="12" xfId="0" applyNumberFormat="1" applyFont="1" applyFill="1" applyBorder="1" applyAlignment="1">
      <alignment horizontal="center" vertical="center"/>
    </xf>
    <xf numFmtId="3" fontId="53" fillId="27" borderId="12" xfId="0" applyNumberFormat="1" applyFont="1" applyFill="1" applyBorder="1" applyAlignment="1">
      <alignment horizontal="center" vertical="center"/>
    </xf>
    <xf numFmtId="3" fontId="53" fillId="27" borderId="12" xfId="323" applyNumberFormat="1" applyFont="1" applyFill="1" applyBorder="1" applyAlignment="1">
      <alignment horizontal="center" vertical="center"/>
    </xf>
    <xf numFmtId="3" fontId="53" fillId="27" borderId="25" xfId="323" applyNumberFormat="1" applyFont="1" applyFill="1" applyBorder="1" applyAlignment="1">
      <alignment horizontal="center" vertical="center"/>
    </xf>
    <xf numFmtId="3" fontId="53" fillId="27" borderId="21" xfId="323" applyNumberFormat="1" applyFont="1" applyFill="1" applyBorder="1" applyAlignment="1">
      <alignment horizontal="center" vertical="center"/>
    </xf>
    <xf numFmtId="3" fontId="53" fillId="27" borderId="18" xfId="323" applyNumberFormat="1" applyFont="1" applyFill="1" applyBorder="1" applyAlignment="1">
      <alignment horizontal="center" vertical="center"/>
    </xf>
    <xf numFmtId="3" fontId="53" fillId="27" borderId="11" xfId="0" applyNumberFormat="1" applyFont="1" applyFill="1" applyBorder="1" applyAlignment="1">
      <alignment horizontal="center" vertical="center"/>
    </xf>
    <xf numFmtId="174" fontId="105" fillId="27" borderId="13" xfId="0" applyFont="1" applyFill="1" applyBorder="1" applyAlignment="1">
      <alignment horizontal="center" vertical="center" wrapText="1"/>
    </xf>
    <xf numFmtId="181" fontId="110" fillId="27" borderId="13" xfId="0" applyNumberFormat="1" applyFont="1" applyFill="1" applyBorder="1" applyAlignment="1">
      <alignment horizontal="left" vertical="center" wrapText="1"/>
    </xf>
    <xf numFmtId="49" fontId="110" fillId="27" borderId="23" xfId="0" applyNumberFormat="1" applyFont="1" applyFill="1" applyBorder="1" applyAlignment="1">
      <alignment horizontal="center" vertical="center" wrapText="1"/>
    </xf>
    <xf numFmtId="49" fontId="110" fillId="27" borderId="16" xfId="0" applyNumberFormat="1" applyFont="1" applyFill="1" applyBorder="1" applyAlignment="1">
      <alignment horizontal="center" vertical="center" wrapText="1"/>
    </xf>
    <xf numFmtId="174" fontId="110" fillId="27" borderId="19" xfId="0" applyFont="1" applyFill="1" applyBorder="1" applyAlignment="1">
      <alignment horizontal="left" vertical="center" wrapText="1"/>
    </xf>
    <xf numFmtId="49" fontId="104" fillId="27" borderId="13" xfId="388" applyNumberFormat="1" applyFont="1" applyFill="1" applyBorder="1" applyAlignment="1">
      <alignment horizontal="center"/>
    </xf>
    <xf numFmtId="4" fontId="95" fillId="27" borderId="24" xfId="323" applyNumberFormat="1" applyFont="1" applyFill="1" applyBorder="1" applyAlignment="1">
      <alignment horizontal="right"/>
    </xf>
    <xf numFmtId="174" fontId="104" fillId="27" borderId="16" xfId="388" applyFont="1" applyFill="1" applyBorder="1" applyAlignment="1">
      <alignment horizontal="center" vertical="center" wrapText="1"/>
    </xf>
    <xf numFmtId="4" fontId="104" fillId="27" borderId="16" xfId="323" applyNumberFormat="1" applyFont="1" applyFill="1" applyBorder="1" applyAlignment="1">
      <alignment horizontal="right"/>
    </xf>
    <xf numFmtId="174" fontId="104" fillId="27" borderId="13" xfId="388" applyNumberFormat="1" applyFont="1" applyFill="1" applyBorder="1" applyAlignment="1">
      <alignment horizontal="center" vertical="center"/>
    </xf>
    <xf numFmtId="49" fontId="104" fillId="27" borderId="19" xfId="388" applyNumberFormat="1" applyFont="1" applyFill="1" applyBorder="1" applyAlignment="1">
      <alignment horizontal="center"/>
    </xf>
    <xf numFmtId="174" fontId="82" fillId="27" borderId="19" xfId="391" applyFont="1" applyFill="1" applyBorder="1" applyAlignment="1">
      <alignment vertical="center"/>
    </xf>
    <xf numFmtId="10" fontId="66" fillId="27" borderId="19" xfId="551" applyNumberFormat="1" applyFont="1" applyFill="1" applyBorder="1" applyAlignment="1">
      <alignment horizontal="center"/>
    </xf>
    <xf numFmtId="38" fontId="69" fillId="27" borderId="17" xfId="0" applyNumberFormat="1" applyFont="1" applyFill="1" applyBorder="1" applyAlignment="1">
      <alignment horizontal="center" wrapText="1"/>
    </xf>
    <xf numFmtId="174" fontId="69" fillId="0" borderId="21" xfId="0" applyNumberFormat="1" applyFont="1" applyFill="1" applyBorder="1" applyAlignment="1">
      <alignment horizontal="center" vertical="center" wrapText="1"/>
    </xf>
    <xf numFmtId="174" fontId="69" fillId="0" borderId="12" xfId="0" applyNumberFormat="1" applyFont="1" applyFill="1" applyBorder="1" applyAlignment="1">
      <alignment horizontal="center" vertical="center" wrapText="1"/>
    </xf>
    <xf numFmtId="174" fontId="69" fillId="0" borderId="25" xfId="0" applyNumberFormat="1" applyFont="1" applyFill="1" applyBorder="1" applyAlignment="1">
      <alignment horizontal="center" vertical="center" wrapText="1"/>
    </xf>
    <xf numFmtId="174" fontId="88" fillId="0" borderId="0" xfId="0" applyFont="1" applyAlignment="1">
      <alignment horizontal="justify" vertical="justify" wrapText="1"/>
    </xf>
    <xf numFmtId="174" fontId="82" fillId="27" borderId="0" xfId="0" applyFont="1" applyFill="1" applyBorder="1" applyAlignment="1">
      <alignment horizontal="center" vertical="center" wrapText="1"/>
    </xf>
    <xf numFmtId="167" fontId="69" fillId="27" borderId="15" xfId="323" applyNumberFormat="1" applyFont="1" applyFill="1" applyBorder="1" applyAlignment="1">
      <alignment horizontal="center" vertical="center"/>
    </xf>
    <xf numFmtId="174" fontId="0" fillId="0" borderId="0" xfId="0" applyFont="1" applyAlignment="1">
      <alignment vertical="center"/>
    </xf>
    <xf numFmtId="188" fontId="0" fillId="0" borderId="0" xfId="0" applyNumberFormat="1" applyFont="1"/>
    <xf numFmtId="49" fontId="69" fillId="27" borderId="13" xfId="336" applyNumberFormat="1" applyFont="1" applyFill="1" applyBorder="1" applyAlignment="1">
      <alignment horizontal="center" vertical="center" wrapText="1"/>
    </xf>
    <xf numFmtId="43" fontId="69" fillId="27" borderId="19" xfId="336" applyNumberFormat="1" applyFont="1" applyFill="1" applyBorder="1" applyAlignment="1">
      <alignment vertical="center"/>
    </xf>
    <xf numFmtId="174" fontId="82" fillId="27" borderId="20" xfId="0" applyFont="1" applyFill="1" applyBorder="1" applyAlignment="1">
      <alignment horizontal="center" vertical="center" wrapText="1"/>
    </xf>
    <xf numFmtId="174" fontId="82" fillId="27" borderId="24" xfId="0" applyFont="1" applyFill="1" applyBorder="1" applyAlignment="1">
      <alignment horizontal="center" vertical="center" wrapText="1"/>
    </xf>
    <xf numFmtId="49" fontId="52" fillId="0" borderId="24" xfId="0" applyNumberFormat="1" applyFont="1" applyFill="1" applyBorder="1" applyAlignment="1">
      <alignment horizontal="center" vertical="center" wrapText="1"/>
    </xf>
    <xf numFmtId="174" fontId="0" fillId="0" borderId="0" xfId="0" applyAlignment="1">
      <alignment vertical="top"/>
    </xf>
    <xf numFmtId="0" fontId="47" fillId="0" borderId="0" xfId="742"/>
    <xf numFmtId="173" fontId="47" fillId="0" borderId="0" xfId="742" applyNumberFormat="1"/>
    <xf numFmtId="0" fontId="47" fillId="0" borderId="0" xfId="743"/>
    <xf numFmtId="0" fontId="59" fillId="0" borderId="0" xfId="743" applyFont="1" applyBorder="1" applyAlignment="1">
      <alignment horizontal="center"/>
    </xf>
    <xf numFmtId="3" fontId="83" fillId="27" borderId="0" xfId="328" applyNumberFormat="1" applyFont="1" applyFill="1" applyBorder="1" applyAlignment="1"/>
    <xf numFmtId="17" fontId="82" fillId="27" borderId="20" xfId="0" applyNumberFormat="1" applyFont="1" applyFill="1" applyBorder="1" applyAlignment="1">
      <alignment horizontal="center" vertical="center"/>
    </xf>
    <xf numFmtId="3" fontId="83" fillId="27" borderId="20" xfId="328" applyNumberFormat="1" applyFont="1" applyFill="1" applyBorder="1" applyAlignment="1">
      <alignment vertical="center"/>
    </xf>
    <xf numFmtId="174" fontId="71" fillId="0" borderId="0" xfId="0" applyFont="1" applyFill="1" applyBorder="1" applyAlignment="1">
      <alignment horizontal="center" vertical="center" wrapText="1"/>
    </xf>
    <xf numFmtId="0" fontId="66" fillId="27" borderId="23" xfId="743" applyFont="1" applyFill="1" applyBorder="1" applyAlignment="1">
      <alignment horizontal="center" vertical="center" wrapText="1"/>
    </xf>
    <xf numFmtId="0" fontId="66" fillId="27" borderId="13" xfId="743" applyFont="1" applyFill="1" applyBorder="1" applyAlignment="1">
      <alignment horizontal="center" vertical="center" wrapText="1"/>
    </xf>
    <xf numFmtId="0" fontId="66" fillId="27" borderId="19" xfId="743" applyFont="1" applyFill="1" applyBorder="1" applyAlignment="1">
      <alignment horizontal="center"/>
    </xf>
    <xf numFmtId="43" fontId="66" fillId="27" borderId="23" xfId="323" applyFont="1" applyFill="1" applyBorder="1"/>
    <xf numFmtId="38" fontId="74" fillId="0" borderId="21" xfId="0" applyNumberFormat="1" applyFont="1" applyBorder="1" applyAlignment="1">
      <alignment horizontal="center" vertical="center"/>
    </xf>
    <xf numFmtId="38" fontId="73" fillId="0" borderId="25" xfId="0" applyNumberFormat="1" applyFont="1" applyBorder="1" applyAlignment="1">
      <alignment horizontal="center" vertical="center"/>
    </xf>
    <xf numFmtId="171" fontId="73" fillId="0" borderId="25" xfId="0" applyNumberFormat="1" applyFont="1" applyBorder="1" applyAlignment="1">
      <alignment horizontal="center" vertical="center"/>
    </xf>
    <xf numFmtId="38" fontId="74" fillId="0" borderId="20" xfId="0" applyNumberFormat="1" applyFont="1" applyBorder="1" applyAlignment="1">
      <alignment horizontal="center" vertical="center"/>
    </xf>
    <xf numFmtId="38" fontId="73" fillId="0" borderId="24" xfId="0" applyNumberFormat="1" applyFont="1" applyBorder="1" applyAlignment="1">
      <alignment horizontal="center" vertical="center"/>
    </xf>
    <xf numFmtId="171" fontId="73" fillId="0" borderId="24" xfId="0" applyNumberFormat="1" applyFont="1" applyBorder="1" applyAlignment="1">
      <alignment horizontal="center" vertical="center"/>
    </xf>
    <xf numFmtId="38" fontId="73" fillId="27" borderId="24" xfId="0" applyNumberFormat="1" applyFont="1" applyFill="1" applyBorder="1" applyAlignment="1">
      <alignment horizontal="center" vertical="center"/>
    </xf>
    <xf numFmtId="171" fontId="73" fillId="27" borderId="24" xfId="0" applyNumberFormat="1" applyFont="1" applyFill="1" applyBorder="1" applyAlignment="1">
      <alignment horizontal="center" vertical="center"/>
    </xf>
    <xf numFmtId="171" fontId="73" fillId="27" borderId="22"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88" fontId="0" fillId="0" borderId="0" xfId="0" applyNumberFormat="1"/>
    <xf numFmtId="3" fontId="74" fillId="27" borderId="12" xfId="328" applyNumberFormat="1" applyFont="1" applyFill="1" applyBorder="1" applyAlignment="1"/>
    <xf numFmtId="43" fontId="74" fillId="27" borderId="25" xfId="336" applyNumberFormat="1" applyFont="1" applyFill="1" applyBorder="1" applyAlignment="1"/>
    <xf numFmtId="3" fontId="74" fillId="27" borderId="20" xfId="328" applyNumberFormat="1" applyFont="1" applyFill="1" applyBorder="1" applyAlignment="1"/>
    <xf numFmtId="43" fontId="74" fillId="27" borderId="24" xfId="336" applyNumberFormat="1" applyFont="1" applyFill="1" applyBorder="1" applyAlignment="1"/>
    <xf numFmtId="3" fontId="74" fillId="27" borderId="24" xfId="328" applyNumberFormat="1" applyFont="1" applyFill="1" applyBorder="1" applyAlignment="1"/>
    <xf numFmtId="171" fontId="53" fillId="0" borderId="0" xfId="551" applyNumberFormat="1" applyFont="1" applyBorder="1"/>
    <xf numFmtId="3" fontId="53" fillId="27" borderId="12" xfId="325" applyNumberFormat="1" applyFont="1" applyFill="1" applyBorder="1" applyAlignment="1">
      <alignment horizontal="center" vertical="center"/>
    </xf>
    <xf numFmtId="171" fontId="51" fillId="0" borderId="0" xfId="551" applyNumberFormat="1" applyFont="1"/>
    <xf numFmtId="182" fontId="0" fillId="0" borderId="0" xfId="0" applyNumberFormat="1" applyBorder="1"/>
    <xf numFmtId="182" fontId="0" fillId="0" borderId="0" xfId="551" applyNumberFormat="1" applyFont="1"/>
    <xf numFmtId="2" fontId="0" fillId="0" borderId="0" xfId="551" applyNumberFormat="1" applyFont="1" applyBorder="1"/>
    <xf numFmtId="43" fontId="85" fillId="27" borderId="13" xfId="0" applyNumberFormat="1" applyFont="1" applyFill="1" applyBorder="1" applyAlignment="1">
      <alignment horizontal="center" vertical="center" wrapText="1"/>
    </xf>
    <xf numFmtId="43" fontId="85" fillId="27" borderId="19" xfId="0" applyNumberFormat="1" applyFont="1" applyFill="1" applyBorder="1" applyAlignment="1">
      <alignment horizontal="center"/>
    </xf>
    <xf numFmtId="3" fontId="64" fillId="27" borderId="0" xfId="0" applyNumberFormat="1" applyFont="1" applyFill="1" applyBorder="1" applyAlignment="1" applyProtection="1"/>
    <xf numFmtId="43" fontId="85" fillId="27" borderId="13" xfId="0" applyNumberFormat="1" applyFont="1" applyFill="1" applyBorder="1" applyAlignment="1">
      <alignment horizontal="center" vertical="center"/>
    </xf>
    <xf numFmtId="174" fontId="82" fillId="0" borderId="0" xfId="0" applyFont="1" applyFill="1" applyBorder="1" applyAlignment="1">
      <alignment horizontal="center" vertical="center" wrapText="1"/>
    </xf>
    <xf numFmtId="10" fontId="82" fillId="27" borderId="19" xfId="391" applyNumberFormat="1" applyFont="1" applyFill="1" applyBorder="1" applyAlignment="1">
      <alignment horizontal="center"/>
    </xf>
    <xf numFmtId="10" fontId="69" fillId="0"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43" fontId="53" fillId="27" borderId="0" xfId="0" applyNumberFormat="1" applyFont="1" applyFill="1" applyBorder="1" applyAlignment="1">
      <alignment horizontal="right" vertical="center"/>
    </xf>
    <xf numFmtId="10" fontId="65" fillId="0" borderId="0" xfId="551" applyNumberFormat="1" applyFont="1" applyFill="1" applyBorder="1" applyAlignment="1">
      <alignment horizontal="right"/>
    </xf>
    <xf numFmtId="43" fontId="47" fillId="0" borderId="0" xfId="743" applyNumberFormat="1"/>
    <xf numFmtId="10" fontId="47" fillId="0" borderId="0" xfId="551" applyNumberFormat="1"/>
    <xf numFmtId="43" fontId="66" fillId="27" borderId="15" xfId="323" applyFont="1" applyFill="1" applyBorder="1"/>
    <xf numFmtId="0" fontId="66" fillId="27" borderId="13" xfId="743" applyFont="1" applyFill="1" applyBorder="1" applyAlignment="1">
      <alignment horizontal="center" vertical="center"/>
    </xf>
    <xf numFmtId="43" fontId="66" fillId="27" borderId="19" xfId="323" applyFont="1" applyFill="1" applyBorder="1"/>
    <xf numFmtId="193" fontId="0" fillId="0" borderId="0" xfId="0" applyNumberFormat="1"/>
    <xf numFmtId="0" fontId="47" fillId="0" borderId="0" xfId="919"/>
    <xf numFmtId="167" fontId="47" fillId="0" borderId="0" xfId="919" applyNumberFormat="1"/>
    <xf numFmtId="0" fontId="0" fillId="0" borderId="0" xfId="919" applyFont="1"/>
    <xf numFmtId="2" fontId="47" fillId="0" borderId="0" xfId="919" applyNumberFormat="1"/>
    <xf numFmtId="186" fontId="47" fillId="0" borderId="0" xfId="919" applyNumberFormat="1"/>
    <xf numFmtId="0" fontId="47" fillId="0" borderId="0" xfId="1092"/>
    <xf numFmtId="0" fontId="47" fillId="0" borderId="0" xfId="1093"/>
    <xf numFmtId="0" fontId="47" fillId="0" borderId="0" xfId="793" applyAlignment="1">
      <alignment vertical="center"/>
    </xf>
    <xf numFmtId="0" fontId="47" fillId="0" borderId="0" xfId="793"/>
    <xf numFmtId="167" fontId="64" fillId="27" borderId="0" xfId="323" applyNumberFormat="1" applyFont="1" applyFill="1" applyBorder="1" applyAlignment="1">
      <alignment vertical="center"/>
    </xf>
    <xf numFmtId="0" fontId="85" fillId="27" borderId="13" xfId="437" applyFont="1" applyFill="1" applyBorder="1" applyAlignment="1">
      <alignment horizontal="center" vertical="center" wrapText="1"/>
    </xf>
    <xf numFmtId="0" fontId="85" fillId="27" borderId="15" xfId="437" applyFont="1" applyFill="1" applyBorder="1" applyAlignment="1">
      <alignment horizontal="center" vertical="center" wrapText="1"/>
    </xf>
    <xf numFmtId="0" fontId="85" fillId="27" borderId="23" xfId="437" applyFont="1" applyFill="1" applyBorder="1" applyAlignment="1">
      <alignment horizontal="center" vertical="center" wrapText="1"/>
    </xf>
    <xf numFmtId="0" fontId="85" fillId="27" borderId="17" xfId="437" applyFont="1" applyFill="1" applyBorder="1" applyAlignment="1">
      <alignment horizontal="left" vertical="center" wrapText="1"/>
    </xf>
    <xf numFmtId="0" fontId="85" fillId="27" borderId="19" xfId="437" applyFont="1" applyFill="1" applyBorder="1" applyAlignment="1">
      <alignment horizontal="left" vertical="center" wrapText="1"/>
    </xf>
    <xf numFmtId="0" fontId="62" fillId="27" borderId="13" xfId="793" applyFont="1" applyFill="1" applyBorder="1" applyAlignment="1">
      <alignment horizontal="center" vertical="center"/>
    </xf>
    <xf numFmtId="0" fontId="66" fillId="27" borderId="13" xfId="793" applyFont="1" applyFill="1" applyBorder="1" applyAlignment="1">
      <alignment horizontal="center" vertical="center"/>
    </xf>
    <xf numFmtId="49" fontId="66" fillId="27" borderId="23" xfId="793" applyNumberFormat="1" applyFont="1" applyFill="1" applyBorder="1" applyAlignment="1">
      <alignment horizontal="center" vertical="center"/>
    </xf>
    <xf numFmtId="49" fontId="66" fillId="27" borderId="23" xfId="793" applyNumberFormat="1" applyFont="1" applyFill="1" applyBorder="1" applyAlignment="1">
      <alignment horizontal="center" vertical="center" wrapText="1"/>
    </xf>
    <xf numFmtId="0" fontId="62" fillId="27" borderId="17" xfId="793" applyFont="1" applyFill="1" applyBorder="1" applyAlignment="1">
      <alignment horizontal="center" vertical="center"/>
    </xf>
    <xf numFmtId="0" fontId="62" fillId="27" borderId="17" xfId="793" applyFont="1" applyFill="1" applyBorder="1" applyAlignment="1">
      <alignment vertical="center"/>
    </xf>
    <xf numFmtId="0" fontId="62" fillId="27" borderId="19" xfId="793" applyFont="1" applyFill="1" applyBorder="1" applyAlignment="1">
      <alignment vertical="center"/>
    </xf>
    <xf numFmtId="0" fontId="62" fillId="27" borderId="14" xfId="793" applyFont="1" applyFill="1" applyBorder="1" applyAlignment="1">
      <alignment vertical="center"/>
    </xf>
    <xf numFmtId="0" fontId="66" fillId="27" borderId="13" xfId="919" applyFont="1" applyFill="1" applyBorder="1" applyAlignment="1">
      <alignment horizontal="center" vertical="center"/>
    </xf>
    <xf numFmtId="0" fontId="66" fillId="27" borderId="23" xfId="919" applyFont="1" applyFill="1" applyBorder="1" applyAlignment="1">
      <alignment horizontal="center" vertical="center" wrapText="1"/>
    </xf>
    <xf numFmtId="0" fontId="66" fillId="27" borderId="16" xfId="919" applyFont="1" applyFill="1" applyBorder="1" applyAlignment="1">
      <alignment horizontal="center" vertical="center" wrapText="1"/>
    </xf>
    <xf numFmtId="167" fontId="64" fillId="27" borderId="21" xfId="323" applyNumberFormat="1" applyFont="1" applyFill="1" applyBorder="1" applyAlignment="1">
      <alignment vertical="center"/>
    </xf>
    <xf numFmtId="167" fontId="64" fillId="27" borderId="12" xfId="323" applyNumberFormat="1" applyFont="1" applyFill="1" applyBorder="1" applyAlignment="1">
      <alignment vertical="center"/>
    </xf>
    <xf numFmtId="167" fontId="64" fillId="27" borderId="20" xfId="323" applyNumberFormat="1" applyFont="1" applyFill="1" applyBorder="1" applyAlignment="1">
      <alignment vertical="center"/>
    </xf>
    <xf numFmtId="182" fontId="47" fillId="0" borderId="0" xfId="1094"/>
    <xf numFmtId="182" fontId="56" fillId="0" borderId="0" xfId="1094" applyFont="1" applyFill="1" applyBorder="1" applyAlignment="1">
      <alignment horizontal="center" vertical="center" wrapText="1"/>
    </xf>
    <xf numFmtId="182" fontId="47" fillId="0" borderId="0" xfId="1094" applyFill="1" applyBorder="1"/>
    <xf numFmtId="182" fontId="48" fillId="0" borderId="0" xfId="1094" applyFont="1" applyFill="1" applyBorder="1"/>
    <xf numFmtId="182" fontId="60" fillId="0" borderId="0" xfId="1094" applyNumberFormat="1" applyFont="1" applyFill="1" applyBorder="1" applyAlignment="1">
      <alignment horizontal="center"/>
    </xf>
    <xf numFmtId="182" fontId="56" fillId="0" borderId="0" xfId="1094" applyNumberFormat="1" applyFont="1" applyFill="1" applyBorder="1" applyAlignment="1">
      <alignment horizontal="center"/>
    </xf>
    <xf numFmtId="182" fontId="83" fillId="0" borderId="0" xfId="1094" applyFont="1" applyFill="1" applyBorder="1"/>
    <xf numFmtId="10" fontId="83" fillId="0" borderId="0" xfId="1094" applyNumberFormat="1" applyFont="1" applyFill="1" applyBorder="1"/>
    <xf numFmtId="43" fontId="60" fillId="0" borderId="0" xfId="1094" applyNumberFormat="1" applyFont="1" applyFill="1" applyBorder="1" applyAlignment="1">
      <alignment horizontal="center"/>
    </xf>
    <xf numFmtId="41" fontId="74" fillId="27" borderId="20" xfId="328" applyNumberFormat="1" applyFont="1" applyFill="1" applyBorder="1" applyAlignment="1"/>
    <xf numFmtId="43" fontId="73" fillId="27" borderId="0" xfId="328" applyNumberFormat="1" applyFont="1" applyFill="1" applyBorder="1" applyAlignment="1">
      <alignment horizontal="right" vertical="center" wrapText="1"/>
    </xf>
    <xf numFmtId="41" fontId="74" fillId="27" borderId="21" xfId="394" applyNumberFormat="1" applyFont="1" applyFill="1" applyBorder="1" applyAlignment="1"/>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67" fillId="0" borderId="0" xfId="0" applyNumberFormat="1" applyFont="1" applyBorder="1" applyAlignment="1"/>
    <xf numFmtId="174" fontId="71" fillId="0" borderId="0" xfId="0" applyFont="1" applyFill="1" applyBorder="1" applyAlignment="1">
      <alignment horizontal="center" vertical="center" wrapText="1"/>
    </xf>
    <xf numFmtId="174" fontId="0" fillId="0" borderId="0" xfId="0" applyAlignment="1">
      <alignment horizontal="center"/>
    </xf>
    <xf numFmtId="171" fontId="64" fillId="0" borderId="0" xfId="336" applyNumberFormat="1" applyFont="1" applyFill="1" applyBorder="1" applyAlignment="1"/>
    <xf numFmtId="174" fontId="85" fillId="0" borderId="15" xfId="0" applyNumberFormat="1" applyFont="1" applyFill="1" applyBorder="1" applyAlignment="1">
      <alignment horizontal="center" vertical="center" wrapText="1"/>
    </xf>
    <xf numFmtId="49" fontId="85" fillId="0" borderId="21" xfId="0" applyNumberFormat="1" applyFont="1" applyFill="1" applyBorder="1" applyAlignment="1">
      <alignment horizontal="center" vertical="center"/>
    </xf>
    <xf numFmtId="10" fontId="64" fillId="0" borderId="0" xfId="336" applyNumberFormat="1" applyFont="1" applyFill="1" applyBorder="1" applyAlignment="1"/>
    <xf numFmtId="174" fontId="71" fillId="0" borderId="0" xfId="0" applyFont="1" applyFill="1" applyBorder="1" applyAlignment="1">
      <alignment horizontal="center" vertical="center" wrapText="1"/>
    </xf>
    <xf numFmtId="174" fontId="66" fillId="27" borderId="23" xfId="0" applyNumberFormat="1" applyFont="1" applyFill="1" applyBorder="1" applyAlignment="1">
      <alignment horizontal="center" vertical="center" wrapText="1"/>
    </xf>
    <xf numFmtId="174" fontId="66" fillId="27" borderId="16" xfId="0" applyNumberFormat="1" applyFont="1" applyFill="1" applyBorder="1" applyAlignment="1">
      <alignment horizontal="center" vertical="center" wrapText="1"/>
    </xf>
    <xf numFmtId="167" fontId="55" fillId="27" borderId="0" xfId="394" applyNumberFormat="1" applyFont="1" applyFill="1" applyBorder="1" applyAlignment="1">
      <alignment horizontal="right"/>
    </xf>
    <xf numFmtId="167" fontId="55" fillId="27" borderId="11" xfId="394" applyNumberFormat="1" applyFont="1" applyFill="1" applyBorder="1" applyAlignment="1">
      <alignment horizontal="right"/>
    </xf>
    <xf numFmtId="167" fontId="55" fillId="27" borderId="20" xfId="394" applyNumberFormat="1" applyFont="1" applyFill="1" applyBorder="1" applyAlignment="1">
      <alignment horizontal="right"/>
    </xf>
    <xf numFmtId="167" fontId="55" fillId="27" borderId="18" xfId="394" applyNumberFormat="1" applyFont="1" applyFill="1" applyBorder="1" applyAlignment="1">
      <alignment horizontal="right"/>
    </xf>
    <xf numFmtId="17" fontId="82" fillId="27" borderId="19" xfId="0" applyNumberFormat="1" applyFont="1" applyFill="1" applyBorder="1" applyAlignment="1">
      <alignment horizontal="center" vertical="center"/>
    </xf>
    <xf numFmtId="171" fontId="55" fillId="0" borderId="0" xfId="551" applyNumberFormat="1" applyFont="1" applyFill="1" applyBorder="1" applyAlignment="1" applyProtection="1">
      <alignment horizontal="right"/>
    </xf>
    <xf numFmtId="174" fontId="71" fillId="0" borderId="0" xfId="0" applyFont="1" applyFill="1" applyBorder="1" applyAlignment="1">
      <alignment horizontal="center" vertical="center" wrapText="1"/>
    </xf>
    <xf numFmtId="171" fontId="82" fillId="27" borderId="0" xfId="328" applyNumberFormat="1" applyFont="1" applyFill="1" applyBorder="1" applyAlignment="1">
      <alignment horizontal="right" vertical="center"/>
    </xf>
    <xf numFmtId="2" fontId="82" fillId="27" borderId="0" xfId="328" applyNumberFormat="1" applyFont="1" applyFill="1" applyBorder="1" applyAlignment="1">
      <alignment horizontal="right" vertical="center"/>
    </xf>
    <xf numFmtId="49" fontId="82" fillId="27" borderId="17" xfId="0" applyNumberFormat="1" applyFont="1" applyFill="1" applyBorder="1" applyAlignment="1">
      <alignment horizontal="center" vertical="center"/>
    </xf>
    <xf numFmtId="49" fontId="82" fillId="27" borderId="19" xfId="0" applyNumberFormat="1" applyFont="1" applyFill="1" applyBorder="1" applyAlignment="1">
      <alignment horizontal="center" vertical="center"/>
    </xf>
    <xf numFmtId="49" fontId="82" fillId="27" borderId="14" xfId="0" applyNumberFormat="1" applyFont="1" applyFill="1" applyBorder="1" applyAlignment="1">
      <alignment horizontal="center" vertical="center"/>
    </xf>
    <xf numFmtId="174" fontId="130" fillId="0" borderId="0" xfId="0" applyFont="1"/>
    <xf numFmtId="3" fontId="82" fillId="27" borderId="20" xfId="328" applyNumberFormat="1" applyFont="1" applyFill="1" applyBorder="1" applyAlignment="1">
      <alignment horizontal="right" vertical="center"/>
    </xf>
    <xf numFmtId="174" fontId="132" fillId="0" borderId="0" xfId="0" applyFont="1" applyAlignment="1">
      <alignment horizontal="center" vertical="center"/>
    </xf>
    <xf numFmtId="174" fontId="82" fillId="27" borderId="15" xfId="391" applyFont="1" applyFill="1" applyBorder="1" applyAlignment="1">
      <alignment horizontal="center" vertical="center"/>
    </xf>
    <xf numFmtId="43" fontId="82" fillId="27" borderId="15" xfId="391" applyNumberFormat="1" applyFont="1" applyFill="1" applyBorder="1" applyAlignment="1">
      <alignment horizontal="center" vertical="center"/>
    </xf>
    <xf numFmtId="10" fontId="82" fillId="27" borderId="13" xfId="391" applyNumberFormat="1" applyFont="1" applyFill="1" applyBorder="1" applyAlignment="1">
      <alignment horizontal="center" vertical="center"/>
    </xf>
    <xf numFmtId="174" fontId="82" fillId="27" borderId="23" xfId="0" applyFont="1" applyFill="1" applyBorder="1" applyAlignment="1">
      <alignment horizontal="center" vertical="center"/>
    </xf>
    <xf numFmtId="49" fontId="66" fillId="27" borderId="20" xfId="394" applyNumberFormat="1" applyFont="1" applyFill="1" applyBorder="1" applyAlignment="1">
      <alignment horizontal="center"/>
    </xf>
    <xf numFmtId="49" fontId="66" fillId="27" borderId="18" xfId="394" applyNumberFormat="1" applyFont="1" applyFill="1" applyBorder="1" applyAlignment="1">
      <alignment horizontal="center"/>
    </xf>
    <xf numFmtId="174" fontId="66" fillId="27" borderId="15" xfId="0" applyNumberFormat="1" applyFont="1" applyFill="1" applyBorder="1" applyAlignment="1">
      <alignment horizontal="center" vertical="center" wrapText="1"/>
    </xf>
    <xf numFmtId="194" fontId="47" fillId="0" borderId="0" xfId="742" applyNumberFormat="1"/>
    <xf numFmtId="181" fontId="110" fillId="27" borderId="15" xfId="0" applyNumberFormat="1" applyFont="1" applyFill="1" applyBorder="1" applyAlignment="1">
      <alignment horizontal="center" vertical="center" wrapText="1"/>
    </xf>
    <xf numFmtId="174" fontId="0" fillId="0" borderId="0" xfId="0" applyAlignment="1">
      <alignment horizontal="center" wrapText="1"/>
    </xf>
    <xf numFmtId="167" fontId="83" fillId="27" borderId="21" xfId="394" applyNumberFormat="1" applyFont="1" applyFill="1" applyBorder="1" applyAlignment="1">
      <alignment horizontal="center" vertical="center"/>
    </xf>
    <xf numFmtId="171" fontId="82" fillId="27" borderId="12" xfId="397" applyNumberFormat="1" applyFont="1" applyFill="1" applyBorder="1" applyAlignment="1">
      <alignment horizontal="center" vertical="center"/>
    </xf>
    <xf numFmtId="167" fontId="83" fillId="27" borderId="12" xfId="394" applyNumberFormat="1" applyFont="1" applyFill="1" applyBorder="1" applyAlignment="1">
      <alignment horizontal="center" vertical="center"/>
    </xf>
    <xf numFmtId="171" fontId="82" fillId="27" borderId="12" xfId="394" applyNumberFormat="1" applyFont="1" applyFill="1" applyBorder="1" applyAlignment="1">
      <alignment horizontal="center" vertical="center"/>
    </xf>
    <xf numFmtId="167" fontId="83" fillId="27" borderId="20" xfId="394" applyNumberFormat="1" applyFont="1" applyFill="1" applyBorder="1" applyAlignment="1">
      <alignment horizontal="center" vertical="center"/>
    </xf>
    <xf numFmtId="171" fontId="82" fillId="27" borderId="0" xfId="397" applyNumberFormat="1" applyFont="1" applyFill="1" applyBorder="1" applyAlignment="1">
      <alignment horizontal="center" vertical="center"/>
    </xf>
    <xf numFmtId="167" fontId="83" fillId="27" borderId="0" xfId="394" applyNumberFormat="1" applyFont="1" applyFill="1" applyBorder="1" applyAlignment="1">
      <alignment horizontal="center" vertical="center"/>
    </xf>
    <xf numFmtId="171" fontId="82" fillId="27" borderId="0" xfId="394" applyNumberFormat="1" applyFont="1" applyFill="1" applyBorder="1" applyAlignment="1">
      <alignment horizontal="center" vertical="center"/>
    </xf>
    <xf numFmtId="43" fontId="85" fillId="27" borderId="23" xfId="0" applyNumberFormat="1" applyFont="1" applyFill="1" applyBorder="1" applyAlignment="1">
      <alignment horizontal="center" vertical="center" wrapText="1"/>
    </xf>
    <xf numFmtId="43" fontId="85" fillId="27" borderId="16" xfId="0" applyNumberFormat="1" applyFont="1" applyFill="1" applyBorder="1" applyAlignment="1">
      <alignment horizontal="center" vertical="center" wrapText="1"/>
    </xf>
    <xf numFmtId="174" fontId="62" fillId="27" borderId="13" xfId="0" applyNumberFormat="1" applyFont="1" applyFill="1" applyBorder="1" applyAlignment="1">
      <alignment horizontal="center" vertical="center"/>
    </xf>
    <xf numFmtId="174" fontId="62" fillId="27" borderId="13" xfId="0" applyNumberFormat="1" applyFont="1" applyFill="1" applyBorder="1" applyAlignment="1">
      <alignment horizontal="center" vertical="center" wrapText="1"/>
    </xf>
    <xf numFmtId="174" fontId="62" fillId="27" borderId="19" xfId="0" applyNumberFormat="1" applyFont="1" applyFill="1" applyBorder="1" applyAlignment="1">
      <alignment horizontal="left" vertical="center"/>
    </xf>
    <xf numFmtId="43" fontId="62" fillId="35" borderId="23" xfId="323" applyFont="1" applyFill="1" applyBorder="1" applyAlignment="1">
      <alignment horizontal="center" vertical="center"/>
    </xf>
    <xf numFmtId="43" fontId="62" fillId="35" borderId="23" xfId="323" applyFont="1" applyFill="1" applyBorder="1" applyAlignment="1">
      <alignment horizontal="right" vertical="center"/>
    </xf>
    <xf numFmtId="43" fontId="62" fillId="35" borderId="16" xfId="323" applyFont="1" applyFill="1" applyBorder="1" applyAlignment="1">
      <alignment horizontal="right" vertical="center"/>
    </xf>
    <xf numFmtId="174" fontId="133" fillId="0" borderId="0" xfId="0" applyFont="1" applyAlignment="1">
      <alignment horizontal="center" vertical="center"/>
    </xf>
    <xf numFmtId="0" fontId="63" fillId="0" borderId="0" xfId="579" applyFont="1"/>
    <xf numFmtId="4" fontId="63" fillId="0" borderId="0" xfId="579" applyNumberFormat="1" applyFont="1"/>
    <xf numFmtId="43" fontId="63" fillId="0" borderId="0" xfId="323" applyFont="1"/>
    <xf numFmtId="43" fontId="63" fillId="0" borderId="0" xfId="579" applyNumberFormat="1" applyFont="1"/>
    <xf numFmtId="171" fontId="47" fillId="0" borderId="0" xfId="551" applyNumberFormat="1"/>
    <xf numFmtId="174" fontId="69" fillId="27" borderId="12" xfId="388" applyNumberFormat="1" applyFont="1" applyFill="1" applyBorder="1" applyAlignment="1">
      <alignment horizontal="center" vertical="center" wrapText="1"/>
    </xf>
    <xf numFmtId="3" fontId="69" fillId="27" borderId="13" xfId="323" applyNumberFormat="1" applyFont="1" applyFill="1" applyBorder="1" applyAlignment="1">
      <alignment horizontal="center" vertical="center"/>
    </xf>
    <xf numFmtId="3" fontId="69" fillId="27" borderId="15" xfId="323" applyNumberFormat="1" applyFont="1" applyFill="1" applyBorder="1" applyAlignment="1">
      <alignment horizontal="center" vertical="center"/>
    </xf>
    <xf numFmtId="38" fontId="69" fillId="27" borderId="13" xfId="323" applyNumberFormat="1" applyFont="1" applyFill="1" applyBorder="1" applyAlignment="1">
      <alignment horizontal="center" vertical="center"/>
    </xf>
    <xf numFmtId="182" fontId="69" fillId="0" borderId="0" xfId="1094" applyNumberFormat="1" applyFont="1" applyFill="1" applyBorder="1" applyAlignment="1">
      <alignment horizontal="center"/>
    </xf>
    <xf numFmtId="0" fontId="47" fillId="0" borderId="0" xfId="744"/>
    <xf numFmtId="0" fontId="134" fillId="0" borderId="0" xfId="744" applyFont="1" applyBorder="1" applyAlignment="1">
      <alignment horizontal="center" vertical="center"/>
    </xf>
    <xf numFmtId="0" fontId="47" fillId="0" borderId="0" xfId="744" applyAlignment="1">
      <alignment vertical="center"/>
    </xf>
    <xf numFmtId="0" fontId="69" fillId="0" borderId="13" xfId="744" applyFont="1" applyFill="1" applyBorder="1" applyAlignment="1">
      <alignment horizontal="center" vertical="center"/>
    </xf>
    <xf numFmtId="0" fontId="69" fillId="0" borderId="13" xfId="744" applyFont="1" applyFill="1" applyBorder="1" applyAlignment="1">
      <alignment horizontal="center" vertical="center" wrapText="1"/>
    </xf>
    <xf numFmtId="0" fontId="69" fillId="0" borderId="23" xfId="744" applyFont="1" applyFill="1" applyBorder="1" applyAlignment="1">
      <alignment horizontal="center" vertical="center" wrapText="1"/>
    </xf>
    <xf numFmtId="43" fontId="66" fillId="0" borderId="19" xfId="323" applyFont="1" applyFill="1" applyBorder="1"/>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85" fillId="0" borderId="16" xfId="0" applyNumberFormat="1" applyFont="1" applyFill="1" applyBorder="1" applyAlignment="1" applyProtection="1">
      <alignment horizontal="center" vertical="center" wrapText="1"/>
    </xf>
    <xf numFmtId="174" fontId="85" fillId="0" borderId="15" xfId="0" applyNumberFormat="1" applyFont="1" applyFill="1" applyBorder="1" applyAlignment="1" applyProtection="1">
      <alignment horizontal="center" vertical="center" wrapText="1"/>
    </xf>
    <xf numFmtId="174" fontId="74" fillId="27" borderId="0" xfId="0" applyNumberFormat="1" applyFont="1" applyFill="1" applyBorder="1"/>
    <xf numFmtId="174" fontId="85" fillId="0" borderId="23" xfId="0" applyNumberFormat="1" applyFont="1" applyFill="1" applyBorder="1" applyAlignment="1" applyProtection="1">
      <alignment horizontal="center" vertical="center" wrapText="1"/>
    </xf>
    <xf numFmtId="3" fontId="85" fillId="0" borderId="17" xfId="0" applyNumberFormat="1" applyFont="1" applyFill="1" applyBorder="1" applyAlignment="1" applyProtection="1">
      <alignment horizontal="center"/>
    </xf>
    <xf numFmtId="3" fontId="85" fillId="0" borderId="19" xfId="0" applyNumberFormat="1" applyFont="1" applyFill="1" applyBorder="1" applyAlignment="1" applyProtection="1">
      <alignment horizontal="center"/>
    </xf>
    <xf numFmtId="3" fontId="85" fillId="0" borderId="14" xfId="0" applyNumberFormat="1" applyFont="1" applyFill="1" applyBorder="1" applyAlignment="1" applyProtection="1">
      <alignment horizontal="center"/>
    </xf>
    <xf numFmtId="174" fontId="0" fillId="0" borderId="0" xfId="0" applyAlignment="1">
      <alignment vertical="center"/>
    </xf>
    <xf numFmtId="49" fontId="85" fillId="27" borderId="18" xfId="0" applyNumberFormat="1" applyFont="1" applyFill="1" applyBorder="1" applyAlignment="1">
      <alignment horizontal="center" vertical="center"/>
    </xf>
    <xf numFmtId="174" fontId="82" fillId="0" borderId="15" xfId="0" applyNumberFormat="1" applyFont="1" applyFill="1" applyBorder="1" applyAlignment="1" applyProtection="1">
      <alignment horizontal="center" vertical="center" wrapText="1"/>
    </xf>
    <xf numFmtId="174" fontId="82" fillId="0" borderId="23" xfId="0" applyNumberFormat="1" applyFont="1" applyFill="1" applyBorder="1" applyAlignment="1" applyProtection="1">
      <alignment horizontal="center" vertical="center"/>
    </xf>
    <xf numFmtId="174" fontId="82" fillId="0" borderId="16" xfId="0" applyNumberFormat="1" applyFont="1" applyFill="1" applyBorder="1" applyAlignment="1" applyProtection="1">
      <alignment horizontal="center" vertical="center" wrapText="1"/>
    </xf>
    <xf numFmtId="3" fontId="64" fillId="0" borderId="0" xfId="336" applyNumberFormat="1" applyFont="1" applyFill="1" applyBorder="1" applyAlignment="1">
      <alignment horizontal="center"/>
    </xf>
    <xf numFmtId="3" fontId="64" fillId="0" borderId="24" xfId="336" applyNumberFormat="1" applyFont="1" applyFill="1" applyBorder="1" applyAlignment="1">
      <alignment horizontal="center"/>
    </xf>
    <xf numFmtId="10" fontId="85" fillId="0" borderId="0" xfId="328" applyNumberFormat="1" applyFont="1" applyFill="1" applyBorder="1" applyAlignment="1">
      <alignment horizontal="center" vertical="center" wrapText="1"/>
    </xf>
    <xf numFmtId="10" fontId="85" fillId="0" borderId="24" xfId="551" applyNumberFormat="1" applyFont="1" applyFill="1" applyBorder="1" applyAlignment="1">
      <alignment horizontal="center" vertical="center" wrapText="1"/>
    </xf>
    <xf numFmtId="3" fontId="64" fillId="27" borderId="11" xfId="336" applyNumberFormat="1" applyFont="1" applyFill="1" applyBorder="1" applyAlignment="1">
      <alignment horizontal="center"/>
    </xf>
    <xf numFmtId="3" fontId="64" fillId="27" borderId="22" xfId="336" applyNumberFormat="1" applyFont="1" applyFill="1" applyBorder="1" applyAlignment="1">
      <alignment horizontal="center"/>
    </xf>
    <xf numFmtId="10" fontId="85" fillId="0" borderId="22" xfId="551" applyNumberFormat="1" applyFont="1" applyFill="1" applyBorder="1" applyAlignment="1">
      <alignment horizontal="center" vertical="center" wrapText="1"/>
    </xf>
    <xf numFmtId="174" fontId="82" fillId="27" borderId="11" xfId="0" applyNumberFormat="1" applyFont="1" applyFill="1" applyBorder="1" applyAlignment="1">
      <alignment horizontal="center" vertical="center" wrapText="1"/>
    </xf>
    <xf numFmtId="174" fontId="67" fillId="0" borderId="0" xfId="388" applyFont="1"/>
    <xf numFmtId="43" fontId="82" fillId="27" borderId="23" xfId="391" applyNumberFormat="1" applyFont="1" applyFill="1" applyBorder="1"/>
    <xf numFmtId="171" fontId="82" fillId="27" borderId="13" xfId="391" applyNumberFormat="1" applyFont="1" applyFill="1" applyBorder="1" applyAlignment="1">
      <alignment horizontal="center"/>
    </xf>
    <xf numFmtId="43" fontId="69" fillId="27" borderId="14" xfId="0" applyNumberFormat="1" applyFont="1" applyFill="1" applyBorder="1" applyAlignment="1">
      <alignment horizontal="center" vertical="center"/>
    </xf>
    <xf numFmtId="43" fontId="66" fillId="27" borderId="23" xfId="394" applyNumberFormat="1" applyFont="1" applyFill="1" applyBorder="1" applyAlignment="1">
      <alignment horizontal="right" vertical="center"/>
    </xf>
    <xf numFmtId="174" fontId="0" fillId="0" borderId="0" xfId="0" applyFill="1" applyBorder="1" applyAlignment="1">
      <alignment vertical="center"/>
    </xf>
    <xf numFmtId="0" fontId="3" fillId="27" borderId="13" xfId="1101" applyFont="1" applyFill="1" applyBorder="1" applyAlignment="1">
      <alignment vertical="center"/>
    </xf>
    <xf numFmtId="0" fontId="62" fillId="27" borderId="13" xfId="579" applyFont="1" applyFill="1" applyBorder="1" applyAlignment="1">
      <alignment horizontal="center"/>
    </xf>
    <xf numFmtId="43" fontId="62" fillId="27" borderId="13" xfId="579" applyNumberFormat="1" applyFont="1" applyFill="1" applyBorder="1" applyAlignment="1">
      <alignment horizontal="center"/>
    </xf>
    <xf numFmtId="43" fontId="81" fillId="27" borderId="0" xfId="323" applyFont="1" applyFill="1" applyBorder="1"/>
    <xf numFmtId="43" fontId="81" fillId="27" borderId="0" xfId="323" applyFont="1" applyFill="1" applyBorder="1" applyAlignment="1">
      <alignment horizontal="right"/>
    </xf>
    <xf numFmtId="0" fontId="3" fillId="27" borderId="19" xfId="1101" applyFont="1" applyFill="1" applyBorder="1" applyAlignment="1">
      <alignment vertical="center"/>
    </xf>
    <xf numFmtId="0" fontId="62" fillId="27" borderId="23" xfId="579" applyFont="1" applyFill="1" applyBorder="1" applyAlignment="1">
      <alignment horizontal="center"/>
    </xf>
    <xf numFmtId="43" fontId="62" fillId="27" borderId="23" xfId="579" applyNumberFormat="1" applyFont="1" applyFill="1" applyBorder="1" applyAlignment="1">
      <alignment horizontal="center"/>
    </xf>
    <xf numFmtId="43" fontId="62" fillId="27" borderId="19" xfId="323" applyFont="1" applyFill="1" applyBorder="1"/>
    <xf numFmtId="0" fontId="47" fillId="0" borderId="0" xfId="579" applyBorder="1"/>
    <xf numFmtId="174" fontId="67" fillId="0" borderId="0" xfId="0" applyFont="1"/>
    <xf numFmtId="174" fontId="82" fillId="27" borderId="15" xfId="0" applyNumberFormat="1" applyFont="1" applyFill="1" applyBorder="1" applyAlignment="1">
      <alignment horizontal="center" vertical="center" wrapText="1"/>
    </xf>
    <xf numFmtId="174" fontId="82" fillId="27" borderId="16" xfId="0" applyNumberFormat="1" applyFont="1" applyFill="1" applyBorder="1" applyAlignment="1">
      <alignment horizontal="center" vertical="center" wrapText="1"/>
    </xf>
    <xf numFmtId="3" fontId="83" fillId="27" borderId="20" xfId="323" applyNumberFormat="1" applyFont="1" applyFill="1" applyBorder="1" applyAlignment="1">
      <alignment horizontal="center"/>
    </xf>
    <xf numFmtId="3" fontId="83" fillId="27" borderId="0" xfId="323" applyNumberFormat="1" applyFont="1" applyFill="1" applyBorder="1" applyAlignment="1">
      <alignment horizontal="center"/>
    </xf>
    <xf numFmtId="3" fontId="82" fillId="27" borderId="0" xfId="323" applyNumberFormat="1" applyFont="1" applyFill="1" applyBorder="1" applyAlignment="1">
      <alignment horizontal="center"/>
    </xf>
    <xf numFmtId="171" fontId="82" fillId="27" borderId="0" xfId="0" applyNumberFormat="1" applyFont="1" applyFill="1" applyBorder="1" applyAlignment="1">
      <alignment horizontal="center"/>
    </xf>
    <xf numFmtId="171" fontId="82" fillId="27" borderId="24" xfId="0" applyNumberFormat="1" applyFont="1" applyFill="1" applyBorder="1" applyAlignment="1">
      <alignment horizontal="center"/>
    </xf>
    <xf numFmtId="3" fontId="83" fillId="27" borderId="20" xfId="323" applyNumberFormat="1" applyFont="1" applyFill="1" applyBorder="1" applyAlignment="1">
      <alignment horizontal="center" vertical="center"/>
    </xf>
    <xf numFmtId="3" fontId="83" fillId="27" borderId="0" xfId="323" applyNumberFormat="1" applyFont="1" applyFill="1" applyBorder="1" applyAlignment="1">
      <alignment horizontal="center" vertical="center"/>
    </xf>
    <xf numFmtId="3" fontId="82" fillId="27" borderId="23" xfId="0" applyNumberFormat="1" applyFont="1" applyFill="1" applyBorder="1" applyAlignment="1">
      <alignment horizontal="center" vertical="center"/>
    </xf>
    <xf numFmtId="3" fontId="82" fillId="27" borderId="16" xfId="0" applyNumberFormat="1" applyFont="1" applyFill="1" applyBorder="1" applyAlignment="1">
      <alignment horizontal="center" vertical="center"/>
    </xf>
    <xf numFmtId="174" fontId="110" fillId="27" borderId="0" xfId="0" applyFont="1" applyFill="1" applyBorder="1" applyAlignment="1">
      <alignment horizontal="left" vertical="center" wrapText="1"/>
    </xf>
    <xf numFmtId="49" fontId="69" fillId="27" borderId="17" xfId="0" applyNumberFormat="1" applyFont="1" applyFill="1" applyBorder="1" applyAlignment="1">
      <alignment horizontal="center" vertical="center"/>
    </xf>
    <xf numFmtId="167" fontId="53" fillId="27" borderId="21" xfId="323" applyNumberFormat="1" applyFont="1" applyFill="1" applyBorder="1" applyAlignment="1">
      <alignment vertical="center"/>
    </xf>
    <xf numFmtId="167" fontId="53" fillId="27" borderId="12" xfId="323" applyNumberFormat="1" applyFont="1" applyFill="1" applyBorder="1" applyAlignment="1">
      <alignment vertical="center"/>
    </xf>
    <xf numFmtId="10" fontId="69" fillId="27" borderId="12" xfId="0" applyNumberFormat="1" applyFont="1" applyFill="1" applyBorder="1" applyAlignment="1">
      <alignment vertical="center"/>
    </xf>
    <xf numFmtId="10" fontId="69" fillId="27" borderId="25" xfId="0" applyNumberFormat="1" applyFont="1" applyFill="1" applyBorder="1" applyAlignment="1">
      <alignment vertical="center"/>
    </xf>
    <xf numFmtId="10" fontId="69" fillId="27" borderId="11" xfId="0" applyNumberFormat="1" applyFont="1" applyFill="1" applyBorder="1" applyAlignment="1">
      <alignment vertical="center"/>
    </xf>
    <xf numFmtId="10" fontId="69" fillId="27" borderId="22" xfId="0" applyNumberFormat="1" applyFont="1" applyFill="1" applyBorder="1" applyAlignment="1">
      <alignment vertical="center"/>
    </xf>
    <xf numFmtId="180" fontId="0" fillId="0" borderId="0" xfId="0" applyNumberFormat="1" applyFont="1" applyFill="1" applyBorder="1"/>
    <xf numFmtId="180" fontId="0" fillId="0" borderId="0" xfId="0" applyNumberFormat="1" applyFont="1"/>
    <xf numFmtId="174" fontId="67" fillId="0" borderId="0" xfId="0" applyNumberFormat="1" applyFont="1" applyAlignment="1">
      <alignment vertical="center"/>
    </xf>
    <xf numFmtId="174" fontId="67" fillId="0" borderId="0" xfId="0" applyFont="1" applyAlignment="1">
      <alignment vertical="center"/>
    </xf>
    <xf numFmtId="174" fontId="74" fillId="0" borderId="0" xfId="0" applyFont="1"/>
    <xf numFmtId="171" fontId="67" fillId="0" borderId="0" xfId="551" applyNumberFormat="1" applyFont="1"/>
    <xf numFmtId="10" fontId="74" fillId="0" borderId="0" xfId="551" applyNumberFormat="1" applyFont="1"/>
    <xf numFmtId="0" fontId="66" fillId="27" borderId="13" xfId="742" applyFont="1" applyFill="1" applyBorder="1" applyAlignment="1">
      <alignment horizontal="center"/>
    </xf>
    <xf numFmtId="43" fontId="55" fillId="27" borderId="0" xfId="336" applyNumberFormat="1" applyFont="1" applyFill="1" applyBorder="1"/>
    <xf numFmtId="180" fontId="47" fillId="0" borderId="0" xfId="446" applyNumberFormat="1" applyFont="1"/>
    <xf numFmtId="174" fontId="69" fillId="0" borderId="13" xfId="0" applyFont="1" applyFill="1" applyBorder="1" applyAlignment="1">
      <alignment horizontal="center" vertical="center" wrapText="1"/>
    </xf>
    <xf numFmtId="167" fontId="69" fillId="0" borderId="19" xfId="323" applyNumberFormat="1" applyFont="1" applyFill="1" applyBorder="1"/>
    <xf numFmtId="167" fontId="68" fillId="27" borderId="19" xfId="0" applyNumberFormat="1" applyFont="1" applyFill="1" applyBorder="1" applyAlignment="1">
      <alignment horizontal="right" wrapText="1"/>
    </xf>
    <xf numFmtId="167" fontId="68" fillId="27" borderId="13" xfId="0" applyNumberFormat="1" applyFont="1" applyFill="1" applyBorder="1" applyAlignment="1">
      <alignment horizontal="right" wrapText="1"/>
    </xf>
    <xf numFmtId="167" fontId="69" fillId="27" borderId="17" xfId="0" applyNumberFormat="1" applyFont="1" applyFill="1" applyBorder="1" applyAlignment="1">
      <alignment horizontal="center" vertical="center" wrapText="1"/>
    </xf>
    <xf numFmtId="167" fontId="69" fillId="27" borderId="19" xfId="0" applyNumberFormat="1" applyFont="1" applyFill="1" applyBorder="1" applyAlignment="1">
      <alignment horizontal="center" vertical="center" wrapText="1"/>
    </xf>
    <xf numFmtId="167" fontId="69" fillId="27" borderId="14" xfId="323" applyNumberFormat="1" applyFont="1" applyFill="1" applyBorder="1"/>
    <xf numFmtId="167" fontId="69" fillId="27" borderId="17" xfId="323" applyNumberFormat="1" applyFont="1" applyFill="1" applyBorder="1" applyAlignment="1">
      <alignment vertical="center"/>
    </xf>
    <xf numFmtId="167" fontId="69" fillId="27" borderId="19" xfId="323" applyNumberFormat="1" applyFont="1" applyFill="1" applyBorder="1" applyAlignment="1">
      <alignment vertical="center"/>
    </xf>
    <xf numFmtId="167" fontId="69" fillId="27" borderId="14" xfId="323" applyNumberFormat="1" applyFont="1" applyFill="1" applyBorder="1" applyAlignment="1">
      <alignment vertical="center"/>
    </xf>
    <xf numFmtId="174" fontId="69" fillId="27" borderId="16" xfId="388" applyFont="1" applyFill="1" applyBorder="1" applyAlignment="1">
      <alignment horizontal="center" vertical="center" wrapText="1"/>
    </xf>
    <xf numFmtId="0" fontId="47" fillId="0" borderId="0" xfId="744" applyFill="1" applyBorder="1"/>
    <xf numFmtId="0" fontId="47" fillId="0" borderId="0" xfId="744" applyBorder="1"/>
    <xf numFmtId="174" fontId="74" fillId="0" borderId="0" xfId="0" applyNumberFormat="1" applyFont="1" applyBorder="1" applyAlignment="1">
      <alignment horizontal="left"/>
    </xf>
    <xf numFmtId="0" fontId="0" fillId="0" borderId="0" xfId="0" applyNumberFormat="1"/>
    <xf numFmtId="174" fontId="88" fillId="27" borderId="0" xfId="0" applyFont="1" applyFill="1"/>
    <xf numFmtId="174" fontId="88" fillId="0" borderId="0" xfId="0" applyFont="1"/>
    <xf numFmtId="1" fontId="88" fillId="27" borderId="0" xfId="0" applyNumberFormat="1" applyFont="1" applyFill="1" applyAlignment="1">
      <alignment vertical="center"/>
    </xf>
    <xf numFmtId="2" fontId="88" fillId="27" borderId="0" xfId="0" applyNumberFormat="1" applyFont="1" applyFill="1" applyAlignment="1">
      <alignment vertical="center"/>
    </xf>
    <xf numFmtId="2" fontId="0" fillId="27" borderId="0" xfId="551" applyNumberFormat="1" applyFont="1" applyFill="1" applyAlignment="1">
      <alignment vertical="center"/>
    </xf>
    <xf numFmtId="2" fontId="55" fillId="0" borderId="0" xfId="551" applyNumberFormat="1" applyFont="1" applyFill="1" applyBorder="1" applyAlignment="1" applyProtection="1"/>
    <xf numFmtId="2" fontId="55" fillId="0" borderId="0" xfId="0" applyNumberFormat="1" applyFont="1" applyFill="1" applyBorder="1" applyAlignment="1" applyProtection="1"/>
    <xf numFmtId="174" fontId="67" fillId="0" borderId="0" xfId="0" applyNumberFormat="1" applyFont="1" applyBorder="1" applyAlignment="1">
      <alignment vertical="center"/>
    </xf>
    <xf numFmtId="3" fontId="82" fillId="27" borderId="19" xfId="328" applyNumberFormat="1" applyFont="1" applyFill="1" applyBorder="1" applyAlignment="1">
      <alignment vertical="center"/>
    </xf>
    <xf numFmtId="10" fontId="64" fillId="0" borderId="0" xfId="0" applyNumberFormat="1" applyFont="1" applyFill="1" applyBorder="1" applyAlignment="1" applyProtection="1"/>
    <xf numFmtId="2" fontId="64" fillId="0" borderId="0" xfId="0" applyNumberFormat="1" applyFont="1" applyFill="1" applyBorder="1" applyAlignment="1" applyProtection="1"/>
    <xf numFmtId="174" fontId="74" fillId="0" borderId="0" xfId="0" applyNumberFormat="1" applyFont="1" applyBorder="1"/>
    <xf numFmtId="174" fontId="74" fillId="0" borderId="0" xfId="0" applyFont="1" applyAlignment="1">
      <alignment horizontal="justify" vertical="justify" wrapText="1"/>
    </xf>
    <xf numFmtId="174" fontId="74" fillId="0" borderId="0" xfId="0" applyNumberFormat="1" applyFont="1"/>
    <xf numFmtId="49" fontId="85" fillId="0" borderId="20" xfId="0" applyNumberFormat="1" applyFont="1" applyFill="1" applyBorder="1" applyAlignment="1">
      <alignment horizontal="center"/>
    </xf>
    <xf numFmtId="167" fontId="64" fillId="0" borderId="19" xfId="323" applyNumberFormat="1" applyFont="1" applyFill="1" applyBorder="1" applyAlignment="1">
      <alignment horizontal="center" vertical="center"/>
    </xf>
    <xf numFmtId="174" fontId="85" fillId="0" borderId="13" xfId="0" applyNumberFormat="1" applyFont="1" applyFill="1" applyBorder="1" applyAlignment="1">
      <alignment horizontal="center"/>
    </xf>
    <xf numFmtId="167" fontId="64" fillId="27" borderId="19" xfId="323" applyNumberFormat="1" applyFont="1" applyFill="1" applyBorder="1" applyAlignment="1">
      <alignment horizontal="center" vertical="center"/>
    </xf>
    <xf numFmtId="171" fontId="100" fillId="0" borderId="0" xfId="551" applyNumberFormat="1" applyFont="1"/>
    <xf numFmtId="167" fontId="69" fillId="27" borderId="17" xfId="0" applyNumberFormat="1" applyFont="1" applyFill="1" applyBorder="1" applyAlignment="1">
      <alignment horizontal="center" vertical="center"/>
    </xf>
    <xf numFmtId="167" fontId="69" fillId="27" borderId="13" xfId="323" applyNumberFormat="1" applyFont="1" applyFill="1" applyBorder="1" applyAlignment="1">
      <alignment horizontal="center" vertical="center"/>
    </xf>
    <xf numFmtId="171" fontId="0" fillId="0" borderId="0" xfId="551" applyNumberFormat="1" applyFont="1" applyFill="1" applyBorder="1" applyAlignment="1"/>
    <xf numFmtId="167" fontId="61" fillId="27" borderId="0" xfId="323" applyNumberFormat="1" applyFont="1" applyFill="1" applyBorder="1" applyAlignment="1">
      <alignment horizont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69" fillId="0" borderId="17" xfId="0" applyNumberFormat="1" applyFont="1" applyFill="1" applyBorder="1" applyAlignment="1">
      <alignment horizontal="center" vertical="center" wrapText="1"/>
    </xf>
    <xf numFmtId="171" fontId="73" fillId="0" borderId="17" xfId="551" applyNumberFormat="1" applyFont="1" applyBorder="1"/>
    <xf numFmtId="174" fontId="85" fillId="0" borderId="25" xfId="0" applyNumberFormat="1" applyFont="1" applyFill="1" applyBorder="1" applyAlignment="1" applyProtection="1">
      <alignment horizontal="center" vertical="center" wrapText="1"/>
    </xf>
    <xf numFmtId="171" fontId="73" fillId="0" borderId="19" xfId="551" applyNumberFormat="1" applyFont="1" applyBorder="1"/>
    <xf numFmtId="171" fontId="73" fillId="0" borderId="14" xfId="551" applyNumberFormat="1" applyFont="1" applyBorder="1"/>
    <xf numFmtId="171" fontId="135" fillId="0" borderId="0" xfId="551" applyNumberFormat="1" applyFont="1"/>
    <xf numFmtId="174" fontId="78" fillId="0" borderId="0" xfId="0" applyNumberFormat="1" applyFont="1" applyFill="1" applyBorder="1" applyAlignment="1">
      <alignment horizontal="center" vertical="center" wrapText="1"/>
    </xf>
    <xf numFmtId="174" fontId="135" fillId="0" borderId="0" xfId="0" applyFont="1"/>
    <xf numFmtId="3" fontId="136" fillId="0" borderId="0" xfId="336" applyNumberFormat="1" applyFont="1" applyFill="1" applyBorder="1" applyAlignment="1"/>
    <xf numFmtId="171" fontId="135" fillId="0" borderId="0" xfId="0" applyNumberFormat="1" applyFont="1"/>
    <xf numFmtId="174" fontId="135" fillId="0" borderId="0" xfId="0" applyNumberFormat="1" applyFont="1" applyBorder="1" applyAlignment="1"/>
    <xf numFmtId="174" fontId="135" fillId="0" borderId="0" xfId="0" applyNumberFormat="1" applyFont="1" applyBorder="1" applyAlignment="1">
      <alignment horizontal="left"/>
    </xf>
    <xf numFmtId="174" fontId="135" fillId="0" borderId="0" xfId="0" applyFont="1" applyAlignment="1">
      <alignment horizontal="justify" vertical="justify" wrapText="1"/>
    </xf>
    <xf numFmtId="174" fontId="135" fillId="0" borderId="0" xfId="0" applyNumberFormat="1" applyFont="1"/>
    <xf numFmtId="174" fontId="82" fillId="0" borderId="13" xfId="347" applyNumberFormat="1" applyFont="1" applyFill="1" applyBorder="1" applyAlignment="1">
      <alignment horizontal="center" vertical="center"/>
    </xf>
    <xf numFmtId="174" fontId="82" fillId="0" borderId="23" xfId="347" applyFont="1" applyFill="1" applyBorder="1" applyAlignment="1">
      <alignment horizontal="center" vertical="center" wrapText="1"/>
    </xf>
    <xf numFmtId="174" fontId="82" fillId="0" borderId="16" xfId="347" applyFont="1" applyFill="1" applyBorder="1" applyAlignment="1">
      <alignment horizontal="center" vertical="center" wrapText="1"/>
    </xf>
    <xf numFmtId="17" fontId="82" fillId="0" borderId="19" xfId="394" applyNumberFormat="1" applyFont="1" applyFill="1" applyBorder="1" applyAlignment="1">
      <alignment horizontal="center"/>
    </xf>
    <xf numFmtId="167" fontId="0" fillId="0" borderId="0" xfId="0" applyNumberFormat="1" applyAlignment="1">
      <alignment horizontal="left" indent="1"/>
    </xf>
    <xf numFmtId="49" fontId="82" fillId="27" borderId="13" xfId="0" applyNumberFormat="1" applyFont="1" applyFill="1" applyBorder="1" applyAlignment="1">
      <alignment horizontal="center" vertical="center"/>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174" fontId="82" fillId="27" borderId="13" xfId="0" applyFont="1" applyFill="1" applyBorder="1" applyAlignment="1">
      <alignment horizontal="center"/>
    </xf>
    <xf numFmtId="10" fontId="66" fillId="0" borderId="17" xfId="551" applyNumberFormat="1" applyFont="1" applyFill="1" applyBorder="1"/>
    <xf numFmtId="10" fontId="66" fillId="0" borderId="19" xfId="551" applyNumberFormat="1" applyFont="1" applyFill="1" applyBorder="1"/>
    <xf numFmtId="174" fontId="60" fillId="27" borderId="0" xfId="0" applyFont="1" applyFill="1" applyBorder="1" applyAlignment="1">
      <alignment horizontal="center" vertical="center" wrapText="1"/>
    </xf>
    <xf numFmtId="43" fontId="53" fillId="27" borderId="0" xfId="323" applyNumberFormat="1" applyFont="1" applyFill="1" applyBorder="1" applyAlignment="1">
      <alignment horizontal="center"/>
    </xf>
    <xf numFmtId="10" fontId="69" fillId="27" borderId="24" xfId="446" applyNumberFormat="1" applyFont="1" applyFill="1" applyBorder="1" applyAlignment="1">
      <alignment horizontal="center"/>
    </xf>
    <xf numFmtId="180" fontId="0" fillId="0" borderId="0" xfId="551" applyNumberFormat="1" applyFont="1"/>
    <xf numFmtId="0" fontId="66" fillId="27" borderId="0" xfId="793" applyFont="1" applyFill="1" applyBorder="1" applyAlignment="1">
      <alignment horizontal="center"/>
    </xf>
    <xf numFmtId="3" fontId="53" fillId="0" borderId="21" xfId="0" applyNumberFormat="1" applyFont="1" applyFill="1" applyBorder="1" applyAlignment="1" applyProtection="1">
      <alignment horizontal="center"/>
    </xf>
    <xf numFmtId="3" fontId="53" fillId="0" borderId="12" xfId="0" applyNumberFormat="1" applyFont="1" applyFill="1" applyBorder="1" applyAlignment="1" applyProtection="1">
      <alignment horizontal="center"/>
    </xf>
    <xf numFmtId="3" fontId="69" fillId="0" borderId="17" xfId="0" applyNumberFormat="1" applyFont="1" applyFill="1" applyBorder="1" applyAlignment="1" applyProtection="1">
      <alignment horizontal="center"/>
    </xf>
    <xf numFmtId="175" fontId="69" fillId="0" borderId="25" xfId="0" applyNumberFormat="1" applyFont="1" applyFill="1" applyBorder="1" applyAlignment="1" applyProtection="1">
      <alignment horizontal="center"/>
    </xf>
    <xf numFmtId="3" fontId="53" fillId="0" borderId="20" xfId="0" applyNumberFormat="1" applyFont="1" applyFill="1" applyBorder="1" applyAlignment="1" applyProtection="1">
      <alignment horizontal="center"/>
    </xf>
    <xf numFmtId="3" fontId="53" fillId="0" borderId="0" xfId="0" applyNumberFormat="1" applyFont="1" applyFill="1" applyBorder="1" applyAlignment="1" applyProtection="1">
      <alignment horizontal="center"/>
    </xf>
    <xf numFmtId="3" fontId="69" fillId="0" borderId="19" xfId="0" applyNumberFormat="1" applyFont="1" applyFill="1" applyBorder="1" applyAlignment="1" applyProtection="1">
      <alignment horizontal="center"/>
    </xf>
    <xf numFmtId="175" fontId="69" fillId="0" borderId="24" xfId="0" applyNumberFormat="1" applyFont="1" applyFill="1" applyBorder="1" applyAlignment="1" applyProtection="1">
      <alignment horizontal="center"/>
    </xf>
    <xf numFmtId="3" fontId="55" fillId="27" borderId="0" xfId="0" applyNumberFormat="1" applyFont="1" applyFill="1" applyBorder="1" applyAlignment="1" applyProtection="1">
      <alignment horizontal="center"/>
    </xf>
    <xf numFmtId="3" fontId="85" fillId="0" borderId="15" xfId="0" applyNumberFormat="1" applyFont="1" applyFill="1" applyBorder="1" applyAlignment="1" applyProtection="1">
      <alignment vertical="center"/>
    </xf>
    <xf numFmtId="167" fontId="73" fillId="27" borderId="15" xfId="323" applyNumberFormat="1" applyFont="1" applyFill="1" applyBorder="1" applyAlignment="1">
      <alignment vertical="center"/>
    </xf>
    <xf numFmtId="174" fontId="73" fillId="27" borderId="23" xfId="0" applyNumberFormat="1" applyFont="1" applyFill="1" applyBorder="1" applyAlignment="1">
      <alignment vertical="center"/>
    </xf>
    <xf numFmtId="167" fontId="73" fillId="27" borderId="23" xfId="323" applyNumberFormat="1" applyFont="1" applyFill="1" applyBorder="1" applyAlignment="1">
      <alignment vertical="center"/>
    </xf>
    <xf numFmtId="9" fontId="73" fillId="0" borderId="14" xfId="551" applyFont="1" applyBorder="1" applyAlignment="1">
      <alignment vertical="center"/>
    </xf>
    <xf numFmtId="174" fontId="0" fillId="27" borderId="0" xfId="0" applyNumberFormat="1" applyFill="1" applyAlignment="1">
      <alignment vertical="center"/>
    </xf>
    <xf numFmtId="174" fontId="52" fillId="27" borderId="13" xfId="0" applyNumberFormat="1" applyFont="1" applyFill="1" applyBorder="1" applyAlignment="1">
      <alignment horizontal="center" vertical="center" wrapText="1"/>
    </xf>
    <xf numFmtId="3" fontId="83" fillId="27" borderId="0" xfId="328" applyNumberFormat="1" applyFont="1" applyFill="1" applyBorder="1" applyAlignment="1">
      <alignment horizontal="center"/>
    </xf>
    <xf numFmtId="3" fontId="82" fillId="27" borderId="0" xfId="328" applyNumberFormat="1" applyFont="1" applyFill="1" applyBorder="1" applyAlignment="1">
      <alignment horizontal="center"/>
    </xf>
    <xf numFmtId="3" fontId="82" fillId="27" borderId="19" xfId="328" applyNumberFormat="1" applyFont="1" applyFill="1" applyBorder="1" applyAlignment="1">
      <alignment horizontal="center"/>
    </xf>
    <xf numFmtId="2" fontId="82" fillId="27" borderId="24" xfId="551" applyNumberFormat="1" applyFont="1" applyFill="1" applyBorder="1" applyAlignment="1">
      <alignment horizontal="center"/>
    </xf>
    <xf numFmtId="17" fontId="85" fillId="0" borderId="19" xfId="336" applyNumberFormat="1" applyFont="1" applyFill="1" applyBorder="1" applyAlignment="1">
      <alignment horizontal="center" vertical="center"/>
    </xf>
    <xf numFmtId="3" fontId="64" fillId="27" borderId="0" xfId="328" applyNumberFormat="1" applyFont="1" applyFill="1" applyBorder="1" applyAlignment="1">
      <alignment horizontal="center" vertical="center"/>
    </xf>
    <xf numFmtId="3" fontId="64" fillId="0" borderId="0" xfId="328" applyNumberFormat="1" applyFont="1" applyFill="1" applyBorder="1" applyAlignment="1">
      <alignment horizontal="center" vertical="center"/>
    </xf>
    <xf numFmtId="17" fontId="85" fillId="0" borderId="14" xfId="336" applyNumberFormat="1" applyFont="1" applyFill="1" applyBorder="1" applyAlignment="1">
      <alignment horizontal="center" vertical="center"/>
    </xf>
    <xf numFmtId="174" fontId="69" fillId="27" borderId="17" xfId="388" applyNumberFormat="1" applyFont="1" applyFill="1" applyBorder="1" applyAlignment="1">
      <alignment horizontal="center" vertical="center"/>
    </xf>
    <xf numFmtId="174" fontId="69" fillId="27" borderId="17" xfId="388" applyNumberFormat="1" applyFont="1" applyFill="1" applyBorder="1" applyAlignment="1">
      <alignment horizontal="center" vertical="center" wrapText="1"/>
    </xf>
    <xf numFmtId="171" fontId="69" fillId="27" borderId="17" xfId="388" applyNumberFormat="1" applyFont="1" applyFill="1" applyBorder="1" applyAlignment="1">
      <alignment horizontal="center" vertical="center"/>
    </xf>
    <xf numFmtId="171" fontId="69" fillId="27" borderId="19" xfId="388" applyNumberFormat="1" applyFont="1" applyFill="1" applyBorder="1" applyAlignment="1">
      <alignment horizontal="center" vertical="center"/>
    </xf>
    <xf numFmtId="171" fontId="69" fillId="27" borderId="14" xfId="388" applyNumberFormat="1" applyFont="1" applyFill="1" applyBorder="1" applyAlignment="1">
      <alignment horizontal="center" vertical="center"/>
    </xf>
    <xf numFmtId="0" fontId="69" fillId="27" borderId="17" xfId="388" applyNumberFormat="1" applyFont="1" applyFill="1" applyBorder="1" applyAlignment="1">
      <alignment horizontal="center" vertical="center"/>
    </xf>
    <xf numFmtId="3" fontId="64" fillId="27" borderId="11" xfId="328" applyNumberFormat="1" applyFont="1" applyFill="1" applyBorder="1" applyAlignment="1">
      <alignment horizontal="center" vertical="center"/>
    </xf>
    <xf numFmtId="167" fontId="83" fillId="27" borderId="0" xfId="323" applyNumberFormat="1" applyFont="1" applyFill="1" applyBorder="1" applyAlignment="1"/>
    <xf numFmtId="10" fontId="82" fillId="27" borderId="24" xfId="0" applyNumberFormat="1" applyFont="1" applyFill="1" applyBorder="1" applyAlignment="1"/>
    <xf numFmtId="40" fontId="47" fillId="0" borderId="0" xfId="742" applyNumberFormat="1"/>
    <xf numFmtId="43" fontId="47" fillId="0" borderId="0" xfId="744" applyNumberFormat="1" applyAlignment="1">
      <alignment vertical="center"/>
    </xf>
    <xf numFmtId="0" fontId="0" fillId="0" borderId="0" xfId="744" applyFont="1"/>
    <xf numFmtId="43" fontId="47" fillId="0" borderId="0" xfId="742" applyNumberFormat="1"/>
    <xf numFmtId="10" fontId="47" fillId="0" borderId="0" xfId="743" applyNumberFormat="1"/>
    <xf numFmtId="43" fontId="141" fillId="0" borderId="0" xfId="673" applyFont="1" applyBorder="1" applyAlignment="1" applyProtection="1">
      <alignment horizontal="right" vertical="center"/>
      <protection locked="0"/>
    </xf>
    <xf numFmtId="174" fontId="0" fillId="0" borderId="0" xfId="0" applyBorder="1" applyAlignment="1">
      <alignment horizontal="center"/>
    </xf>
    <xf numFmtId="4" fontId="53" fillId="27" borderId="0" xfId="323" applyNumberFormat="1" applyFont="1" applyFill="1" applyBorder="1" applyAlignment="1">
      <alignment horizontal="center"/>
    </xf>
    <xf numFmtId="4" fontId="69" fillId="27" borderId="19" xfId="323" applyNumberFormat="1" applyFont="1" applyFill="1" applyBorder="1" applyAlignment="1">
      <alignment horizontal="center"/>
    </xf>
    <xf numFmtId="4" fontId="53" fillId="27" borderId="11" xfId="323" applyNumberFormat="1" applyFont="1" applyFill="1" applyBorder="1" applyAlignment="1">
      <alignment horizontal="center"/>
    </xf>
    <xf numFmtId="4" fontId="69" fillId="27" borderId="14" xfId="323" applyNumberFormat="1" applyFont="1" applyFill="1" applyBorder="1" applyAlignment="1">
      <alignment horizontal="center"/>
    </xf>
    <xf numFmtId="171" fontId="69" fillId="27" borderId="19" xfId="448" applyNumberFormat="1" applyFont="1" applyFill="1" applyBorder="1" applyAlignment="1">
      <alignment horizontal="center" vertical="center"/>
    </xf>
    <xf numFmtId="171" fontId="69" fillId="27" borderId="13" xfId="448" applyNumberFormat="1" applyFont="1" applyFill="1" applyBorder="1" applyAlignment="1">
      <alignment horizontal="center" vertical="center"/>
    </xf>
    <xf numFmtId="167" fontId="53" fillId="27" borderId="20" xfId="323" applyNumberFormat="1" applyFont="1" applyFill="1" applyBorder="1" applyAlignment="1">
      <alignment horizontal="center" vertical="center"/>
    </xf>
    <xf numFmtId="10" fontId="68" fillId="27" borderId="0" xfId="0" applyNumberFormat="1" applyFont="1" applyFill="1" applyBorder="1" applyAlignment="1">
      <alignment horizontal="center" vertical="center"/>
    </xf>
    <xf numFmtId="167" fontId="61" fillId="27" borderId="0" xfId="323" applyNumberFormat="1" applyFont="1" applyFill="1" applyBorder="1" applyAlignment="1">
      <alignment horizontal="center" vertical="center"/>
    </xf>
    <xf numFmtId="10" fontId="68" fillId="27" borderId="24" xfId="0" applyNumberFormat="1" applyFont="1" applyFill="1" applyBorder="1" applyAlignment="1">
      <alignment horizontal="center" vertical="center"/>
    </xf>
    <xf numFmtId="10" fontId="68" fillId="27" borderId="11" xfId="0" applyNumberFormat="1" applyFont="1" applyFill="1" applyBorder="1" applyAlignment="1">
      <alignment horizontal="center" vertical="center"/>
    </xf>
    <xf numFmtId="10" fontId="68" fillId="27" borderId="22" xfId="0" applyNumberFormat="1" applyFont="1" applyFill="1" applyBorder="1" applyAlignment="1">
      <alignment horizontal="center" vertical="center"/>
    </xf>
    <xf numFmtId="49" fontId="52" fillId="27" borderId="13" xfId="0" applyNumberFormat="1" applyFont="1" applyFill="1" applyBorder="1" applyAlignment="1">
      <alignment horizontal="center" vertical="center"/>
    </xf>
    <xf numFmtId="49" fontId="52" fillId="27" borderId="23" xfId="0" applyNumberFormat="1" applyFont="1" applyFill="1" applyBorder="1" applyAlignment="1">
      <alignment horizontal="center" vertical="center" wrapText="1"/>
    </xf>
    <xf numFmtId="49" fontId="52" fillId="27" borderId="16" xfId="0" applyNumberFormat="1" applyFont="1" applyFill="1" applyBorder="1" applyAlignment="1">
      <alignment horizontal="center" vertical="center" wrapText="1"/>
    </xf>
    <xf numFmtId="0" fontId="67" fillId="27" borderId="0" xfId="323" applyNumberFormat="1" applyFont="1" applyFill="1" applyBorder="1" applyAlignment="1">
      <alignment vertical="center"/>
    </xf>
    <xf numFmtId="167" fontId="67" fillId="27" borderId="0" xfId="323" applyNumberFormat="1" applyFont="1" applyFill="1" applyBorder="1" applyAlignment="1">
      <alignment vertical="center"/>
    </xf>
    <xf numFmtId="171" fontId="52" fillId="27" borderId="24" xfId="0" applyNumberFormat="1" applyFont="1" applyFill="1" applyBorder="1" applyAlignment="1">
      <alignment vertical="center"/>
    </xf>
    <xf numFmtId="171" fontId="52" fillId="27" borderId="16" xfId="0" applyNumberFormat="1" applyFont="1" applyFill="1" applyBorder="1" applyAlignment="1">
      <alignment horizontal="right" wrapText="1"/>
    </xf>
    <xf numFmtId="174" fontId="55" fillId="0" borderId="0" xfId="0" applyNumberFormat="1" applyFont="1" applyBorder="1" applyAlignment="1">
      <alignment horizontal="left"/>
    </xf>
    <xf numFmtId="10" fontId="82" fillId="27" borderId="0" xfId="328" applyNumberFormat="1" applyFont="1" applyFill="1" applyBorder="1" applyAlignment="1">
      <alignment horizontal="center"/>
    </xf>
    <xf numFmtId="171" fontId="55" fillId="0" borderId="0" xfId="551" applyNumberFormat="1" applyFont="1" applyBorder="1" applyAlignment="1">
      <alignment horizontal="right"/>
    </xf>
    <xf numFmtId="174" fontId="72" fillId="0" borderId="0" xfId="0" applyFont="1" applyAlignment="1">
      <alignment horizontal="center" vertical="center"/>
    </xf>
    <xf numFmtId="182" fontId="55" fillId="0" borderId="0" xfId="0" applyNumberFormat="1" applyFont="1" applyBorder="1" applyAlignment="1">
      <alignment horizontal="left"/>
    </xf>
    <xf numFmtId="10" fontId="55" fillId="0" borderId="0" xfId="551" applyNumberFormat="1" applyFont="1" applyBorder="1" applyAlignment="1">
      <alignment horizontal="left"/>
    </xf>
    <xf numFmtId="192" fontId="55" fillId="0" borderId="0" xfId="0" applyNumberFormat="1" applyFont="1" applyBorder="1" applyAlignment="1">
      <alignment horizontal="left"/>
    </xf>
    <xf numFmtId="189" fontId="55" fillId="0" borderId="0" xfId="0" applyNumberFormat="1" applyFont="1" applyBorder="1" applyAlignment="1">
      <alignment horizontal="left"/>
    </xf>
    <xf numFmtId="180" fontId="55" fillId="0" borderId="0" xfId="0" applyNumberFormat="1" applyFont="1" applyBorder="1" applyAlignment="1">
      <alignment horizontal="left"/>
    </xf>
    <xf numFmtId="9" fontId="72" fillId="0" borderId="0" xfId="551" applyFont="1" applyAlignment="1">
      <alignment horizontal="center" vertical="center"/>
    </xf>
    <xf numFmtId="167" fontId="82" fillId="27" borderId="0" xfId="324" applyNumberFormat="1" applyFont="1" applyFill="1" applyBorder="1" applyAlignment="1">
      <alignment vertical="center"/>
    </xf>
    <xf numFmtId="167" fontId="83" fillId="27" borderId="0" xfId="324" applyNumberFormat="1" applyFont="1" applyFill="1" applyBorder="1" applyAlignment="1">
      <alignment vertical="center"/>
    </xf>
    <xf numFmtId="167" fontId="83" fillId="27" borderId="24" xfId="324" applyNumberFormat="1" applyFont="1" applyFill="1" applyBorder="1" applyAlignment="1">
      <alignment vertical="center"/>
    </xf>
    <xf numFmtId="40" fontId="47" fillId="0" borderId="0" xfId="744" applyNumberFormat="1"/>
    <xf numFmtId="194" fontId="47" fillId="0" borderId="0" xfId="744" applyNumberFormat="1"/>
    <xf numFmtId="43" fontId="47" fillId="0" borderId="0" xfId="744" applyNumberFormat="1"/>
    <xf numFmtId="43" fontId="66" fillId="27" borderId="17" xfId="323" applyFont="1" applyFill="1" applyBorder="1" applyAlignment="1">
      <alignment horizontal="center"/>
    </xf>
    <xf numFmtId="43" fontId="66" fillId="27" borderId="19" xfId="323" applyFont="1" applyFill="1" applyBorder="1" applyAlignment="1">
      <alignment horizontal="center"/>
    </xf>
    <xf numFmtId="43" fontId="66" fillId="27" borderId="14" xfId="323" applyFont="1" applyFill="1" applyBorder="1" applyAlignment="1">
      <alignment horizontal="center"/>
    </xf>
    <xf numFmtId="43" fontId="66" fillId="27" borderId="13" xfId="742" applyNumberFormat="1" applyFont="1" applyFill="1" applyBorder="1" applyAlignment="1">
      <alignment horizontal="center"/>
    </xf>
    <xf numFmtId="43" fontId="69" fillId="27" borderId="13" xfId="0" applyNumberFormat="1" applyFont="1" applyFill="1" applyBorder="1" applyAlignment="1">
      <alignment horizontal="center" vertical="center" wrapText="1"/>
    </xf>
    <xf numFmtId="43" fontId="82" fillId="27" borderId="13" xfId="0" applyNumberFormat="1" applyFont="1" applyFill="1" applyBorder="1" applyAlignment="1">
      <alignment horizontal="center" vertical="center"/>
    </xf>
    <xf numFmtId="43" fontId="82" fillId="27" borderId="23" xfId="0" applyNumberFormat="1" applyFont="1" applyFill="1" applyBorder="1" applyAlignment="1">
      <alignment horizontal="center" vertical="center" wrapText="1"/>
    </xf>
    <xf numFmtId="0" fontId="82" fillId="27" borderId="19" xfId="0" applyNumberFormat="1" applyFont="1" applyFill="1" applyBorder="1" applyAlignment="1">
      <alignment horizontal="center" vertical="center"/>
    </xf>
    <xf numFmtId="40" fontId="83" fillId="27" borderId="0" xfId="335" applyNumberFormat="1" applyFont="1" applyFill="1" applyBorder="1" applyAlignment="1">
      <alignment vertical="center"/>
    </xf>
    <xf numFmtId="40" fontId="83" fillId="27" borderId="0" xfId="0" applyNumberFormat="1" applyFont="1" applyFill="1" applyBorder="1" applyAlignment="1">
      <alignment vertical="center"/>
    </xf>
    <xf numFmtId="43" fontId="82" fillId="27" borderId="15" xfId="0" applyNumberFormat="1" applyFont="1" applyFill="1" applyBorder="1" applyAlignment="1">
      <alignment vertical="center"/>
    </xf>
    <xf numFmtId="43" fontId="82" fillId="27" borderId="23" xfId="0" applyNumberFormat="1" applyFont="1" applyFill="1" applyBorder="1" applyAlignment="1">
      <alignment vertical="center"/>
    </xf>
    <xf numFmtId="43" fontId="51" fillId="0" borderId="0" xfId="0" applyNumberFormat="1" applyFont="1" applyFill="1" applyBorder="1" applyAlignment="1">
      <alignment vertical="center"/>
    </xf>
    <xf numFmtId="171" fontId="0" fillId="0" borderId="0" xfId="551" applyNumberFormat="1" applyFont="1" applyFill="1" applyBorder="1" applyAlignment="1">
      <alignment vertical="center"/>
    </xf>
    <xf numFmtId="171" fontId="47" fillId="0" borderId="0" xfId="551" applyNumberFormat="1" applyFont="1"/>
    <xf numFmtId="174" fontId="70" fillId="27" borderId="0" xfId="0" applyFont="1" applyFill="1" applyBorder="1"/>
    <xf numFmtId="43" fontId="61" fillId="27" borderId="0" xfId="0" applyNumberFormat="1" applyFont="1" applyFill="1" applyBorder="1"/>
    <xf numFmtId="174" fontId="53" fillId="27" borderId="0" xfId="0" applyFont="1" applyFill="1" applyBorder="1"/>
    <xf numFmtId="167" fontId="68" fillId="27" borderId="19" xfId="0" applyNumberFormat="1" applyFont="1" applyFill="1" applyBorder="1" applyAlignment="1">
      <alignment horizontal="center" wrapText="1"/>
    </xf>
    <xf numFmtId="167" fontId="68" fillId="27" borderId="13" xfId="0" applyNumberFormat="1" applyFont="1" applyFill="1" applyBorder="1" applyAlignment="1">
      <alignment horizontal="center" wrapText="1"/>
    </xf>
    <xf numFmtId="10" fontId="68" fillId="27" borderId="0" xfId="0" applyNumberFormat="1" applyFont="1" applyFill="1" applyBorder="1" applyAlignment="1">
      <alignment horizontal="center"/>
    </xf>
    <xf numFmtId="10" fontId="68" fillId="27" borderId="24" xfId="0" applyNumberFormat="1" applyFont="1" applyFill="1" applyBorder="1" applyAlignment="1">
      <alignment horizontal="center"/>
    </xf>
    <xf numFmtId="10" fontId="68" fillId="27" borderId="23" xfId="0" applyNumberFormat="1" applyFont="1" applyFill="1" applyBorder="1" applyAlignment="1">
      <alignment horizontal="center"/>
    </xf>
    <xf numFmtId="10" fontId="68" fillId="27" borderId="16" xfId="0" applyNumberFormat="1" applyFont="1" applyFill="1" applyBorder="1" applyAlignment="1">
      <alignment horizontal="center"/>
    </xf>
    <xf numFmtId="167" fontId="69" fillId="27" borderId="19" xfId="323" applyNumberFormat="1" applyFont="1" applyFill="1" applyBorder="1"/>
    <xf numFmtId="167" fontId="69" fillId="27" borderId="13" xfId="323" applyNumberFormat="1" applyFont="1" applyFill="1" applyBorder="1"/>
    <xf numFmtId="167" fontId="69" fillId="27" borderId="13" xfId="0" applyNumberFormat="1" applyFont="1" applyFill="1" applyBorder="1" applyAlignment="1">
      <alignment horizontal="center" vertical="center" wrapText="1"/>
    </xf>
    <xf numFmtId="174" fontId="86" fillId="0" borderId="0" xfId="0" applyFont="1" applyFill="1" applyBorder="1" applyAlignment="1">
      <alignment horizontal="center" vertical="center" wrapText="1"/>
    </xf>
    <xf numFmtId="174" fontId="0" fillId="0" borderId="0" xfId="0" applyAlignment="1">
      <alignment horizontal="center"/>
    </xf>
    <xf numFmtId="10" fontId="82" fillId="27" borderId="19" xfId="324" applyNumberFormat="1" applyFont="1" applyFill="1" applyBorder="1" applyAlignment="1">
      <alignment horizontal="right"/>
    </xf>
    <xf numFmtId="10" fontId="82" fillId="27" borderId="14" xfId="324" applyNumberFormat="1" applyFont="1" applyFill="1" applyBorder="1" applyAlignment="1">
      <alignment horizontal="right"/>
    </xf>
    <xf numFmtId="167" fontId="61" fillId="27" borderId="20" xfId="323" applyNumberFormat="1" applyFont="1" applyFill="1" applyBorder="1" applyAlignment="1">
      <alignment horizontal="center" vertical="center"/>
    </xf>
    <xf numFmtId="49" fontId="82" fillId="27" borderId="23" xfId="0" applyNumberFormat="1" applyFont="1" applyFill="1" applyBorder="1" applyAlignment="1">
      <alignment horizontal="center" vertical="center" wrapText="1"/>
    </xf>
    <xf numFmtId="49" fontId="52" fillId="27" borderId="13" xfId="0" applyNumberFormat="1" applyFont="1" applyFill="1" applyBorder="1" applyAlignment="1">
      <alignment horizontal="center" vertical="center" wrapText="1"/>
    </xf>
    <xf numFmtId="167" fontId="52" fillId="27" borderId="23" xfId="0" applyNumberFormat="1" applyFont="1" applyFill="1" applyBorder="1" applyAlignment="1">
      <alignment horizontal="right" wrapText="1"/>
    </xf>
    <xf numFmtId="0" fontId="85" fillId="27" borderId="13" xfId="437" applyFont="1" applyFill="1" applyBorder="1" applyAlignment="1">
      <alignment horizontal="left" vertical="center" wrapText="1"/>
    </xf>
    <xf numFmtId="167" fontId="85" fillId="27" borderId="15" xfId="323" applyNumberFormat="1" applyFont="1" applyFill="1" applyBorder="1" applyAlignment="1">
      <alignment horizontal="center" vertical="center" wrapText="1"/>
    </xf>
    <xf numFmtId="167" fontId="85" fillId="27" borderId="23" xfId="323" applyNumberFormat="1" applyFont="1" applyFill="1" applyBorder="1" applyAlignment="1">
      <alignment horizontal="center" vertical="center" wrapText="1"/>
    </xf>
    <xf numFmtId="167" fontId="85" fillId="27" borderId="13" xfId="323"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xf>
    <xf numFmtId="175" fontId="69" fillId="27" borderId="22" xfId="0" applyNumberFormat="1" applyFont="1" applyFill="1" applyBorder="1" applyAlignment="1" applyProtection="1">
      <alignment horizontal="center"/>
    </xf>
    <xf numFmtId="49" fontId="82" fillId="27" borderId="19" xfId="0" applyNumberFormat="1" applyFont="1" applyFill="1" applyBorder="1" applyAlignment="1" applyProtection="1">
      <alignment horizontal="center" vertical="center"/>
    </xf>
    <xf numFmtId="49" fontId="82" fillId="27" borderId="14" xfId="0" applyNumberFormat="1" applyFont="1" applyFill="1" applyBorder="1" applyAlignment="1" applyProtection="1">
      <alignment horizontal="center" vertical="center"/>
    </xf>
    <xf numFmtId="174" fontId="74" fillId="27" borderId="0" xfId="0" applyFont="1" applyFill="1" applyBorder="1"/>
    <xf numFmtId="171" fontId="73" fillId="27" borderId="0" xfId="0" applyNumberFormat="1" applyFont="1" applyFill="1" applyBorder="1" applyAlignment="1">
      <alignment horizontal="center"/>
    </xf>
    <xf numFmtId="195" fontId="55" fillId="0" borderId="0" xfId="551" applyNumberFormat="1" applyFont="1" applyBorder="1" applyAlignment="1">
      <alignment horizontal="left"/>
    </xf>
    <xf numFmtId="174" fontId="83" fillId="0" borderId="0" xfId="0" applyFont="1"/>
    <xf numFmtId="0" fontId="66" fillId="27" borderId="13" xfId="742" applyFont="1" applyFill="1" applyBorder="1" applyAlignment="1">
      <alignment horizontal="center" vertical="center"/>
    </xf>
    <xf numFmtId="0" fontId="47" fillId="0" borderId="0" xfId="742" applyAlignment="1">
      <alignment vertical="center"/>
    </xf>
    <xf numFmtId="43" fontId="82" fillId="27" borderId="0" xfId="0" applyNumberFormat="1" applyFont="1" applyFill="1" applyBorder="1" applyAlignment="1">
      <alignment vertical="center"/>
    </xf>
    <xf numFmtId="43" fontId="82" fillId="27" borderId="13" xfId="0" applyNumberFormat="1" applyFont="1" applyFill="1" applyBorder="1" applyAlignment="1">
      <alignment horizontal="center" vertical="center" wrapText="1"/>
    </xf>
    <xf numFmtId="40" fontId="82" fillId="27" borderId="19" xfId="0" applyNumberFormat="1" applyFont="1" applyFill="1" applyBorder="1" applyAlignment="1">
      <alignment vertical="center"/>
    </xf>
    <xf numFmtId="40" fontId="82" fillId="27" borderId="13" xfId="0" applyNumberFormat="1" applyFont="1" applyFill="1" applyBorder="1" applyAlignment="1">
      <alignment vertical="center"/>
    </xf>
    <xf numFmtId="174" fontId="57" fillId="0" borderId="0" xfId="0" applyFont="1"/>
    <xf numFmtId="182" fontId="56" fillId="0" borderId="0" xfId="1094" applyNumberFormat="1" applyFont="1" applyFill="1" applyBorder="1" applyAlignment="1">
      <alignment horizontal="center" vertical="top"/>
    </xf>
    <xf numFmtId="175" fontId="64" fillId="27" borderId="24" xfId="0" applyNumberFormat="1" applyFont="1" applyFill="1" applyBorder="1" applyAlignment="1">
      <alignment horizontal="right"/>
    </xf>
    <xf numFmtId="182" fontId="73" fillId="0" borderId="12" xfId="1094" applyNumberFormat="1" applyFont="1" applyFill="1" applyBorder="1" applyAlignment="1">
      <alignment horizontal="center" vertical="center" wrapText="1"/>
    </xf>
    <xf numFmtId="182" fontId="85" fillId="0" borderId="25" xfId="1094" applyNumberFormat="1" applyFont="1" applyFill="1" applyBorder="1" applyAlignment="1">
      <alignment horizontal="center" vertical="center" wrapText="1"/>
    </xf>
    <xf numFmtId="175" fontId="64" fillId="27" borderId="0" xfId="0" applyNumberFormat="1" applyFont="1" applyFill="1" applyBorder="1" applyAlignment="1">
      <alignment horizontal="right"/>
    </xf>
    <xf numFmtId="175" fontId="64" fillId="27" borderId="25" xfId="0" applyNumberFormat="1" applyFont="1" applyFill="1" applyBorder="1" applyAlignment="1">
      <alignment horizontal="right"/>
    </xf>
    <xf numFmtId="175" fontId="64" fillId="27" borderId="22" xfId="0" applyNumberFormat="1" applyFont="1" applyFill="1" applyBorder="1" applyAlignment="1">
      <alignment horizontal="right"/>
    </xf>
    <xf numFmtId="0" fontId="66" fillId="0" borderId="0" xfId="0" applyNumberFormat="1" applyFont="1" applyFill="1" applyBorder="1" applyAlignment="1">
      <alignment horizontal="left" vertical="center" indent="1"/>
    </xf>
    <xf numFmtId="0" fontId="62" fillId="27" borderId="23" xfId="0" applyNumberFormat="1" applyFont="1" applyFill="1" applyBorder="1" applyAlignment="1">
      <alignment horizontal="left" vertical="center" indent="1"/>
    </xf>
    <xf numFmtId="41" fontId="62" fillId="27" borderId="13" xfId="0" applyNumberFormat="1" applyFont="1" applyFill="1" applyBorder="1" applyAlignment="1">
      <alignment horizontal="left" vertical="center" indent="1"/>
    </xf>
    <xf numFmtId="41" fontId="81" fillId="27" borderId="0" xfId="0" applyNumberFormat="1" applyFont="1" applyFill="1" applyBorder="1" applyAlignment="1">
      <alignment horizontal="left" vertical="center" indent="1"/>
    </xf>
    <xf numFmtId="41" fontId="62" fillId="27" borderId="19" xfId="0" applyNumberFormat="1" applyFont="1" applyFill="1" applyBorder="1" applyAlignment="1">
      <alignment horizontal="left" vertical="center" indent="1"/>
    </xf>
    <xf numFmtId="41" fontId="62" fillId="27" borderId="23" xfId="0" applyNumberFormat="1" applyFont="1" applyFill="1" applyBorder="1" applyAlignment="1">
      <alignment horizontal="left" vertical="center" indent="1"/>
    </xf>
    <xf numFmtId="174" fontId="55" fillId="27" borderId="0" xfId="0" applyFont="1" applyFill="1" applyBorder="1" applyAlignment="1">
      <alignment horizontal="left" indent="1"/>
    </xf>
    <xf numFmtId="174" fontId="0" fillId="0" borderId="0" xfId="0" applyAlignment="1">
      <alignment horizontal="left" indent="1"/>
    </xf>
    <xf numFmtId="43" fontId="53" fillId="27" borderId="0" xfId="323" applyNumberFormat="1" applyFont="1" applyFill="1" applyBorder="1"/>
    <xf numFmtId="10" fontId="53" fillId="27" borderId="0" xfId="551" applyNumberFormat="1" applyFont="1" applyFill="1" applyBorder="1"/>
    <xf numFmtId="174" fontId="71" fillId="0" borderId="0" xfId="0" applyFont="1" applyFill="1" applyBorder="1" applyAlignment="1">
      <alignment horizontal="center" vertical="center" wrapText="1"/>
    </xf>
    <xf numFmtId="174" fontId="82" fillId="27"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69" fillId="27" borderId="13" xfId="347" applyNumberFormat="1" applyFont="1" applyFill="1" applyBorder="1" applyAlignment="1">
      <alignment horizontal="center" vertical="center"/>
    </xf>
    <xf numFmtId="174" fontId="69" fillId="27" borderId="23" xfId="347" applyFont="1" applyFill="1" applyBorder="1" applyAlignment="1">
      <alignment horizontal="center" vertical="center" wrapText="1"/>
    </xf>
    <xf numFmtId="174" fontId="69" fillId="27" borderId="16" xfId="347" applyFont="1" applyFill="1" applyBorder="1" applyAlignment="1">
      <alignment horizontal="center" vertical="center" wrapText="1"/>
    </xf>
    <xf numFmtId="174" fontId="61" fillId="0" borderId="0" xfId="0" applyFont="1" applyFill="1" applyBorder="1"/>
    <xf numFmtId="174" fontId="61" fillId="0" borderId="0" xfId="0" applyFont="1" applyBorder="1"/>
    <xf numFmtId="49" fontId="69" fillId="27" borderId="19" xfId="394" applyNumberFormat="1" applyFont="1" applyFill="1" applyBorder="1" applyAlignment="1">
      <alignment horizontal="center" vertical="center"/>
    </xf>
    <xf numFmtId="167" fontId="69" fillId="27" borderId="0" xfId="324" applyNumberFormat="1" applyFont="1" applyFill="1" applyBorder="1" applyAlignment="1">
      <alignment horizontal="center" vertical="center"/>
    </xf>
    <xf numFmtId="167" fontId="53" fillId="27" borderId="0" xfId="324" applyNumberFormat="1" applyFont="1" applyFill="1" applyBorder="1" applyAlignment="1">
      <alignment horizontal="center" vertical="center"/>
    </xf>
    <xf numFmtId="167" fontId="53" fillId="27" borderId="24" xfId="324" applyNumberFormat="1" applyFont="1" applyFill="1" applyBorder="1" applyAlignment="1">
      <alignment horizontal="center" vertical="center"/>
    </xf>
    <xf numFmtId="17" fontId="69" fillId="27" borderId="19" xfId="394" applyNumberFormat="1" applyFont="1" applyFill="1" applyBorder="1" applyAlignment="1">
      <alignment horizontal="center" vertical="center"/>
    </xf>
    <xf numFmtId="174" fontId="61" fillId="27" borderId="0" xfId="0" applyFont="1" applyFill="1" applyAlignment="1">
      <alignment horizontal="center"/>
    </xf>
    <xf numFmtId="174" fontId="53" fillId="27" borderId="0" xfId="347" applyFont="1" applyFill="1" applyBorder="1" applyAlignment="1">
      <alignment horizontal="center"/>
    </xf>
    <xf numFmtId="174" fontId="53" fillId="0" borderId="0" xfId="347" applyFont="1" applyFill="1" applyBorder="1" applyAlignment="1">
      <alignment horizontal="center"/>
    </xf>
    <xf numFmtId="174" fontId="53" fillId="0" borderId="0" xfId="347" applyFont="1" applyAlignment="1">
      <alignment horizontal="center"/>
    </xf>
    <xf numFmtId="43" fontId="55" fillId="0" borderId="0" xfId="323" applyFont="1" applyFill="1" applyBorder="1" applyAlignment="1">
      <alignment horizontal="right"/>
    </xf>
    <xf numFmtId="10" fontId="53" fillId="27" borderId="0" xfId="551" applyNumberFormat="1" applyFont="1" applyFill="1" applyBorder="1" applyAlignment="1">
      <alignment vertical="center"/>
    </xf>
    <xf numFmtId="43" fontId="69" fillId="27" borderId="0" xfId="336" applyNumberFormat="1" applyFont="1" applyFill="1" applyBorder="1" applyAlignment="1">
      <alignment vertical="center"/>
    </xf>
    <xf numFmtId="182" fontId="73" fillId="0" borderId="12" xfId="1094" applyNumberFormat="1" applyFont="1" applyFill="1" applyBorder="1" applyAlignment="1">
      <alignment horizontal="right" vertical="center" wrapText="1"/>
    </xf>
    <xf numFmtId="3" fontId="64" fillId="27" borderId="12" xfId="0" applyNumberFormat="1" applyFont="1" applyFill="1" applyBorder="1" applyAlignment="1">
      <alignment horizontal="right"/>
    </xf>
    <xf numFmtId="3" fontId="64" fillId="27" borderId="0" xfId="0" applyNumberFormat="1" applyFont="1" applyFill="1" applyBorder="1" applyAlignment="1">
      <alignment horizontal="right"/>
    </xf>
    <xf numFmtId="3" fontId="64" fillId="27" borderId="11" xfId="0" applyNumberFormat="1" applyFont="1" applyFill="1" applyBorder="1" applyAlignment="1">
      <alignment horizontal="right"/>
    </xf>
    <xf numFmtId="4" fontId="82" fillId="27" borderId="0" xfId="0" applyNumberFormat="1" applyFont="1" applyFill="1" applyBorder="1" applyAlignment="1">
      <alignment horizontal="right"/>
    </xf>
    <xf numFmtId="43" fontId="83" fillId="0" borderId="21" xfId="0" applyNumberFormat="1" applyFont="1" applyFill="1" applyBorder="1" applyAlignment="1" applyProtection="1">
      <alignment horizontal="center" vertical="center"/>
    </xf>
    <xf numFmtId="43" fontId="83" fillId="0" borderId="12" xfId="0" applyNumberFormat="1" applyFont="1" applyFill="1" applyBorder="1" applyAlignment="1" applyProtection="1">
      <alignment horizontal="center" vertical="center"/>
    </xf>
    <xf numFmtId="43" fontId="83" fillId="0" borderId="25" xfId="0" applyNumberFormat="1" applyFont="1" applyFill="1" applyBorder="1" applyAlignment="1" applyProtection="1">
      <alignment horizontal="center" vertical="center"/>
    </xf>
    <xf numFmtId="43" fontId="83" fillId="0" borderId="20" xfId="0" applyNumberFormat="1" applyFont="1" applyFill="1" applyBorder="1" applyAlignment="1" applyProtection="1">
      <alignment horizontal="center" vertical="center"/>
    </xf>
    <xf numFmtId="43" fontId="83" fillId="0" borderId="0" xfId="0" applyNumberFormat="1" applyFont="1" applyFill="1" applyBorder="1" applyAlignment="1" applyProtection="1">
      <alignment horizontal="center" vertical="center"/>
    </xf>
    <xf numFmtId="43" fontId="83" fillId="0" borderId="24" xfId="0" applyNumberFormat="1" applyFont="1" applyFill="1" applyBorder="1" applyAlignment="1" applyProtection="1">
      <alignment horizontal="center" vertical="center"/>
    </xf>
    <xf numFmtId="43" fontId="83" fillId="27" borderId="20" xfId="0" applyNumberFormat="1" applyFont="1" applyFill="1" applyBorder="1" applyAlignment="1" applyProtection="1">
      <alignment horizontal="center" vertical="center"/>
    </xf>
    <xf numFmtId="43" fontId="83" fillId="27" borderId="0" xfId="0" applyNumberFormat="1" applyFont="1" applyFill="1" applyBorder="1" applyAlignment="1" applyProtection="1">
      <alignment horizontal="center" vertical="center"/>
    </xf>
    <xf numFmtId="43" fontId="83" fillId="27" borderId="24" xfId="0" applyNumberFormat="1" applyFont="1" applyFill="1" applyBorder="1" applyAlignment="1" applyProtection="1">
      <alignment horizontal="center" vertical="center"/>
    </xf>
    <xf numFmtId="182" fontId="0" fillId="0" borderId="0" xfId="0" applyNumberFormat="1"/>
    <xf numFmtId="171" fontId="6" fillId="0" borderId="0" xfId="551" applyNumberFormat="1" applyFont="1" applyFill="1" applyBorder="1" applyAlignment="1">
      <alignment horizontal="right"/>
    </xf>
    <xf numFmtId="174" fontId="89" fillId="0" borderId="0" xfId="0" applyFont="1" applyFill="1" applyBorder="1" applyAlignment="1">
      <alignment horizontal="center" vertical="center" wrapText="1"/>
    </xf>
    <xf numFmtId="0" fontId="66" fillId="0" borderId="19" xfId="744" applyFont="1" applyFill="1" applyBorder="1" applyAlignment="1">
      <alignment horizontal="center"/>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0" fillId="0" borderId="0" xfId="0" applyNumberFormat="1" applyBorder="1" applyAlignment="1">
      <alignment vertical="center"/>
    </xf>
    <xf numFmtId="43" fontId="69" fillId="27" borderId="15" xfId="0" applyNumberFormat="1" applyFont="1" applyFill="1" applyBorder="1" applyAlignment="1">
      <alignment horizontal="center" vertical="center"/>
    </xf>
    <xf numFmtId="171" fontId="66" fillId="27" borderId="13" xfId="551" applyNumberFormat="1" applyFont="1" applyFill="1" applyBorder="1" applyAlignment="1">
      <alignment horizontal="center" vertical="center"/>
    </xf>
    <xf numFmtId="10" fontId="83" fillId="0" borderId="0" xfId="633" applyNumberFormat="1" applyFont="1" applyFill="1" applyBorder="1" applyAlignment="1">
      <alignment horizontal="center"/>
    </xf>
    <xf numFmtId="167" fontId="83" fillId="27" borderId="12" xfId="323" applyNumberFormat="1" applyFont="1" applyFill="1" applyBorder="1" applyAlignment="1"/>
    <xf numFmtId="167" fontId="82" fillId="27" borderId="17" xfId="323" applyNumberFormat="1" applyFont="1" applyFill="1" applyBorder="1" applyAlignment="1"/>
    <xf numFmtId="196" fontId="143" fillId="27" borderId="0" xfId="0" applyNumberFormat="1" applyFont="1" applyFill="1" applyBorder="1" applyAlignment="1">
      <alignment horizontal="center" vertical="center" wrapText="1"/>
    </xf>
    <xf numFmtId="3" fontId="144" fillId="0" borderId="0" xfId="0" applyNumberFormat="1" applyFont="1" applyFill="1" applyBorder="1" applyAlignment="1">
      <alignment horizontal="center"/>
    </xf>
    <xf numFmtId="171" fontId="0" fillId="0" borderId="0" xfId="551" applyNumberFormat="1" applyFont="1" applyAlignment="1">
      <alignment horizontal="center" vertical="center"/>
    </xf>
    <xf numFmtId="174" fontId="51" fillId="0" borderId="0" xfId="0" applyFont="1" applyAlignment="1">
      <alignment horizontal="center" vertical="center"/>
    </xf>
    <xf numFmtId="174" fontId="82" fillId="27" borderId="15" xfId="0" applyFont="1" applyFill="1" applyBorder="1" applyAlignment="1">
      <alignment horizontal="left" vertical="center" wrapText="1"/>
    </xf>
    <xf numFmtId="43" fontId="82" fillId="27" borderId="16" xfId="607" applyFont="1" applyFill="1" applyBorder="1" applyAlignment="1">
      <alignment horizontal="right"/>
    </xf>
    <xf numFmtId="43" fontId="82" fillId="27" borderId="15" xfId="607" applyFont="1" applyFill="1" applyBorder="1" applyAlignment="1">
      <alignment horizontal="right"/>
    </xf>
    <xf numFmtId="43" fontId="110" fillId="27" borderId="16" xfId="607" applyFont="1" applyFill="1" applyBorder="1" applyAlignment="1">
      <alignment horizontal="right"/>
    </xf>
    <xf numFmtId="43" fontId="106" fillId="27" borderId="0" xfId="607" applyFont="1" applyFill="1" applyBorder="1" applyAlignment="1">
      <alignment horizontal="right"/>
    </xf>
    <xf numFmtId="43" fontId="106" fillId="27" borderId="24" xfId="607" applyFont="1" applyFill="1" applyBorder="1" applyAlignment="1">
      <alignment horizontal="right"/>
    </xf>
    <xf numFmtId="174" fontId="54" fillId="0" borderId="0" xfId="0" applyFont="1" applyFill="1" applyBorder="1" applyAlignment="1">
      <alignment horizontal="center" vertical="center" wrapText="1"/>
    </xf>
    <xf numFmtId="3" fontId="64" fillId="0" borderId="21" xfId="336" applyNumberFormat="1" applyFont="1" applyFill="1" applyBorder="1" applyAlignment="1">
      <alignment horizontal="center"/>
    </xf>
    <xf numFmtId="3" fontId="64" fillId="0" borderId="12" xfId="336" applyNumberFormat="1" applyFont="1" applyFill="1" applyBorder="1" applyAlignment="1">
      <alignment horizontal="center"/>
    </xf>
    <xf numFmtId="3" fontId="64" fillId="0" borderId="25" xfId="336" applyNumberFormat="1" applyFont="1" applyFill="1" applyBorder="1" applyAlignment="1">
      <alignment horizontal="center"/>
    </xf>
    <xf numFmtId="3" fontId="85" fillId="0" borderId="17" xfId="336" applyNumberFormat="1" applyFont="1" applyFill="1" applyBorder="1" applyAlignment="1">
      <alignment horizontal="center"/>
    </xf>
    <xf numFmtId="171" fontId="85" fillId="0" borderId="12" xfId="336" applyNumberFormat="1" applyFont="1" applyFill="1" applyBorder="1" applyAlignment="1">
      <alignment horizontal="center"/>
    </xf>
    <xf numFmtId="171" fontId="73" fillId="0" borderId="25" xfId="0" applyNumberFormat="1" applyFont="1" applyFill="1" applyBorder="1" applyAlignment="1">
      <alignment horizontal="center"/>
    </xf>
    <xf numFmtId="3" fontId="64" fillId="0" borderId="20" xfId="336" applyNumberFormat="1" applyFont="1" applyFill="1" applyBorder="1" applyAlignment="1">
      <alignment horizontal="center"/>
    </xf>
    <xf numFmtId="3" fontId="85" fillId="0" borderId="19" xfId="336" applyNumberFormat="1" applyFont="1" applyFill="1" applyBorder="1" applyAlignment="1">
      <alignment horizontal="center"/>
    </xf>
    <xf numFmtId="171" fontId="85" fillId="0" borderId="0" xfId="336" applyNumberFormat="1" applyFont="1" applyFill="1" applyBorder="1" applyAlignment="1">
      <alignment horizontal="center"/>
    </xf>
    <xf numFmtId="171" fontId="73" fillId="0" borderId="24" xfId="0" applyNumberFormat="1" applyFont="1" applyFill="1" applyBorder="1" applyAlignment="1">
      <alignment horizontal="center"/>
    </xf>
    <xf numFmtId="174" fontId="120" fillId="0" borderId="0" xfId="0" applyFont="1" applyAlignment="1">
      <alignment vertical="center"/>
    </xf>
    <xf numFmtId="180" fontId="47" fillId="0" borderId="0" xfId="388" applyNumberFormat="1" applyFont="1" applyBorder="1"/>
    <xf numFmtId="174" fontId="67" fillId="0" borderId="0" xfId="0" applyFont="1" applyAlignment="1">
      <alignment horizontal="center"/>
    </xf>
    <xf numFmtId="10" fontId="67" fillId="0" borderId="0" xfId="0" applyNumberFormat="1" applyFont="1" applyAlignment="1">
      <alignment horizontal="center"/>
    </xf>
    <xf numFmtId="43" fontId="69" fillId="27" borderId="16" xfId="394" applyNumberFormat="1" applyFont="1" applyFill="1" applyBorder="1" applyAlignment="1">
      <alignment horizontal="center" vertical="center" wrapText="1"/>
    </xf>
    <xf numFmtId="167" fontId="53" fillId="27" borderId="0" xfId="394" applyNumberFormat="1" applyFont="1" applyFill="1" applyBorder="1" applyAlignment="1">
      <alignment horizontal="center"/>
    </xf>
    <xf numFmtId="17" fontId="92" fillId="0" borderId="0" xfId="0" applyNumberFormat="1" applyFont="1" applyFill="1" applyBorder="1" applyAlignment="1">
      <alignment horizontal="center"/>
    </xf>
    <xf numFmtId="40" fontId="47" fillId="0" borderId="0" xfId="744" applyNumberFormat="1" applyAlignment="1">
      <alignment vertical="center"/>
    </xf>
    <xf numFmtId="174" fontId="61" fillId="0" borderId="0" xfId="442" applyFont="1"/>
    <xf numFmtId="10" fontId="82" fillId="27" borderId="19" xfId="391" applyNumberFormat="1" applyFont="1" applyFill="1" applyBorder="1" applyAlignment="1">
      <alignment horizontal="center" vertical="center"/>
    </xf>
    <xf numFmtId="172" fontId="0" fillId="0" borderId="0" xfId="0" applyNumberFormat="1" applyFill="1" applyBorder="1" applyAlignment="1">
      <alignment horizontal="right"/>
    </xf>
    <xf numFmtId="10" fontId="0" fillId="0" borderId="0" xfId="551" applyNumberFormat="1" applyFont="1" applyFill="1" applyBorder="1" applyAlignment="1">
      <alignment horizontal="right"/>
    </xf>
    <xf numFmtId="174" fontId="0" fillId="0" borderId="0" xfId="0" applyFill="1" applyBorder="1" applyAlignment="1">
      <alignment horizontal="right"/>
    </xf>
    <xf numFmtId="43" fontId="0" fillId="0" borderId="0" xfId="0" applyNumberFormat="1" applyAlignment="1">
      <alignment horizontal="right"/>
    </xf>
    <xf numFmtId="172" fontId="63" fillId="0" borderId="0" xfId="0" applyNumberFormat="1" applyFont="1" applyFill="1" applyBorder="1" applyAlignment="1">
      <alignment horizontal="right" indent="1"/>
    </xf>
    <xf numFmtId="10" fontId="63" fillId="0" borderId="0" xfId="551" applyNumberFormat="1" applyFont="1" applyFill="1" applyBorder="1" applyAlignment="1">
      <alignment horizontal="right" indent="1"/>
    </xf>
    <xf numFmtId="10" fontId="63" fillId="0" borderId="0" xfId="551" applyNumberFormat="1" applyFont="1" applyAlignment="1">
      <alignment horizontal="right"/>
    </xf>
    <xf numFmtId="174" fontId="86" fillId="27" borderId="0" xfId="0" applyFont="1" applyFill="1" applyBorder="1" applyAlignment="1">
      <alignment horizontal="center" vertical="center" wrapText="1"/>
    </xf>
    <xf numFmtId="174" fontId="88" fillId="0" borderId="0" xfId="0" applyFont="1" applyAlignment="1">
      <alignment horizontal="justify" vertical="justify" wrapText="1"/>
    </xf>
    <xf numFmtId="167" fontId="64" fillId="27" borderId="0" xfId="0" applyNumberFormat="1" applyFont="1" applyFill="1" applyBorder="1" applyAlignment="1" applyProtection="1">
      <alignment horizontal="center" vertical="center"/>
    </xf>
    <xf numFmtId="10" fontId="61" fillId="0" borderId="0" xfId="0" applyNumberFormat="1" applyFont="1"/>
    <xf numFmtId="2" fontId="61" fillId="0" borderId="0" xfId="0" applyNumberFormat="1" applyFont="1"/>
    <xf numFmtId="10" fontId="61" fillId="0" borderId="0" xfId="551" applyNumberFormat="1" applyFont="1"/>
    <xf numFmtId="180" fontId="61" fillId="0" borderId="0" xfId="0" applyNumberFormat="1" applyFont="1"/>
    <xf numFmtId="174" fontId="61" fillId="0" borderId="0" xfId="0" applyNumberFormat="1" applyFont="1"/>
    <xf numFmtId="180" fontId="74" fillId="31" borderId="0" xfId="0" applyNumberFormat="1" applyFont="1" applyFill="1"/>
    <xf numFmtId="174" fontId="74" fillId="31" borderId="0" xfId="0" applyFont="1" applyFill="1"/>
    <xf numFmtId="188" fontId="74" fillId="0" borderId="0" xfId="0" applyNumberFormat="1" applyFont="1"/>
    <xf numFmtId="10" fontId="73" fillId="0" borderId="0" xfId="551" applyNumberFormat="1" applyFont="1"/>
    <xf numFmtId="2" fontId="73" fillId="0" borderId="0" xfId="551" applyNumberFormat="1" applyFont="1"/>
    <xf numFmtId="2" fontId="145" fillId="31" borderId="0" xfId="0" applyNumberFormat="1" applyFont="1" applyFill="1"/>
    <xf numFmtId="3" fontId="83" fillId="0" borderId="12" xfId="328" applyNumberFormat="1" applyFont="1" applyFill="1" applyBorder="1" applyAlignment="1">
      <alignment horizontal="center" vertical="center"/>
    </xf>
    <xf numFmtId="3" fontId="83" fillId="0" borderId="0" xfId="328" applyNumberFormat="1" applyFont="1" applyFill="1" applyBorder="1" applyAlignment="1">
      <alignment horizontal="center" vertical="center"/>
    </xf>
    <xf numFmtId="0" fontId="83" fillId="0" borderId="0" xfId="328" applyNumberFormat="1" applyFont="1" applyFill="1" applyBorder="1" applyAlignment="1">
      <alignment horizontal="center" vertical="center"/>
    </xf>
    <xf numFmtId="3" fontId="82" fillId="27" borderId="21" xfId="328" applyNumberFormat="1" applyFont="1" applyFill="1" applyBorder="1" applyAlignment="1">
      <alignment horizontal="center" vertical="center"/>
    </xf>
    <xf numFmtId="3" fontId="82" fillId="27" borderId="20" xfId="328" applyNumberFormat="1" applyFont="1" applyFill="1" applyBorder="1" applyAlignment="1">
      <alignment horizontal="center" vertical="center"/>
    </xf>
    <xf numFmtId="38" fontId="67" fillId="27" borderId="11" xfId="0" applyNumberFormat="1" applyFont="1" applyFill="1" applyBorder="1"/>
    <xf numFmtId="3" fontId="83" fillId="27" borderId="11" xfId="0" applyNumberFormat="1" applyFont="1" applyFill="1" applyBorder="1" applyAlignment="1" applyProtection="1">
      <alignment horizont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7" fillId="27" borderId="0" xfId="0" applyFont="1" applyFill="1" applyBorder="1" applyAlignment="1">
      <alignment horizontal="center" vertical="center" wrapText="1"/>
    </xf>
    <xf numFmtId="174" fontId="0" fillId="0" borderId="0" xfId="0" applyFill="1" applyBorder="1" applyAlignment="1">
      <alignment horizontal="left" wrapText="1"/>
    </xf>
    <xf numFmtId="174" fontId="70" fillId="27" borderId="0" xfId="0" applyFont="1" applyFill="1" applyBorder="1" applyAlignment="1">
      <alignment horizontal="center"/>
    </xf>
    <xf numFmtId="43" fontId="61" fillId="27" borderId="0" xfId="0" applyNumberFormat="1" applyFont="1" applyFill="1" applyBorder="1" applyAlignment="1">
      <alignment horizontal="center"/>
    </xf>
    <xf numFmtId="174" fontId="61" fillId="0" borderId="0" xfId="0" applyFont="1" applyAlignment="1">
      <alignment horizontal="center"/>
    </xf>
    <xf numFmtId="174" fontId="82" fillId="27" borderId="19" xfId="0" applyFont="1" applyFill="1" applyBorder="1" applyAlignment="1">
      <alignment horizontal="left" wrapText="1"/>
    </xf>
    <xf numFmtId="167" fontId="61" fillId="27" borderId="18" xfId="323" applyNumberFormat="1" applyFont="1" applyFill="1" applyBorder="1" applyAlignment="1">
      <alignment horizontal="center" vertical="center"/>
    </xf>
    <xf numFmtId="167" fontId="61" fillId="27" borderId="11" xfId="323" applyNumberFormat="1" applyFont="1" applyFill="1" applyBorder="1" applyAlignment="1">
      <alignment horizontal="center" vertical="center"/>
    </xf>
    <xf numFmtId="41" fontId="55" fillId="27" borderId="0" xfId="793" applyNumberFormat="1" applyFont="1" applyFill="1" applyBorder="1" applyAlignment="1">
      <alignment horizontal="center"/>
    </xf>
    <xf numFmtId="41" fontId="66" fillId="27" borderId="19" xfId="793" applyNumberFormat="1" applyFont="1" applyFill="1" applyBorder="1" applyAlignment="1">
      <alignment horizontal="center"/>
    </xf>
    <xf numFmtId="41" fontId="66" fillId="27" borderId="15" xfId="793" applyNumberFormat="1" applyFont="1" applyFill="1" applyBorder="1" applyAlignment="1">
      <alignment horizontal="center"/>
    </xf>
    <xf numFmtId="41" fontId="66" fillId="27" borderId="23" xfId="793" applyNumberFormat="1" applyFont="1" applyFill="1" applyBorder="1" applyAlignment="1">
      <alignment horizontal="center"/>
    </xf>
    <xf numFmtId="41" fontId="66" fillId="27" borderId="13" xfId="793" applyNumberFormat="1" applyFont="1" applyFill="1" applyBorder="1" applyAlignment="1">
      <alignment horizontal="center"/>
    </xf>
    <xf numFmtId="174" fontId="114" fillId="0" borderId="0" xfId="0" applyNumberFormat="1" applyFont="1" applyBorder="1" applyAlignment="1">
      <alignment horizontal="left"/>
    </xf>
    <xf numFmtId="174" fontId="114" fillId="0" borderId="0" xfId="0" applyFont="1"/>
    <xf numFmtId="10" fontId="114" fillId="0" borderId="0" xfId="0" applyNumberFormat="1" applyFont="1" applyFill="1" applyBorder="1" applyAlignment="1" applyProtection="1"/>
    <xf numFmtId="3" fontId="114" fillId="0" borderId="0" xfId="0" applyNumberFormat="1" applyFont="1" applyFill="1" applyBorder="1" applyAlignment="1" applyProtection="1"/>
    <xf numFmtId="3" fontId="83" fillId="27" borderId="20" xfId="328" applyNumberFormat="1" applyFont="1" applyFill="1" applyBorder="1" applyAlignment="1">
      <alignment horizontal="center" vertical="center"/>
    </xf>
    <xf numFmtId="3" fontId="82" fillId="27" borderId="0" xfId="328" applyNumberFormat="1" applyFont="1" applyFill="1" applyBorder="1" applyAlignment="1">
      <alignment horizontal="center" vertical="center"/>
    </xf>
    <xf numFmtId="3" fontId="83" fillId="27" borderId="0" xfId="328" applyNumberFormat="1" applyFont="1" applyFill="1" applyBorder="1" applyAlignment="1">
      <alignment horizontal="center" vertical="center"/>
    </xf>
    <xf numFmtId="2" fontId="82" fillId="27" borderId="24" xfId="328" applyNumberFormat="1" applyFont="1" applyFill="1" applyBorder="1" applyAlignment="1">
      <alignment horizontal="center" vertical="center"/>
    </xf>
    <xf numFmtId="3" fontId="83" fillId="27" borderId="18" xfId="328" applyNumberFormat="1" applyFont="1" applyFill="1" applyBorder="1" applyAlignment="1">
      <alignment horizontal="center" vertical="center"/>
    </xf>
    <xf numFmtId="3" fontId="82" fillId="27" borderId="11" xfId="328" applyNumberFormat="1" applyFont="1" applyFill="1" applyBorder="1" applyAlignment="1">
      <alignment horizontal="center" vertical="center"/>
    </xf>
    <xf numFmtId="3" fontId="83" fillId="27" borderId="11" xfId="328" applyNumberFormat="1" applyFont="1" applyFill="1" applyBorder="1" applyAlignment="1">
      <alignment horizontal="center" vertical="center"/>
    </xf>
    <xf numFmtId="2" fontId="82" fillId="27" borderId="22" xfId="328" applyNumberFormat="1" applyFont="1" applyFill="1" applyBorder="1" applyAlignment="1">
      <alignment horizontal="center" vertical="center"/>
    </xf>
    <xf numFmtId="174" fontId="146" fillId="0" borderId="0" xfId="0" applyFont="1"/>
    <xf numFmtId="174" fontId="55" fillId="0" borderId="0" xfId="388" applyFont="1"/>
    <xf numFmtId="174" fontId="83" fillId="0" borderId="0" xfId="0" applyFont="1" applyBorder="1" applyAlignment="1">
      <alignment vertical="top"/>
    </xf>
    <xf numFmtId="174" fontId="83" fillId="0" borderId="0" xfId="0" applyFont="1" applyBorder="1" applyAlignment="1">
      <alignment vertical="top" wrapText="1"/>
    </xf>
    <xf numFmtId="43" fontId="82" fillId="27" borderId="21" xfId="394" applyNumberFormat="1" applyFont="1" applyFill="1" applyBorder="1" applyAlignment="1">
      <alignment horizontal="center" vertical="center" wrapText="1"/>
    </xf>
    <xf numFmtId="43" fontId="82" fillId="27" borderId="12" xfId="394" applyNumberFormat="1" applyFont="1" applyFill="1" applyBorder="1" applyAlignment="1">
      <alignment horizontal="center" vertical="center" wrapText="1"/>
    </xf>
    <xf numFmtId="2" fontId="148" fillId="27" borderId="0" xfId="0" applyNumberFormat="1" applyFont="1" applyFill="1" applyAlignment="1">
      <alignment vertical="center"/>
    </xf>
    <xf numFmtId="2" fontId="149" fillId="27" borderId="0" xfId="0" applyNumberFormat="1" applyFont="1" applyFill="1" applyAlignment="1">
      <alignment vertical="center"/>
    </xf>
    <xf numFmtId="174" fontId="150" fillId="27" borderId="0" xfId="0" applyFont="1" applyFill="1" applyAlignment="1">
      <alignment vertical="center"/>
    </xf>
    <xf numFmtId="2" fontId="150" fillId="27" borderId="0" xfId="0" applyNumberFormat="1" applyFont="1" applyFill="1" applyAlignment="1">
      <alignment vertical="center"/>
    </xf>
    <xf numFmtId="171" fontId="149" fillId="27" borderId="0" xfId="551" applyNumberFormat="1" applyFont="1" applyFill="1" applyAlignment="1">
      <alignment vertical="center"/>
    </xf>
    <xf numFmtId="2" fontId="149" fillId="27" borderId="0" xfId="551" applyNumberFormat="1" applyFont="1" applyFill="1" applyAlignment="1">
      <alignment vertical="center"/>
    </xf>
    <xf numFmtId="2" fontId="151" fillId="27" borderId="0" xfId="0" applyNumberFormat="1" applyFont="1" applyFill="1" applyAlignment="1">
      <alignment vertical="center"/>
    </xf>
    <xf numFmtId="2" fontId="152" fillId="27" borderId="0" xfId="0" applyNumberFormat="1" applyFont="1" applyFill="1" applyAlignment="1">
      <alignment vertical="center"/>
    </xf>
    <xf numFmtId="176" fontId="55" fillId="0" borderId="0" xfId="551" applyNumberFormat="1" applyFont="1" applyBorder="1" applyAlignment="1">
      <alignment horizontal="left"/>
    </xf>
    <xf numFmtId="17" fontId="82" fillId="27" borderId="14" xfId="394" applyNumberFormat="1" applyFont="1" applyFill="1" applyBorder="1" applyAlignment="1">
      <alignment horizontal="center"/>
    </xf>
    <xf numFmtId="38" fontId="73" fillId="27" borderId="22" xfId="0" applyNumberFormat="1" applyFont="1" applyFill="1" applyBorder="1" applyAlignment="1">
      <alignment horizontal="center" vertical="center"/>
    </xf>
    <xf numFmtId="3" fontId="69" fillId="27" borderId="14" xfId="0" applyNumberFormat="1" applyFont="1" applyFill="1" applyBorder="1" applyAlignment="1" applyProtection="1">
      <alignment horizontal="center"/>
    </xf>
    <xf numFmtId="1" fontId="154" fillId="27" borderId="0" xfId="0" applyNumberFormat="1" applyFont="1" applyFill="1"/>
    <xf numFmtId="3" fontId="64" fillId="0" borderId="0" xfId="336" applyNumberFormat="1" applyFont="1" applyFill="1" applyBorder="1" applyAlignment="1">
      <alignment horizontal="center" vertical="center"/>
    </xf>
    <xf numFmtId="3" fontId="64" fillId="0" borderId="24" xfId="336" applyNumberFormat="1" applyFont="1" applyFill="1" applyBorder="1" applyAlignment="1">
      <alignment horizontal="center" vertical="center"/>
    </xf>
    <xf numFmtId="3" fontId="73" fillId="0" borderId="19" xfId="0" applyNumberFormat="1" applyFont="1" applyFill="1" applyBorder="1" applyAlignment="1">
      <alignment horizontal="center" vertical="center"/>
    </xf>
    <xf numFmtId="3" fontId="64" fillId="0" borderId="0" xfId="336" applyNumberFormat="1" applyFont="1" applyFill="1" applyBorder="1" applyAlignment="1">
      <alignment vertical="center"/>
    </xf>
    <xf numFmtId="43" fontId="64" fillId="0" borderId="0" xfId="336" applyNumberFormat="1" applyFont="1" applyFill="1" applyBorder="1" applyAlignment="1">
      <alignment horizontal="right" vertical="center"/>
    </xf>
    <xf numFmtId="174" fontId="55" fillId="0" borderId="0" xfId="0" applyNumberFormat="1" applyFont="1" applyFill="1" applyBorder="1" applyAlignment="1" applyProtection="1">
      <alignment vertical="center"/>
    </xf>
    <xf numFmtId="3" fontId="73" fillId="0" borderId="0" xfId="0" applyNumberFormat="1" applyFont="1" applyFill="1" applyBorder="1" applyAlignment="1">
      <alignment vertical="center"/>
    </xf>
    <xf numFmtId="3" fontId="64" fillId="27" borderId="11" xfId="336" applyNumberFormat="1" applyFont="1" applyFill="1" applyBorder="1" applyAlignment="1">
      <alignment horizontal="center" vertical="center"/>
    </xf>
    <xf numFmtId="3" fontId="64" fillId="27" borderId="22" xfId="336" applyNumberFormat="1" applyFont="1" applyFill="1" applyBorder="1" applyAlignment="1">
      <alignment horizontal="center" vertical="center"/>
    </xf>
    <xf numFmtId="3" fontId="85" fillId="0" borderId="14" xfId="328" applyNumberFormat="1" applyFont="1" applyFill="1" applyBorder="1" applyAlignment="1">
      <alignment horizontal="center" vertical="center"/>
    </xf>
    <xf numFmtId="3" fontId="64" fillId="27" borderId="18" xfId="336" applyNumberFormat="1" applyFont="1" applyFill="1" applyBorder="1" applyAlignment="1">
      <alignment horizontal="center"/>
    </xf>
    <xf numFmtId="3" fontId="83" fillId="27" borderId="11" xfId="328" applyNumberFormat="1" applyFont="1" applyFill="1" applyBorder="1" applyAlignment="1">
      <alignment horizontal="center"/>
    </xf>
    <xf numFmtId="3" fontId="82" fillId="27" borderId="11" xfId="328" applyNumberFormat="1" applyFont="1" applyFill="1" applyBorder="1" applyAlignment="1">
      <alignment horizontal="center"/>
    </xf>
    <xf numFmtId="3" fontId="82" fillId="27" borderId="14" xfId="328" applyNumberFormat="1" applyFont="1" applyFill="1" applyBorder="1" applyAlignment="1">
      <alignment horizontal="center"/>
    </xf>
    <xf numFmtId="10" fontId="82" fillId="27" borderId="11" xfId="328" applyNumberFormat="1" applyFont="1" applyFill="1" applyBorder="1" applyAlignment="1">
      <alignment horizontal="center"/>
    </xf>
    <xf numFmtId="2" fontId="82" fillId="27" borderId="22" xfId="551" applyNumberFormat="1" applyFont="1" applyFill="1" applyBorder="1" applyAlignment="1">
      <alignment horizontal="center"/>
    </xf>
    <xf numFmtId="167" fontId="53" fillId="27" borderId="11" xfId="394" applyNumberFormat="1" applyFont="1" applyFill="1" applyBorder="1" applyAlignment="1">
      <alignment horizontal="center"/>
    </xf>
    <xf numFmtId="171" fontId="82" fillId="27" borderId="11" xfId="397" applyNumberFormat="1" applyFont="1" applyFill="1" applyBorder="1" applyAlignment="1">
      <alignment horizontal="center" vertical="center"/>
    </xf>
    <xf numFmtId="167" fontId="83" fillId="27" borderId="11" xfId="394" applyNumberFormat="1" applyFont="1" applyFill="1" applyBorder="1" applyAlignment="1">
      <alignment horizontal="center" vertical="center"/>
    </xf>
    <xf numFmtId="17" fontId="69" fillId="27" borderId="14" xfId="394" applyNumberFormat="1" applyFont="1" applyFill="1" applyBorder="1" applyAlignment="1">
      <alignment horizontal="center" vertical="center"/>
    </xf>
    <xf numFmtId="167" fontId="69" fillId="27" borderId="11" xfId="324" applyNumberFormat="1" applyFont="1" applyFill="1" applyBorder="1" applyAlignment="1">
      <alignment horizontal="center" vertical="center"/>
    </xf>
    <xf numFmtId="167" fontId="53" fillId="27" borderId="11" xfId="324" applyNumberFormat="1" applyFont="1" applyFill="1" applyBorder="1" applyAlignment="1">
      <alignment horizontal="center" vertical="center"/>
    </xf>
    <xf numFmtId="167" fontId="53" fillId="27" borderId="22" xfId="324" applyNumberFormat="1" applyFont="1" applyFill="1" applyBorder="1" applyAlignment="1">
      <alignment horizontal="center" vertical="center"/>
    </xf>
    <xf numFmtId="167" fontId="83" fillId="27" borderId="11" xfId="324" applyNumberFormat="1" applyFont="1" applyFill="1" applyBorder="1" applyAlignment="1">
      <alignment vertical="center"/>
    </xf>
    <xf numFmtId="167" fontId="83" fillId="27" borderId="22" xfId="324" applyNumberFormat="1" applyFont="1" applyFill="1" applyBorder="1" applyAlignment="1">
      <alignment vertical="center"/>
    </xf>
    <xf numFmtId="175" fontId="53" fillId="27" borderId="20" xfId="0" applyNumberFormat="1" applyFont="1" applyFill="1" applyBorder="1" applyAlignment="1">
      <alignment horizontal="right"/>
    </xf>
    <xf numFmtId="3" fontId="53" fillId="27" borderId="0" xfId="0" applyNumberFormat="1" applyFont="1" applyFill="1" applyBorder="1" applyAlignment="1">
      <alignment horizontal="right"/>
    </xf>
    <xf numFmtId="175" fontId="69" fillId="27" borderId="24" xfId="0" applyNumberFormat="1" applyFont="1" applyFill="1" applyBorder="1" applyAlignment="1">
      <alignment horizontal="right"/>
    </xf>
    <xf numFmtId="49" fontId="69" fillId="27" borderId="20" xfId="0" applyNumberFormat="1" applyFont="1" applyFill="1" applyBorder="1" applyAlignment="1">
      <alignment horizontal="left"/>
    </xf>
    <xf numFmtId="49" fontId="69" fillId="27" borderId="20" xfId="0" applyNumberFormat="1" applyFont="1" applyFill="1" applyBorder="1" applyAlignment="1">
      <alignment horizontal="left" vertical="center"/>
    </xf>
    <xf numFmtId="171" fontId="64" fillId="0" borderId="0" xfId="551" applyNumberFormat="1" applyFont="1" applyFill="1" applyBorder="1" applyAlignment="1">
      <alignment vertical="center"/>
    </xf>
    <xf numFmtId="10" fontId="85" fillId="0" borderId="11" xfId="328" applyNumberFormat="1" applyFont="1" applyFill="1" applyBorder="1" applyAlignment="1">
      <alignment horizontal="center" vertical="center" wrapText="1"/>
    </xf>
    <xf numFmtId="10" fontId="85" fillId="0" borderId="24" xfId="336" applyNumberFormat="1" applyFont="1" applyFill="1" applyBorder="1" applyAlignment="1">
      <alignment horizontal="center" vertical="center"/>
    </xf>
    <xf numFmtId="10" fontId="69" fillId="27" borderId="0" xfId="446" applyNumberFormat="1" applyFont="1" applyFill="1" applyBorder="1" applyAlignment="1">
      <alignment horizontal="center"/>
    </xf>
    <xf numFmtId="174" fontId="82" fillId="27" borderId="17" xfId="450" applyFont="1" applyFill="1" applyBorder="1" applyAlignment="1">
      <alignment horizontal="center" vertical="center"/>
    </xf>
    <xf numFmtId="174" fontId="82" fillId="27" borderId="21" xfId="450" applyFont="1" applyFill="1" applyBorder="1" applyAlignment="1">
      <alignment horizontal="center" vertical="center" wrapText="1"/>
    </xf>
    <xf numFmtId="174" fontId="82" fillId="27" borderId="25" xfId="450" applyFont="1" applyFill="1" applyBorder="1" applyAlignment="1">
      <alignment horizontal="center" vertical="center" wrapText="1"/>
    </xf>
    <xf numFmtId="1" fontId="155" fillId="27" borderId="0" xfId="0" applyNumberFormat="1" applyFont="1" applyFill="1" applyAlignment="1">
      <alignment vertical="center"/>
    </xf>
    <xf numFmtId="174" fontId="120" fillId="27" borderId="0" xfId="0" applyFont="1" applyFill="1"/>
    <xf numFmtId="174" fontId="120" fillId="0" borderId="0" xfId="0" applyFont="1"/>
    <xf numFmtId="187" fontId="120" fillId="27" borderId="0" xfId="0" applyNumberFormat="1" applyFont="1" applyFill="1" applyAlignment="1">
      <alignment vertical="center"/>
    </xf>
    <xf numFmtId="171" fontId="149" fillId="27" borderId="0" xfId="551" applyNumberFormat="1" applyFont="1" applyFill="1"/>
    <xf numFmtId="3" fontId="156" fillId="27" borderId="0" xfId="0" applyNumberFormat="1" applyFont="1" applyFill="1" applyBorder="1" applyAlignment="1" applyProtection="1"/>
    <xf numFmtId="10" fontId="74" fillId="0" borderId="0" xfId="0" applyNumberFormat="1" applyFont="1"/>
    <xf numFmtId="167" fontId="82" fillId="0" borderId="13" xfId="336" applyNumberFormat="1" applyFont="1" applyFill="1" applyBorder="1" applyAlignment="1">
      <alignment horizontal="center" vertical="center" wrapText="1"/>
    </xf>
    <xf numFmtId="171" fontId="82" fillId="27" borderId="17" xfId="0" applyNumberFormat="1" applyFont="1" applyFill="1" applyBorder="1" applyAlignment="1">
      <alignment horizontal="center"/>
    </xf>
    <xf numFmtId="171" fontId="82" fillId="27" borderId="19" xfId="0" applyNumberFormat="1" applyFont="1" applyFill="1" applyBorder="1" applyAlignment="1">
      <alignment horizontal="center"/>
    </xf>
    <xf numFmtId="10" fontId="51" fillId="0" borderId="0" xfId="551" applyNumberFormat="1" applyFont="1" applyAlignment="1">
      <alignment horizontal="center"/>
    </xf>
    <xf numFmtId="174" fontId="51" fillId="0" borderId="0" xfId="0" applyFont="1" applyAlignment="1">
      <alignment horizontal="center"/>
    </xf>
    <xf numFmtId="10" fontId="0" fillId="0" borderId="0" xfId="551" applyNumberFormat="1" applyFont="1" applyAlignment="1">
      <alignment horizontal="center"/>
    </xf>
    <xf numFmtId="10" fontId="0" fillId="0" borderId="0" xfId="0" applyNumberFormat="1" applyAlignment="1">
      <alignment horizontal="center"/>
    </xf>
    <xf numFmtId="10" fontId="137" fillId="0" borderId="0" xfId="551" applyNumberFormat="1" applyFont="1" applyAlignment="1">
      <alignment horizontal="center"/>
    </xf>
    <xf numFmtId="2" fontId="77" fillId="0" borderId="0" xfId="551" applyNumberFormat="1" applyFont="1"/>
    <xf numFmtId="43" fontId="66" fillId="27" borderId="13" xfId="394" applyNumberFormat="1" applyFont="1" applyFill="1" applyBorder="1" applyAlignment="1">
      <alignment horizontal="right"/>
    </xf>
    <xf numFmtId="188" fontId="0" fillId="0" borderId="0" xfId="0" applyNumberFormat="1" applyFill="1" applyBorder="1"/>
    <xf numFmtId="174" fontId="82" fillId="27" borderId="23" xfId="0"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xf>
    <xf numFmtId="49" fontId="82" fillId="27" borderId="20" xfId="0" applyNumberFormat="1" applyFont="1" applyFill="1" applyBorder="1" applyAlignment="1">
      <alignment horizontal="center"/>
    </xf>
    <xf numFmtId="3" fontId="83" fillId="27" borderId="21" xfId="323" applyNumberFormat="1" applyFont="1" applyFill="1" applyBorder="1" applyAlignment="1">
      <alignment horizontal="center"/>
    </xf>
    <xf numFmtId="3" fontId="83" fillId="27" borderId="12" xfId="323" applyNumberFormat="1" applyFont="1" applyFill="1" applyBorder="1" applyAlignment="1">
      <alignment horizontal="center"/>
    </xf>
    <xf numFmtId="3" fontId="82" fillId="27" borderId="12" xfId="323" applyNumberFormat="1" applyFont="1" applyFill="1" applyBorder="1" applyAlignment="1">
      <alignment horizontal="center"/>
    </xf>
    <xf numFmtId="171" fontId="82" fillId="27" borderId="12" xfId="0" applyNumberFormat="1" applyFont="1" applyFill="1" applyBorder="1" applyAlignment="1">
      <alignment horizontal="center"/>
    </xf>
    <xf numFmtId="171" fontId="82" fillId="27" borderId="25" xfId="0" applyNumberFormat="1" applyFont="1" applyFill="1" applyBorder="1" applyAlignment="1">
      <alignment horizontal="center"/>
    </xf>
    <xf numFmtId="3" fontId="82" fillId="27" borderId="15" xfId="0" applyNumberFormat="1" applyFont="1" applyFill="1" applyBorder="1" applyAlignment="1">
      <alignment horizontal="center" vertical="center"/>
    </xf>
    <xf numFmtId="0" fontId="66" fillId="27" borderId="19" xfId="919" applyFont="1" applyFill="1" applyBorder="1" applyAlignment="1">
      <alignment horizontal="left" vertical="center"/>
    </xf>
    <xf numFmtId="0" fontId="47" fillId="0" borderId="0" xfId="919" applyFill="1"/>
    <xf numFmtId="167" fontId="66" fillId="27" borderId="23" xfId="323" applyNumberFormat="1" applyFont="1" applyFill="1" applyBorder="1" applyAlignment="1">
      <alignment vertical="center"/>
    </xf>
    <xf numFmtId="171" fontId="66" fillId="27" borderId="16" xfId="919" applyNumberFormat="1" applyFont="1" applyFill="1" applyBorder="1" applyAlignment="1">
      <alignment vertical="center"/>
    </xf>
    <xf numFmtId="167" fontId="55" fillId="27" borderId="0" xfId="323" applyNumberFormat="1" applyFont="1" applyFill="1" applyBorder="1" applyAlignment="1"/>
    <xf numFmtId="171" fontId="66" fillId="27" borderId="24" xfId="919" applyNumberFormat="1" applyFont="1" applyFill="1" applyBorder="1" applyAlignment="1"/>
    <xf numFmtId="41" fontId="47" fillId="0" borderId="0" xfId="793" applyNumberFormat="1"/>
    <xf numFmtId="171" fontId="82" fillId="27" borderId="12" xfId="551" applyNumberFormat="1" applyFont="1" applyFill="1" applyBorder="1" applyAlignment="1" applyProtection="1"/>
    <xf numFmtId="171" fontId="82" fillId="27" borderId="0" xfId="551" applyNumberFormat="1" applyFont="1" applyFill="1" applyBorder="1" applyAlignment="1" applyProtection="1"/>
    <xf numFmtId="43" fontId="83" fillId="27" borderId="18" xfId="0" applyNumberFormat="1" applyFont="1" applyFill="1" applyBorder="1" applyAlignment="1" applyProtection="1">
      <alignment horizontal="center" vertical="center"/>
    </xf>
    <xf numFmtId="43" fontId="83" fillId="27" borderId="11" xfId="0" applyNumberFormat="1" applyFont="1" applyFill="1" applyBorder="1" applyAlignment="1" applyProtection="1">
      <alignment horizontal="center" vertical="center"/>
    </xf>
    <xf numFmtId="43" fontId="83" fillId="27" borderId="22" xfId="0" applyNumberFormat="1" applyFont="1" applyFill="1" applyBorder="1" applyAlignment="1" applyProtection="1">
      <alignment horizontal="center" vertical="center"/>
    </xf>
    <xf numFmtId="3" fontId="82" fillId="27" borderId="18" xfId="328" applyNumberFormat="1" applyFont="1" applyFill="1" applyBorder="1" applyAlignment="1">
      <alignment horizontal="center" vertical="center"/>
    </xf>
    <xf numFmtId="2" fontId="47" fillId="0" borderId="0" xfId="743" applyNumberFormat="1"/>
    <xf numFmtId="49" fontId="69" fillId="27" borderId="12" xfId="0" applyNumberFormat="1" applyFont="1" applyFill="1" applyBorder="1" applyAlignment="1">
      <alignment horizontal="center" vertical="center" wrapText="1"/>
    </xf>
    <xf numFmtId="174" fontId="158" fillId="0" borderId="0" xfId="1117" applyAlignment="1" applyProtection="1">
      <alignment horizontal="left" indent="5"/>
    </xf>
    <xf numFmtId="174" fontId="51" fillId="0" borderId="0" xfId="0" applyFont="1" applyAlignment="1">
      <alignment horizontal="left"/>
    </xf>
    <xf numFmtId="174" fontId="0" fillId="0" borderId="0" xfId="0" applyAlignment="1">
      <alignment horizontal="left" indent="5"/>
    </xf>
    <xf numFmtId="174" fontId="51" fillId="0" borderId="0" xfId="0" applyFont="1" applyAlignment="1">
      <alignment horizontal="left" indent="5"/>
    </xf>
    <xf numFmtId="174" fontId="158" fillId="0" borderId="0" xfId="1117" applyAlignment="1" applyProtection="1">
      <alignment horizontal="left" indent="8"/>
    </xf>
    <xf numFmtId="174" fontId="158" fillId="0" borderId="0" xfId="1117" applyAlignment="1" applyProtection="1"/>
    <xf numFmtId="174" fontId="0" fillId="0" borderId="0" xfId="0" applyAlignment="1">
      <alignment horizontal="left" indent="8"/>
    </xf>
    <xf numFmtId="174" fontId="158" fillId="27" borderId="0" xfId="1117" applyFill="1" applyAlignment="1" applyProtection="1">
      <alignment horizontal="left" indent="8"/>
    </xf>
    <xf numFmtId="174" fontId="51" fillId="0" borderId="0" xfId="0" applyFont="1" applyAlignment="1">
      <alignment horizontal="left" indent="3"/>
    </xf>
    <xf numFmtId="4" fontId="83" fillId="27" borderId="0" xfId="328" applyNumberFormat="1" applyFont="1" applyFill="1" applyBorder="1" applyAlignment="1">
      <alignment horizontal="center"/>
    </xf>
    <xf numFmtId="183" fontId="55" fillId="0" borderId="0" xfId="0" applyNumberFormat="1" applyFont="1" applyBorder="1" applyAlignment="1">
      <alignment horizontal="left"/>
    </xf>
    <xf numFmtId="41" fontId="100" fillId="0" borderId="0" xfId="626" applyNumberFormat="1" applyFont="1"/>
    <xf numFmtId="180" fontId="51" fillId="0" borderId="0" xfId="0" applyNumberFormat="1" applyFont="1"/>
    <xf numFmtId="4" fontId="47" fillId="0" borderId="0" xfId="579" applyNumberFormat="1"/>
    <xf numFmtId="197" fontId="47" fillId="0" borderId="0" xfId="579" applyNumberFormat="1"/>
    <xf numFmtId="0" fontId="47" fillId="0" borderId="0" xfId="579" applyAlignment="1">
      <alignment horizontal="right"/>
    </xf>
    <xf numFmtId="167" fontId="66" fillId="27" borderId="15" xfId="323" applyNumberFormat="1" applyFont="1" applyFill="1" applyBorder="1" applyAlignment="1">
      <alignment vertical="center"/>
    </xf>
    <xf numFmtId="0" fontId="47" fillId="0" borderId="0" xfId="1121"/>
    <xf numFmtId="0" fontId="47" fillId="0" borderId="0" xfId="1121" applyNumberFormat="1"/>
    <xf numFmtId="0" fontId="47" fillId="0" borderId="0" xfId="1122"/>
    <xf numFmtId="0" fontId="47" fillId="0" borderId="0" xfId="1122" applyAlignment="1">
      <alignment horizontal="left"/>
    </xf>
    <xf numFmtId="0" fontId="47" fillId="0" borderId="0" xfId="1122" applyNumberFormat="1"/>
    <xf numFmtId="0" fontId="66" fillId="27" borderId="13" xfId="919" applyFont="1" applyFill="1" applyBorder="1" applyAlignment="1">
      <alignment horizontal="center" vertical="center" wrapText="1"/>
    </xf>
    <xf numFmtId="0" fontId="47" fillId="0" borderId="0" xfId="1123" applyAlignment="1">
      <alignment horizontal="left"/>
    </xf>
    <xf numFmtId="0" fontId="51" fillId="0" borderId="0" xfId="919" applyFont="1" applyAlignment="1">
      <alignment horizontal="center"/>
    </xf>
    <xf numFmtId="0" fontId="66" fillId="27" borderId="15" xfId="919" applyFont="1" applyFill="1" applyBorder="1" applyAlignment="1">
      <alignment horizontal="center" vertical="center" wrapText="1"/>
    </xf>
    <xf numFmtId="167" fontId="55" fillId="27" borderId="0" xfId="323" applyNumberFormat="1" applyFont="1" applyFill="1" applyBorder="1" applyAlignment="1">
      <alignment horizontal="right"/>
    </xf>
    <xf numFmtId="167" fontId="66" fillId="27" borderId="23" xfId="323" applyNumberFormat="1" applyFont="1" applyFill="1" applyBorder="1" applyAlignment="1">
      <alignment horizontal="right" vertical="center"/>
    </xf>
    <xf numFmtId="174" fontId="82" fillId="27" borderId="23" xfId="0" applyNumberFormat="1" applyFont="1" applyFill="1" applyBorder="1" applyAlignment="1">
      <alignment horizontal="center" vertical="center" wrapText="1"/>
    </xf>
    <xf numFmtId="1" fontId="66" fillId="27" borderId="13" xfId="919" applyNumberFormat="1" applyFont="1" applyFill="1" applyBorder="1" applyAlignment="1">
      <alignment horizontal="center"/>
    </xf>
    <xf numFmtId="167" fontId="66" fillId="27" borderId="23" xfId="323" applyNumberFormat="1" applyFont="1" applyFill="1" applyBorder="1" applyAlignment="1">
      <alignment horizontal="center" vertical="center"/>
    </xf>
    <xf numFmtId="167" fontId="66" fillId="27" borderId="20" xfId="919" applyNumberFormat="1" applyFont="1" applyFill="1" applyBorder="1" applyAlignment="1"/>
    <xf numFmtId="3" fontId="83" fillId="27" borderId="21" xfId="328" applyNumberFormat="1" applyFont="1" applyFill="1" applyBorder="1" applyAlignment="1">
      <alignment horizontal="center" vertical="center"/>
    </xf>
    <xf numFmtId="3" fontId="83" fillId="27" borderId="12" xfId="328" applyNumberFormat="1" applyFont="1" applyFill="1" applyBorder="1" applyAlignment="1">
      <alignment horizontal="center" vertical="center"/>
    </xf>
    <xf numFmtId="3" fontId="83" fillId="27" borderId="24" xfId="328" applyNumberFormat="1" applyFont="1" applyFill="1" applyBorder="1" applyAlignment="1">
      <alignment horizontal="center" vertical="center"/>
    </xf>
    <xf numFmtId="3" fontId="83" fillId="27" borderId="22" xfId="328" applyNumberFormat="1" applyFont="1" applyFill="1" applyBorder="1" applyAlignment="1">
      <alignment horizontal="center" vertical="center"/>
    </xf>
    <xf numFmtId="43" fontId="69" fillId="27" borderId="13" xfId="394" applyNumberFormat="1" applyFont="1" applyFill="1" applyBorder="1" applyAlignment="1">
      <alignment horizontal="center" vertical="center" wrapText="1"/>
    </xf>
    <xf numFmtId="43" fontId="69" fillId="27" borderId="15" xfId="394" applyNumberFormat="1" applyFont="1" applyFill="1" applyBorder="1" applyAlignment="1">
      <alignment horizontal="center" vertical="center" wrapText="1"/>
    </xf>
    <xf numFmtId="3" fontId="82" fillId="27" borderId="17" xfId="328" applyNumberFormat="1" applyFont="1" applyFill="1" applyBorder="1" applyAlignment="1">
      <alignment horizontal="center" vertical="center"/>
    </xf>
    <xf numFmtId="3" fontId="82" fillId="27" borderId="25" xfId="328" applyNumberFormat="1" applyFont="1" applyFill="1" applyBorder="1" applyAlignment="1">
      <alignment horizontal="center" vertical="center"/>
    </xf>
    <xf numFmtId="3" fontId="82" fillId="27" borderId="19" xfId="328" applyNumberFormat="1" applyFont="1" applyFill="1" applyBorder="1" applyAlignment="1">
      <alignment horizontal="center" vertical="center"/>
    </xf>
    <xf numFmtId="3" fontId="82" fillId="27" borderId="24" xfId="328" applyNumberFormat="1" applyFont="1" applyFill="1" applyBorder="1" applyAlignment="1">
      <alignment horizontal="center" vertical="center"/>
    </xf>
    <xf numFmtId="3" fontId="82" fillId="27" borderId="14" xfId="328" applyNumberFormat="1" applyFont="1" applyFill="1" applyBorder="1" applyAlignment="1">
      <alignment horizontal="center" vertical="center"/>
    </xf>
    <xf numFmtId="3" fontId="82" fillId="27" borderId="22" xfId="328" applyNumberFormat="1" applyFont="1" applyFill="1" applyBorder="1" applyAlignment="1">
      <alignment horizontal="center" vertical="center"/>
    </xf>
    <xf numFmtId="2" fontId="0" fillId="0" borderId="0" xfId="551" applyNumberFormat="1" applyFont="1" applyBorder="1" applyAlignment="1">
      <alignment horizontal="left"/>
    </xf>
    <xf numFmtId="3" fontId="53" fillId="27" borderId="11" xfId="325" applyNumberFormat="1" applyFont="1" applyFill="1" applyBorder="1" applyAlignment="1">
      <alignment horizontal="center" vertical="center"/>
    </xf>
    <xf numFmtId="182" fontId="74" fillId="0" borderId="0" xfId="1094" applyFont="1" applyFill="1" applyBorder="1"/>
    <xf numFmtId="49" fontId="69" fillId="27" borderId="17" xfId="0" applyNumberFormat="1" applyFont="1" applyFill="1" applyBorder="1" applyAlignment="1">
      <alignment horizontal="center" vertical="center" wrapText="1"/>
    </xf>
    <xf numFmtId="174" fontId="69" fillId="27" borderId="13" xfId="0" applyFont="1" applyFill="1" applyBorder="1" applyAlignment="1">
      <alignment horizontal="center" vertical="center" wrapText="1"/>
    </xf>
    <xf numFmtId="167" fontId="69" fillId="27" borderId="17" xfId="323" applyNumberFormat="1" applyFont="1" applyFill="1" applyBorder="1"/>
    <xf numFmtId="167" fontId="69" fillId="27" borderId="13" xfId="323" applyNumberFormat="1" applyFont="1" applyFill="1" applyBorder="1" applyAlignment="1">
      <alignment vertical="center"/>
    </xf>
    <xf numFmtId="167" fontId="55" fillId="27" borderId="20" xfId="323" applyNumberFormat="1" applyFont="1" applyFill="1" applyBorder="1" applyAlignment="1">
      <alignment horizontal="center"/>
    </xf>
    <xf numFmtId="49" fontId="66" fillId="27" borderId="15" xfId="0" applyNumberFormat="1" applyFont="1" applyFill="1" applyBorder="1" applyAlignment="1">
      <alignment horizontal="center" vertical="center"/>
    </xf>
    <xf numFmtId="37" fontId="66" fillId="27" borderId="15" xfId="323" applyNumberFormat="1" applyFont="1" applyFill="1" applyBorder="1" applyAlignment="1">
      <alignment horizontal="center" vertical="center"/>
    </xf>
    <xf numFmtId="49" fontId="51" fillId="27" borderId="13" xfId="0" applyNumberFormat="1" applyFont="1" applyFill="1" applyBorder="1" applyAlignment="1">
      <alignment horizontal="center" vertical="center" wrapText="1"/>
    </xf>
    <xf numFmtId="167" fontId="68" fillId="27" borderId="19" xfId="323" applyNumberFormat="1" applyFont="1" applyFill="1" applyBorder="1"/>
    <xf numFmtId="43" fontId="53" fillId="27" borderId="0" xfId="336" applyNumberFormat="1" applyFont="1" applyFill="1" applyBorder="1" applyAlignment="1">
      <alignment vertical="center"/>
    </xf>
    <xf numFmtId="43" fontId="69" fillId="27" borderId="13" xfId="336" applyFont="1" applyFill="1" applyBorder="1" applyAlignment="1">
      <alignment horizontal="center" vertical="center" wrapText="1"/>
    </xf>
    <xf numFmtId="43" fontId="53" fillId="27" borderId="0" xfId="328" applyFont="1" applyFill="1" applyBorder="1" applyAlignment="1">
      <alignment vertical="center"/>
    </xf>
    <xf numFmtId="43" fontId="69" fillId="27" borderId="23" xfId="336" applyFont="1" applyFill="1" applyBorder="1" applyAlignment="1">
      <alignment horizontal="center" vertical="center" wrapText="1"/>
    </xf>
    <xf numFmtId="17" fontId="69" fillId="27" borderId="19" xfId="0" applyNumberFormat="1" applyFont="1" applyFill="1" applyBorder="1" applyAlignment="1">
      <alignment horizontal="center" vertical="center"/>
    </xf>
    <xf numFmtId="43" fontId="69" fillId="27" borderId="19" xfId="336" applyFont="1" applyFill="1" applyBorder="1" applyAlignment="1">
      <alignment vertical="center"/>
    </xf>
    <xf numFmtId="43" fontId="55" fillId="27" borderId="0" xfId="323" applyFont="1" applyFill="1" applyBorder="1"/>
    <xf numFmtId="0" fontId="66" fillId="27" borderId="19" xfId="743" applyFont="1" applyFill="1" applyBorder="1" applyAlignment="1">
      <alignment horizontal="center"/>
    </xf>
    <xf numFmtId="43" fontId="55" fillId="0" borderId="0" xfId="323" applyFont="1" applyFill="1" applyBorder="1" applyAlignment="1">
      <alignment horizontal="right"/>
    </xf>
    <xf numFmtId="0" fontId="66" fillId="0" borderId="19" xfId="744" applyFont="1" applyFill="1" applyBorder="1" applyAlignment="1">
      <alignment horizontal="center"/>
    </xf>
    <xf numFmtId="43" fontId="53" fillId="27" borderId="11" xfId="328" applyFont="1" applyFill="1" applyBorder="1" applyAlignment="1">
      <alignment vertical="center"/>
    </xf>
    <xf numFmtId="174" fontId="0" fillId="0" borderId="0" xfId="0" applyBorder="1"/>
    <xf numFmtId="174" fontId="69" fillId="27" borderId="19" xfId="0" applyNumberFormat="1" applyFont="1" applyFill="1" applyBorder="1" applyAlignment="1">
      <alignment horizontal="left" vertical="center"/>
    </xf>
    <xf numFmtId="43" fontId="34" fillId="27" borderId="0" xfId="336" applyFont="1" applyFill="1" applyBorder="1" applyAlignment="1">
      <alignment horizontal="center"/>
    </xf>
    <xf numFmtId="43" fontId="81" fillId="27" borderId="0" xfId="0" applyNumberFormat="1" applyFont="1" applyFill="1" applyBorder="1" applyAlignment="1">
      <alignment horizontal="right" vertical="center"/>
    </xf>
    <xf numFmtId="43" fontId="81" fillId="27" borderId="0" xfId="0" applyNumberFormat="1" applyFont="1" applyFill="1" applyBorder="1" applyAlignment="1">
      <alignment horizontal="left" vertical="center"/>
    </xf>
    <xf numFmtId="174" fontId="0" fillId="0" borderId="0" xfId="0"/>
    <xf numFmtId="174" fontId="47" fillId="0" borderId="0" xfId="442" applyFont="1"/>
    <xf numFmtId="43" fontId="34" fillId="27" borderId="0" xfId="336" applyFont="1" applyFill="1" applyBorder="1" applyAlignment="1">
      <alignment horizontal="center"/>
    </xf>
    <xf numFmtId="43" fontId="55" fillId="27" borderId="0" xfId="394" applyNumberFormat="1" applyFont="1" applyFill="1" applyBorder="1" applyAlignment="1">
      <alignment horizontal="right"/>
    </xf>
    <xf numFmtId="49" fontId="66" fillId="27" borderId="23" xfId="394" applyNumberFormat="1" applyFont="1" applyFill="1" applyBorder="1" applyAlignment="1">
      <alignment horizontal="center" vertical="center"/>
    </xf>
    <xf numFmtId="43" fontId="53" fillId="27" borderId="0" xfId="336" applyNumberFormat="1" applyFont="1" applyFill="1" applyBorder="1"/>
    <xf numFmtId="43" fontId="69" fillId="27" borderId="19" xfId="0" applyNumberFormat="1" applyFont="1" applyFill="1" applyBorder="1" applyAlignment="1">
      <alignment horizontal="center" vertical="center"/>
    </xf>
    <xf numFmtId="0" fontId="69" fillId="27" borderId="13" xfId="579" applyFont="1" applyFill="1" applyBorder="1" applyAlignment="1">
      <alignment horizontal="center"/>
    </xf>
    <xf numFmtId="43" fontId="55" fillId="27" borderId="0" xfId="323" applyFont="1" applyFill="1" applyBorder="1"/>
    <xf numFmtId="169" fontId="69" fillId="27" borderId="23" xfId="323" applyNumberFormat="1" applyFont="1" applyFill="1" applyBorder="1" applyAlignment="1">
      <alignment vertical="center"/>
    </xf>
    <xf numFmtId="43" fontId="55" fillId="27" borderId="0" xfId="323" applyFont="1" applyFill="1" applyBorder="1" applyAlignment="1">
      <alignment horizontal="right"/>
    </xf>
    <xf numFmtId="4" fontId="95" fillId="27" borderId="24" xfId="323" applyNumberFormat="1" applyFont="1" applyFill="1" applyBorder="1" applyAlignment="1">
      <alignment horizontal="right"/>
    </xf>
    <xf numFmtId="49" fontId="104" fillId="27" borderId="19" xfId="388" applyNumberFormat="1" applyFont="1" applyFill="1" applyBorder="1" applyAlignment="1">
      <alignment horizontal="center"/>
    </xf>
    <xf numFmtId="43" fontId="34" fillId="27" borderId="20" xfId="336" applyFont="1" applyFill="1" applyBorder="1" applyAlignment="1">
      <alignment horizontal="center" vertical="center"/>
    </xf>
    <xf numFmtId="43" fontId="81" fillId="27" borderId="0" xfId="323" applyFont="1" applyFill="1" applyBorder="1"/>
    <xf numFmtId="43" fontId="81" fillId="27" borderId="0" xfId="323" applyFont="1" applyFill="1" applyBorder="1" applyAlignment="1">
      <alignment horizontal="right"/>
    </xf>
    <xf numFmtId="10" fontId="83" fillId="27" borderId="24" xfId="450" applyNumberFormat="1" applyFont="1" applyFill="1" applyBorder="1" applyAlignment="1">
      <alignment horizontal="center"/>
    </xf>
    <xf numFmtId="10" fontId="83" fillId="27" borderId="22" xfId="450" applyNumberFormat="1" applyFont="1" applyFill="1" applyBorder="1" applyAlignment="1">
      <alignment horizontal="center"/>
    </xf>
    <xf numFmtId="0" fontId="82" fillId="27" borderId="19" xfId="0" applyNumberFormat="1" applyFont="1" applyFill="1" applyBorder="1" applyAlignment="1">
      <alignment horizontal="center" vertical="center"/>
    </xf>
    <xf numFmtId="40" fontId="83" fillId="27" borderId="0" xfId="335" applyNumberFormat="1" applyFont="1" applyFill="1" applyBorder="1" applyAlignment="1">
      <alignment vertical="center"/>
    </xf>
    <xf numFmtId="40" fontId="83" fillId="27" borderId="0" xfId="0" applyNumberFormat="1" applyFont="1" applyFill="1" applyBorder="1" applyAlignment="1">
      <alignment vertical="center"/>
    </xf>
    <xf numFmtId="10" fontId="83" fillId="27" borderId="25" xfId="450" applyNumberFormat="1" applyFont="1" applyFill="1" applyBorder="1" applyAlignment="1">
      <alignment horizontal="center"/>
    </xf>
    <xf numFmtId="174" fontId="0" fillId="0" borderId="0" xfId="0" applyAlignment="1">
      <alignment horizontal="center"/>
    </xf>
    <xf numFmtId="3" fontId="83" fillId="27" borderId="20" xfId="328" applyNumberFormat="1" applyFont="1" applyFill="1" applyBorder="1" applyAlignment="1">
      <alignment horizontal="center"/>
    </xf>
    <xf numFmtId="3" fontId="83" fillId="27" borderId="18"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9" fillId="0" borderId="0" xfId="0" applyFont="1" applyFill="1" applyBorder="1" applyAlignment="1">
      <alignment vertical="center" wrapText="1"/>
    </xf>
    <xf numFmtId="167" fontId="83" fillId="27" borderId="0" xfId="323" applyNumberFormat="1" applyFont="1" applyFill="1" applyBorder="1" applyAlignment="1">
      <alignment horizontal="center"/>
    </xf>
    <xf numFmtId="43" fontId="82" fillId="27" borderId="17" xfId="394" applyNumberFormat="1" applyFont="1" applyFill="1" applyBorder="1" applyAlignment="1">
      <alignment horizontal="center" vertical="center" wrapText="1"/>
    </xf>
    <xf numFmtId="167" fontId="82" fillId="27" borderId="17" xfId="394" applyNumberFormat="1" applyFont="1" applyFill="1" applyBorder="1" applyAlignment="1">
      <alignment horizontal="center" vertical="center"/>
    </xf>
    <xf numFmtId="167" fontId="82" fillId="27" borderId="19" xfId="394" applyNumberFormat="1" applyFont="1" applyFill="1" applyBorder="1" applyAlignment="1">
      <alignment horizontal="center" vertical="center"/>
    </xf>
    <xf numFmtId="167" fontId="82" fillId="27" borderId="14" xfId="394" applyNumberFormat="1" applyFont="1" applyFill="1" applyBorder="1" applyAlignment="1">
      <alignment horizontal="center" vertical="center"/>
    </xf>
    <xf numFmtId="3" fontId="95" fillId="27" borderId="0" xfId="325" applyNumberFormat="1" applyFont="1" applyFill="1" applyBorder="1" applyAlignment="1">
      <alignment horizontal="center"/>
    </xf>
    <xf numFmtId="3" fontId="104" fillId="27" borderId="0" xfId="0" applyNumberFormat="1" applyFont="1" applyFill="1" applyBorder="1" applyAlignment="1">
      <alignment horizontal="center"/>
    </xf>
    <xf numFmtId="3" fontId="95" fillId="27" borderId="11" xfId="325" applyNumberFormat="1" applyFont="1" applyFill="1" applyBorder="1" applyAlignment="1">
      <alignment horizontal="center"/>
    </xf>
    <xf numFmtId="3" fontId="104" fillId="27" borderId="11" xfId="0" applyNumberFormat="1" applyFont="1" applyFill="1" applyBorder="1" applyAlignment="1">
      <alignment horizontal="center"/>
    </xf>
    <xf numFmtId="0" fontId="66" fillId="0" borderId="13" xfId="744" applyFont="1" applyFill="1" applyBorder="1" applyAlignment="1">
      <alignment horizontal="center" vertical="center"/>
    </xf>
    <xf numFmtId="43" fontId="66" fillId="0" borderId="23" xfId="323" applyFont="1" applyFill="1" applyBorder="1" applyAlignment="1">
      <alignment vertical="center"/>
    </xf>
    <xf numFmtId="43" fontId="66" fillId="0" borderId="13" xfId="323" applyFont="1" applyFill="1" applyBorder="1" applyAlignment="1">
      <alignment vertical="center"/>
    </xf>
    <xf numFmtId="43" fontId="53" fillId="27" borderId="11" xfId="336" applyNumberFormat="1" applyFont="1" applyFill="1" applyBorder="1"/>
    <xf numFmtId="0" fontId="69" fillId="27" borderId="14" xfId="0" applyNumberFormat="1" applyFont="1" applyFill="1" applyBorder="1" applyAlignment="1">
      <alignment horizontal="center"/>
    </xf>
    <xf numFmtId="10" fontId="69" fillId="27" borderId="11" xfId="0" applyNumberFormat="1" applyFont="1" applyFill="1" applyBorder="1" applyAlignment="1">
      <alignment horizontal="right" vertical="center"/>
    </xf>
    <xf numFmtId="43" fontId="53" fillId="27" borderId="11" xfId="0" applyNumberFormat="1" applyFont="1" applyFill="1" applyBorder="1" applyAlignment="1">
      <alignment horizontal="right" vertical="center"/>
    </xf>
    <xf numFmtId="10" fontId="69" fillId="0" borderId="11" xfId="0" applyNumberFormat="1" applyFont="1" applyFill="1" applyBorder="1" applyAlignment="1">
      <alignment horizontal="right" vertical="center"/>
    </xf>
    <xf numFmtId="43" fontId="69" fillId="27" borderId="14" xfId="0" applyNumberFormat="1" applyFont="1" applyFill="1" applyBorder="1" applyAlignment="1">
      <alignment vertical="center"/>
    </xf>
    <xf numFmtId="167" fontId="69" fillId="27" borderId="13" xfId="0" applyNumberFormat="1" applyFont="1" applyFill="1" applyBorder="1" applyAlignment="1">
      <alignment horizontal="center" wrapText="1"/>
    </xf>
    <xf numFmtId="167" fontId="68" fillId="27" borderId="19" xfId="323" applyNumberFormat="1" applyFont="1" applyFill="1" applyBorder="1" applyAlignment="1">
      <alignment horizontal="right"/>
    </xf>
    <xf numFmtId="167" fontId="69" fillId="27" borderId="19" xfId="323" applyNumberFormat="1" applyFont="1" applyFill="1" applyBorder="1" applyAlignment="1">
      <alignment horizontal="right"/>
    </xf>
    <xf numFmtId="174" fontId="0" fillId="0" borderId="0" xfId="0" applyAlignment="1">
      <alignment horizontal="center"/>
    </xf>
    <xf numFmtId="174" fontId="82" fillId="27" borderId="23" xfId="0" applyFont="1" applyFill="1" applyBorder="1" applyAlignment="1">
      <alignment horizontal="center" vertical="center" wrapText="1"/>
    </xf>
    <xf numFmtId="10" fontId="68" fillId="27" borderId="13" xfId="0" applyNumberFormat="1" applyFont="1" applyFill="1" applyBorder="1" applyAlignment="1">
      <alignment horizontal="right" vertical="center" wrapText="1"/>
    </xf>
    <xf numFmtId="10" fontId="68" fillId="27" borderId="19" xfId="323" applyNumberFormat="1" applyFont="1" applyFill="1" applyBorder="1" applyAlignment="1">
      <alignment horizontal="right"/>
    </xf>
    <xf numFmtId="49" fontId="52" fillId="27" borderId="15" xfId="0" applyNumberFormat="1" applyFont="1" applyFill="1" applyBorder="1" applyAlignment="1">
      <alignment horizontal="center" vertical="center" wrapText="1"/>
    </xf>
    <xf numFmtId="171" fontId="52" fillId="27" borderId="20" xfId="0" applyNumberFormat="1" applyFont="1" applyFill="1" applyBorder="1" applyAlignment="1">
      <alignment vertical="center"/>
    </xf>
    <xf numFmtId="171" fontId="52" fillId="27" borderId="15" xfId="0" applyNumberFormat="1" applyFont="1" applyFill="1" applyBorder="1" applyAlignment="1">
      <alignment horizontal="right" wrapText="1"/>
    </xf>
    <xf numFmtId="167" fontId="52" fillId="27" borderId="19" xfId="0" applyNumberFormat="1" applyFont="1" applyFill="1" applyBorder="1" applyAlignment="1">
      <alignment horizontal="center" vertical="center" wrapText="1"/>
    </xf>
    <xf numFmtId="167" fontId="52" fillId="27" borderId="13" xfId="0" applyNumberFormat="1" applyFont="1" applyFill="1" applyBorder="1" applyAlignment="1">
      <alignment horizontal="center" wrapText="1"/>
    </xf>
    <xf numFmtId="49" fontId="68" fillId="0" borderId="23" xfId="0" applyNumberFormat="1" applyFont="1" applyFill="1" applyBorder="1" applyAlignment="1">
      <alignment vertical="center" wrapText="1"/>
    </xf>
    <xf numFmtId="49" fontId="68" fillId="0" borderId="15" xfId="0" applyNumberFormat="1" applyFont="1" applyFill="1" applyBorder="1" applyAlignment="1">
      <alignment vertical="center" wrapText="1"/>
    </xf>
    <xf numFmtId="49" fontId="68" fillId="0" borderId="16" xfId="0" applyNumberFormat="1" applyFont="1" applyFill="1" applyBorder="1" applyAlignment="1">
      <alignment vertical="center" wrapText="1"/>
    </xf>
    <xf numFmtId="0" fontId="61" fillId="0" borderId="0" xfId="323" applyNumberFormat="1" applyFont="1" applyFill="1" applyBorder="1" applyAlignment="1"/>
    <xf numFmtId="167" fontId="61" fillId="0" borderId="0" xfId="323" applyNumberFormat="1" applyFont="1" applyFill="1" applyBorder="1" applyAlignment="1"/>
    <xf numFmtId="167" fontId="68" fillId="0" borderId="19" xfId="0" applyNumberFormat="1" applyFont="1" applyFill="1" applyBorder="1" applyAlignment="1">
      <alignment wrapText="1"/>
    </xf>
    <xf numFmtId="171" fontId="68" fillId="0" borderId="20" xfId="0" applyNumberFormat="1" applyFont="1" applyFill="1" applyBorder="1" applyAlignment="1"/>
    <xf numFmtId="171" fontId="68" fillId="0" borderId="24" xfId="0" applyNumberFormat="1" applyFont="1" applyFill="1" applyBorder="1" applyAlignment="1"/>
    <xf numFmtId="167" fontId="68" fillId="0" borderId="23" xfId="0" applyNumberFormat="1" applyFont="1" applyFill="1" applyBorder="1" applyAlignment="1">
      <alignment wrapText="1"/>
    </xf>
    <xf numFmtId="167" fontId="68" fillId="0" borderId="13" xfId="0" applyNumberFormat="1" applyFont="1" applyFill="1" applyBorder="1" applyAlignment="1">
      <alignment wrapText="1"/>
    </xf>
    <xf numFmtId="171" fontId="68" fillId="0" borderId="15" xfId="0" applyNumberFormat="1" applyFont="1" applyFill="1" applyBorder="1" applyAlignment="1">
      <alignment wrapText="1"/>
    </xf>
    <xf numFmtId="171" fontId="68" fillId="0" borderId="16" xfId="0" applyNumberFormat="1" applyFont="1" applyFill="1" applyBorder="1" applyAlignment="1">
      <alignment wrapText="1"/>
    </xf>
    <xf numFmtId="10" fontId="68" fillId="27" borderId="20" xfId="323" applyNumberFormat="1" applyFont="1" applyFill="1" applyBorder="1" applyAlignment="1">
      <alignment horizontal="right" vertical="center"/>
    </xf>
    <xf numFmtId="10" fontId="68" fillId="27" borderId="15" xfId="0" applyNumberFormat="1" applyFont="1" applyFill="1" applyBorder="1" applyAlignment="1">
      <alignment vertical="center"/>
    </xf>
    <xf numFmtId="167" fontId="68" fillId="27" borderId="13" xfId="0" applyNumberFormat="1" applyFont="1" applyFill="1" applyBorder="1" applyAlignment="1">
      <alignment horizontal="center" vertical="center" wrapText="1"/>
    </xf>
    <xf numFmtId="167" fontId="68" fillId="27" borderId="19" xfId="323" applyNumberFormat="1" applyFont="1" applyFill="1" applyBorder="1" applyAlignment="1">
      <alignment horizontal="right" vertical="center"/>
    </xf>
    <xf numFmtId="167" fontId="69" fillId="27" borderId="19" xfId="323" applyNumberFormat="1" applyFont="1" applyFill="1" applyBorder="1" applyAlignment="1">
      <alignment horizontal="right" vertical="center"/>
    </xf>
    <xf numFmtId="167" fontId="68" fillId="27" borderId="19" xfId="323" applyNumberFormat="1" applyFont="1" applyFill="1" applyBorder="1" applyAlignment="1">
      <alignment horizontal="center" vertical="center"/>
    </xf>
    <xf numFmtId="167" fontId="69" fillId="27" borderId="19" xfId="323" applyNumberFormat="1" applyFont="1" applyFill="1" applyBorder="1" applyAlignment="1">
      <alignment horizontal="center" vertical="center"/>
    </xf>
    <xf numFmtId="167" fontId="64" fillId="27" borderId="17" xfId="323" applyNumberFormat="1" applyFont="1" applyFill="1" applyBorder="1" applyAlignment="1">
      <alignment horizontal="center" vertical="center"/>
    </xf>
    <xf numFmtId="171" fontId="105" fillId="0" borderId="20" xfId="626" applyNumberFormat="1" applyFont="1" applyFill="1" applyBorder="1" applyAlignment="1">
      <alignment horizontal="center"/>
    </xf>
    <xf numFmtId="171" fontId="105" fillId="0" borderId="18" xfId="626" applyNumberFormat="1" applyFont="1" applyFill="1" applyBorder="1" applyAlignment="1">
      <alignment horizontal="center"/>
    </xf>
    <xf numFmtId="171" fontId="105" fillId="0" borderId="20" xfId="392" applyNumberFormat="1" applyFont="1" applyFill="1" applyBorder="1" applyAlignment="1">
      <alignment horizontal="center"/>
    </xf>
    <xf numFmtId="171" fontId="105" fillId="0" borderId="24" xfId="392" applyNumberFormat="1" applyFont="1" applyFill="1" applyBorder="1" applyAlignment="1">
      <alignment horizontal="center"/>
    </xf>
    <xf numFmtId="171" fontId="105" fillId="0" borderId="18" xfId="392" applyNumberFormat="1" applyFont="1" applyFill="1" applyBorder="1" applyAlignment="1">
      <alignment horizontal="center"/>
    </xf>
    <xf numFmtId="171" fontId="105" fillId="0" borderId="22" xfId="392" applyNumberFormat="1" applyFont="1" applyFill="1" applyBorder="1" applyAlignment="1">
      <alignment horizontal="center"/>
    </xf>
    <xf numFmtId="171" fontId="85" fillId="27" borderId="0" xfId="551" applyNumberFormat="1" applyFont="1" applyFill="1" applyBorder="1" applyAlignment="1" applyProtection="1">
      <alignment horizontal="right"/>
    </xf>
    <xf numFmtId="171" fontId="85" fillId="27" borderId="24" xfId="0" applyNumberFormat="1" applyFont="1" applyFill="1" applyBorder="1" applyAlignment="1">
      <alignment horizontal="right"/>
    </xf>
    <xf numFmtId="174" fontId="73" fillId="0" borderId="0" xfId="0" applyFont="1"/>
    <xf numFmtId="173" fontId="83" fillId="27" borderId="0" xfId="323" applyNumberFormat="1" applyFont="1" applyFill="1" applyBorder="1" applyAlignment="1">
      <alignment horizontal="center"/>
    </xf>
    <xf numFmtId="167" fontId="82" fillId="27" borderId="23" xfId="323" applyNumberFormat="1" applyFont="1" applyFill="1" applyBorder="1" applyAlignment="1"/>
    <xf numFmtId="10" fontId="82" fillId="27" borderId="16" xfId="0" applyNumberFormat="1" applyFont="1" applyFill="1" applyBorder="1" applyAlignment="1"/>
    <xf numFmtId="167" fontId="83" fillId="27" borderId="23" xfId="323" applyNumberFormat="1" applyFont="1" applyFill="1" applyBorder="1" applyAlignment="1"/>
    <xf numFmtId="167" fontId="83" fillId="27" borderId="0" xfId="323" applyNumberFormat="1" applyFont="1" applyFill="1" applyBorder="1" applyAlignment="1">
      <alignment vertical="center"/>
    </xf>
    <xf numFmtId="167" fontId="83" fillId="27" borderId="0" xfId="323" applyNumberFormat="1" applyFont="1" applyFill="1" applyBorder="1" applyAlignment="1">
      <alignment horizontal="center" vertical="center"/>
    </xf>
    <xf numFmtId="173" fontId="83" fillId="27" borderId="0" xfId="323" applyNumberFormat="1" applyFont="1" applyFill="1" applyBorder="1" applyAlignment="1">
      <alignment horizontal="center" vertical="center"/>
    </xf>
    <xf numFmtId="10" fontId="82" fillId="27" borderId="24" xfId="0" applyNumberFormat="1" applyFont="1" applyFill="1" applyBorder="1" applyAlignment="1">
      <alignment vertical="center"/>
    </xf>
    <xf numFmtId="2" fontId="0" fillId="0" borderId="0" xfId="551" applyNumberFormat="1" applyFont="1" applyBorder="1" applyAlignment="1">
      <alignment vertical="center"/>
    </xf>
    <xf numFmtId="174" fontId="52" fillId="27" borderId="15" xfId="0" applyNumberFormat="1" applyFont="1" applyFill="1" applyBorder="1" applyAlignment="1">
      <alignment horizontal="center" vertical="center"/>
    </xf>
    <xf numFmtId="171" fontId="47" fillId="0" borderId="0" xfId="1123" applyNumberFormat="1" applyAlignment="1">
      <alignment horizontal="left"/>
    </xf>
    <xf numFmtId="1" fontId="47" fillId="0" borderId="0" xfId="919" applyNumberFormat="1"/>
    <xf numFmtId="171" fontId="66" fillId="27" borderId="20" xfId="551" applyNumberFormat="1" applyFont="1" applyFill="1" applyBorder="1" applyAlignment="1"/>
    <xf numFmtId="171" fontId="66" fillId="27" borderId="24" xfId="551" applyNumberFormat="1" applyFont="1" applyFill="1" applyBorder="1" applyAlignment="1"/>
    <xf numFmtId="171" fontId="66" fillId="27" borderId="18" xfId="551" applyNumberFormat="1" applyFont="1" applyFill="1" applyBorder="1" applyAlignment="1"/>
    <xf numFmtId="171" fontId="66" fillId="27" borderId="22" xfId="551" applyNumberFormat="1" applyFont="1" applyFill="1" applyBorder="1" applyAlignment="1"/>
    <xf numFmtId="171" fontId="160" fillId="31" borderId="0" xfId="551" applyNumberFormat="1" applyFont="1" applyFill="1"/>
    <xf numFmtId="171" fontId="161" fillId="0" borderId="0" xfId="551" applyNumberFormat="1" applyFont="1"/>
    <xf numFmtId="182" fontId="114" fillId="0" borderId="0" xfId="0" applyNumberFormat="1" applyFont="1" applyBorder="1" applyAlignment="1">
      <alignment horizontal="left"/>
    </xf>
    <xf numFmtId="174" fontId="134" fillId="0" borderId="0" xfId="0" applyFont="1"/>
    <xf numFmtId="174" fontId="120" fillId="0" borderId="0" xfId="0" applyNumberFormat="1" applyFont="1"/>
    <xf numFmtId="174" fontId="74" fillId="0" borderId="0" xfId="0" applyFont="1" applyAlignment="1">
      <alignment horizontal="left"/>
    </xf>
    <xf numFmtId="174" fontId="73" fillId="0" borderId="0" xfId="0" applyFont="1" applyAlignment="1">
      <alignment horizontal="left"/>
    </xf>
    <xf numFmtId="174" fontId="74" fillId="0" borderId="0" xfId="0" applyNumberFormat="1" applyFont="1" applyAlignment="1">
      <alignment horizontal="left"/>
    </xf>
    <xf numFmtId="3" fontId="82" fillId="27" borderId="20" xfId="328" applyNumberFormat="1" applyFont="1" applyFill="1" applyBorder="1" applyAlignment="1">
      <alignment horizontal="center"/>
    </xf>
    <xf numFmtId="2" fontId="82" fillId="27" borderId="24" xfId="328" applyNumberFormat="1" applyFont="1" applyFill="1" applyBorder="1" applyAlignment="1">
      <alignment horizontal="center"/>
    </xf>
    <xf numFmtId="10" fontId="83" fillId="0" borderId="0" xfId="0" applyNumberFormat="1" applyFont="1" applyFill="1" applyBorder="1" applyAlignment="1" applyProtection="1">
      <alignment horizontal="center"/>
    </xf>
    <xf numFmtId="174" fontId="67" fillId="0" borderId="0" xfId="0" applyNumberFormat="1" applyFont="1" applyBorder="1" applyAlignment="1">
      <alignment horizontal="center"/>
    </xf>
    <xf numFmtId="3" fontId="82" fillId="27" borderId="18" xfId="328" applyNumberFormat="1" applyFont="1" applyFill="1" applyBorder="1" applyAlignment="1">
      <alignment horizontal="center"/>
    </xf>
    <xf numFmtId="2" fontId="82" fillId="27" borderId="22" xfId="328" applyNumberFormat="1" applyFont="1" applyFill="1" applyBorder="1" applyAlignment="1">
      <alignment horizontal="center"/>
    </xf>
    <xf numFmtId="174" fontId="71" fillId="0" borderId="0" xfId="0" applyFont="1" applyFill="1" applyBorder="1" applyAlignment="1">
      <alignment horizontal="left" vertical="center" wrapText="1"/>
    </xf>
    <xf numFmtId="0" fontId="89" fillId="0" borderId="0" xfId="744" applyFont="1" applyFill="1" applyBorder="1" applyAlignment="1">
      <alignment horizontal="center" vertical="center" wrapText="1"/>
    </xf>
    <xf numFmtId="174" fontId="0" fillId="0" borderId="0" xfId="0" applyAlignment="1">
      <alignment horizontal="center"/>
    </xf>
    <xf numFmtId="171" fontId="82" fillId="27" borderId="23" xfId="0" applyNumberFormat="1" applyFont="1" applyFill="1" applyBorder="1" applyAlignment="1"/>
    <xf numFmtId="41" fontId="69" fillId="27" borderId="17" xfId="0" applyNumberFormat="1" applyFont="1" applyFill="1" applyBorder="1" applyAlignment="1">
      <alignment horizontal="center" vertical="center"/>
    </xf>
    <xf numFmtId="41" fontId="69" fillId="27" borderId="19" xfId="0" applyNumberFormat="1" applyFont="1" applyFill="1" applyBorder="1" applyAlignment="1">
      <alignment horizontal="center" vertical="center"/>
    </xf>
    <xf numFmtId="3" fontId="85" fillId="27" borderId="19" xfId="0" applyNumberFormat="1" applyFont="1" applyFill="1" applyBorder="1" applyAlignment="1" applyProtection="1">
      <alignment horizontal="right"/>
    </xf>
    <xf numFmtId="40" fontId="53" fillId="27" borderId="0" xfId="323" applyNumberFormat="1" applyFont="1" applyFill="1" applyBorder="1" applyAlignment="1">
      <alignment horizontal="center" vertical="center"/>
    </xf>
    <xf numFmtId="40" fontId="69" fillId="27" borderId="23" xfId="323" applyNumberFormat="1" applyFont="1" applyFill="1" applyBorder="1" applyAlignment="1">
      <alignment horizontal="center" vertical="center"/>
    </xf>
    <xf numFmtId="174" fontId="47" fillId="0" borderId="0" xfId="388" applyFont="1" applyBorder="1" applyAlignment="1">
      <alignment horizontal="center"/>
    </xf>
    <xf numFmtId="174" fontId="61" fillId="0" borderId="0" xfId="388" applyNumberFormat="1" applyFont="1" applyAlignment="1">
      <alignment horizontal="center"/>
    </xf>
    <xf numFmtId="171" fontId="0" fillId="0" borderId="0" xfId="551" applyNumberFormat="1" applyFont="1" applyAlignment="1">
      <alignment horizontal="center"/>
    </xf>
    <xf numFmtId="40" fontId="147" fillId="0" borderId="0" xfId="742" applyNumberFormat="1" applyFont="1"/>
    <xf numFmtId="2" fontId="147" fillId="0" borderId="0" xfId="743" applyNumberFormat="1" applyFont="1"/>
    <xf numFmtId="0" fontId="69" fillId="0" borderId="0" xfId="744" applyFont="1" applyFill="1" applyBorder="1" applyAlignment="1">
      <alignment horizontal="center" vertical="center"/>
    </xf>
    <xf numFmtId="10" fontId="66" fillId="0" borderId="0" xfId="551" applyNumberFormat="1" applyFont="1" applyFill="1" applyBorder="1"/>
    <xf numFmtId="174" fontId="158" fillId="0" borderId="0" xfId="1117" quotePrefix="1" applyAlignment="1" applyProtection="1"/>
    <xf numFmtId="0" fontId="82" fillId="27" borderId="13" xfId="919" applyFont="1" applyFill="1" applyBorder="1" applyAlignment="1">
      <alignment horizontal="center" vertical="center"/>
    </xf>
    <xf numFmtId="0" fontId="82" fillId="27" borderId="23" xfId="919" applyFont="1" applyFill="1" applyBorder="1" applyAlignment="1">
      <alignment horizontal="center" vertical="center" wrapText="1"/>
    </xf>
    <xf numFmtId="0" fontId="82" fillId="27" borderId="13" xfId="919" applyFont="1" applyFill="1" applyBorder="1" applyAlignment="1">
      <alignment horizontal="center" vertical="center" wrapText="1"/>
    </xf>
    <xf numFmtId="0" fontId="82" fillId="27" borderId="19" xfId="919" applyFont="1" applyFill="1" applyBorder="1" applyAlignment="1">
      <alignment horizontal="left" vertical="center"/>
    </xf>
    <xf numFmtId="167" fontId="83" fillId="27" borderId="19" xfId="323" applyNumberFormat="1" applyFont="1" applyFill="1" applyBorder="1" applyAlignment="1"/>
    <xf numFmtId="171" fontId="83" fillId="27" borderId="19" xfId="551" applyNumberFormat="1" applyFont="1" applyFill="1" applyBorder="1" applyAlignment="1"/>
    <xf numFmtId="167" fontId="82" fillId="27" borderId="23" xfId="323" applyNumberFormat="1" applyFont="1" applyFill="1" applyBorder="1" applyAlignment="1">
      <alignment vertical="center"/>
    </xf>
    <xf numFmtId="167" fontId="82" fillId="27" borderId="13" xfId="323" applyNumberFormat="1" applyFont="1" applyFill="1" applyBorder="1" applyAlignment="1">
      <alignment vertical="center"/>
    </xf>
    <xf numFmtId="9" fontId="82" fillId="27" borderId="13" xfId="551" applyNumberFormat="1" applyFont="1" applyFill="1" applyBorder="1" applyAlignment="1">
      <alignment vertical="center"/>
    </xf>
    <xf numFmtId="0" fontId="61" fillId="0" borderId="0" xfId="919" applyFont="1"/>
    <xf numFmtId="17" fontId="69" fillId="0" borderId="17" xfId="0" applyNumberFormat="1" applyFont="1" applyFill="1" applyBorder="1" applyAlignment="1" applyProtection="1">
      <alignment horizontal="center" vertical="center"/>
    </xf>
    <xf numFmtId="17" fontId="69" fillId="0" borderId="19" xfId="0" applyNumberFormat="1" applyFont="1" applyFill="1" applyBorder="1" applyAlignment="1" applyProtection="1">
      <alignment horizontal="center" vertical="center"/>
    </xf>
    <xf numFmtId="17" fontId="69" fillId="0" borderId="14" xfId="0" applyNumberFormat="1" applyFont="1" applyFill="1" applyBorder="1" applyAlignment="1" applyProtection="1">
      <alignment horizontal="center" vertical="center"/>
    </xf>
    <xf numFmtId="17" fontId="69" fillId="27" borderId="14" xfId="0" applyNumberFormat="1" applyFont="1" applyFill="1" applyBorder="1" applyAlignment="1">
      <alignment horizontal="center" vertical="center"/>
    </xf>
    <xf numFmtId="2" fontId="69" fillId="27" borderId="19" xfId="394" applyNumberFormat="1" applyFont="1" applyFill="1" applyBorder="1" applyAlignment="1">
      <alignment horizontal="center"/>
    </xf>
    <xf numFmtId="167" fontId="69" fillId="27" borderId="19" xfId="323" applyNumberFormat="1" applyFont="1" applyFill="1" applyBorder="1" applyAlignment="1">
      <alignment horizontal="center"/>
    </xf>
    <xf numFmtId="0" fontId="69" fillId="27" borderId="14" xfId="388" applyNumberFormat="1" applyFont="1" applyFill="1" applyBorder="1" applyAlignment="1">
      <alignment horizontal="center" vertical="center"/>
    </xf>
    <xf numFmtId="171" fontId="73" fillId="0" borderId="19" xfId="0" applyNumberFormat="1" applyFont="1" applyFill="1" applyBorder="1" applyAlignment="1">
      <alignment horizontal="center" vertical="center"/>
    </xf>
    <xf numFmtId="171" fontId="73" fillId="0" borderId="14" xfId="0" applyNumberFormat="1" applyFont="1" applyFill="1" applyBorder="1" applyAlignment="1">
      <alignment horizontal="center" vertical="center"/>
    </xf>
    <xf numFmtId="167" fontId="82" fillId="27" borderId="13" xfId="338" applyNumberFormat="1" applyFont="1" applyFill="1" applyBorder="1" applyAlignment="1">
      <alignment horizontal="left" vertical="center" wrapText="1"/>
    </xf>
    <xf numFmtId="174" fontId="52" fillId="27" borderId="12" xfId="0" applyNumberFormat="1" applyFont="1" applyFill="1" applyBorder="1" applyAlignment="1">
      <alignment horizontal="center" vertical="center" wrapText="1"/>
    </xf>
    <xf numFmtId="1" fontId="82" fillId="27" borderId="13" xfId="323" applyNumberFormat="1" applyFont="1" applyFill="1" applyBorder="1" applyAlignment="1">
      <alignment horizontal="center"/>
    </xf>
    <xf numFmtId="174" fontId="52" fillId="27" borderId="25" xfId="0" applyNumberFormat="1" applyFont="1" applyFill="1" applyBorder="1" applyAlignment="1">
      <alignment horizontal="center" vertical="center" wrapText="1"/>
    </xf>
    <xf numFmtId="171" fontId="85" fillId="27" borderId="23" xfId="551" applyNumberFormat="1" applyFont="1" applyFill="1" applyBorder="1" applyAlignment="1">
      <alignment horizontal="right" vertical="center"/>
    </xf>
    <xf numFmtId="167" fontId="85" fillId="27" borderId="23" xfId="0" applyNumberFormat="1" applyFont="1" applyFill="1" applyBorder="1" applyAlignment="1">
      <alignment horizontal="right" vertical="center"/>
    </xf>
    <xf numFmtId="171" fontId="85" fillId="27" borderId="23" xfId="0" applyNumberFormat="1" applyFont="1" applyFill="1" applyBorder="1" applyAlignment="1">
      <alignment horizontal="right"/>
    </xf>
    <xf numFmtId="171" fontId="85" fillId="27" borderId="16" xfId="0" applyNumberFormat="1" applyFont="1" applyFill="1" applyBorder="1" applyAlignment="1">
      <alignment horizontal="right"/>
    </xf>
    <xf numFmtId="167" fontId="85" fillId="27" borderId="13" xfId="0" applyNumberFormat="1" applyFont="1" applyFill="1" applyBorder="1" applyAlignment="1">
      <alignment horizontal="right" vertical="center"/>
    </xf>
    <xf numFmtId="40" fontId="69" fillId="27" borderId="19" xfId="323" applyNumberFormat="1" applyFont="1" applyFill="1" applyBorder="1" applyAlignment="1">
      <alignment vertical="center"/>
    </xf>
    <xf numFmtId="40" fontId="69" fillId="27" borderId="15" xfId="323" applyNumberFormat="1" applyFont="1" applyFill="1" applyBorder="1" applyAlignment="1">
      <alignment horizontal="right" vertical="center"/>
    </xf>
    <xf numFmtId="40" fontId="69" fillId="27" borderId="23" xfId="323" applyNumberFormat="1" applyFont="1" applyFill="1" applyBorder="1" applyAlignment="1">
      <alignment horizontal="right" vertical="center"/>
    </xf>
    <xf numFmtId="40" fontId="69" fillId="27" borderId="20" xfId="323" applyNumberFormat="1" applyFont="1" applyFill="1" applyBorder="1" applyAlignment="1"/>
    <xf numFmtId="40" fontId="69" fillId="27" borderId="0" xfId="323" applyNumberFormat="1" applyFont="1" applyFill="1" applyBorder="1" applyAlignment="1"/>
    <xf numFmtId="40" fontId="69" fillId="27" borderId="24" xfId="323" applyNumberFormat="1" applyFont="1" applyFill="1" applyBorder="1" applyAlignment="1"/>
    <xf numFmtId="171" fontId="53" fillId="27" borderId="0" xfId="551" applyNumberFormat="1" applyFont="1" applyFill="1" applyBorder="1" applyAlignment="1">
      <alignment horizontal="right" vertical="center" wrapText="1"/>
    </xf>
    <xf numFmtId="174" fontId="61" fillId="0" borderId="0" xfId="0" applyFont="1" applyAlignment="1">
      <alignment horizontal="right" vertical="center"/>
    </xf>
    <xf numFmtId="40" fontId="53" fillId="27" borderId="0" xfId="323" applyNumberFormat="1" applyFont="1" applyFill="1" applyBorder="1" applyAlignment="1">
      <alignment vertical="center"/>
    </xf>
    <xf numFmtId="40" fontId="69" fillId="27" borderId="19" xfId="323" applyNumberFormat="1" applyFont="1" applyFill="1" applyBorder="1" applyAlignment="1"/>
    <xf numFmtId="174" fontId="61" fillId="0" borderId="0" xfId="388" applyNumberFormat="1" applyFont="1" applyAlignment="1"/>
    <xf numFmtId="174" fontId="61" fillId="0" borderId="0" xfId="0" applyFont="1" applyAlignment="1"/>
    <xf numFmtId="171" fontId="0" fillId="0" borderId="0" xfId="0" applyNumberFormat="1" applyAlignment="1"/>
    <xf numFmtId="38" fontId="53" fillId="27" borderId="0" xfId="323" applyNumberFormat="1" applyFont="1" applyFill="1" applyBorder="1" applyAlignment="1">
      <alignment vertical="center" wrapText="1"/>
    </xf>
    <xf numFmtId="10" fontId="47" fillId="0" borderId="0" xfId="551" applyNumberFormat="1" applyFont="1" applyBorder="1" applyAlignment="1"/>
    <xf numFmtId="43" fontId="61" fillId="0" borderId="0" xfId="323" applyFont="1" applyAlignment="1"/>
    <xf numFmtId="171" fontId="0" fillId="0" borderId="0" xfId="551" applyNumberFormat="1" applyFont="1" applyAlignment="1"/>
    <xf numFmtId="174" fontId="61" fillId="27" borderId="0" xfId="0" applyFont="1" applyFill="1" applyAlignment="1"/>
    <xf numFmtId="43" fontId="53" fillId="27" borderId="20" xfId="328" applyFont="1" applyFill="1" applyBorder="1" applyAlignment="1">
      <alignment vertical="center"/>
    </xf>
    <xf numFmtId="43" fontId="53" fillId="35" borderId="24" xfId="328" applyFont="1" applyFill="1" applyBorder="1" applyAlignment="1">
      <alignment vertical="center"/>
    </xf>
    <xf numFmtId="43" fontId="53" fillId="27" borderId="24" xfId="328" applyFont="1" applyFill="1" applyBorder="1" applyAlignment="1">
      <alignment vertical="center"/>
    </xf>
    <xf numFmtId="43" fontId="53" fillId="27" borderId="18" xfId="328" applyFont="1" applyFill="1" applyBorder="1" applyAlignment="1">
      <alignment vertical="center"/>
    </xf>
    <xf numFmtId="43" fontId="53" fillId="27" borderId="22" xfId="328" applyFont="1" applyFill="1" applyBorder="1" applyAlignment="1">
      <alignment vertical="center"/>
    </xf>
    <xf numFmtId="174" fontId="47" fillId="0" borderId="0" xfId="388" applyFont="1" applyBorder="1" applyAlignment="1">
      <alignment vertical="top" wrapText="1"/>
    </xf>
    <xf numFmtId="174" fontId="62" fillId="27" borderId="23" xfId="0" applyNumberFormat="1" applyFont="1" applyFill="1" applyBorder="1" applyAlignment="1">
      <alignment horizontal="center" vertical="center" wrapText="1"/>
    </xf>
    <xf numFmtId="49" fontId="62" fillId="27" borderId="23" xfId="0" applyNumberFormat="1" applyFont="1" applyFill="1" applyBorder="1" applyAlignment="1">
      <alignment horizontal="center" vertical="center" wrapText="1"/>
    </xf>
    <xf numFmtId="49" fontId="62" fillId="27" borderId="23" xfId="0" applyNumberFormat="1" applyFont="1" applyFill="1" applyBorder="1" applyAlignment="1">
      <alignment horizontal="center" vertical="center"/>
    </xf>
    <xf numFmtId="49" fontId="62" fillId="27" borderId="16" xfId="0" applyNumberFormat="1" applyFont="1" applyFill="1" applyBorder="1" applyAlignment="1">
      <alignment horizontal="center" vertical="center"/>
    </xf>
    <xf numFmtId="43" fontId="81" fillId="27" borderId="24" xfId="0" applyNumberFormat="1" applyFont="1" applyFill="1" applyBorder="1" applyAlignment="1">
      <alignment horizontal="right" vertical="center"/>
    </xf>
    <xf numFmtId="174" fontId="89" fillId="0" borderId="0" xfId="0" applyFont="1" applyFill="1" applyBorder="1" applyAlignment="1">
      <alignment horizontal="right" vertical="center" wrapText="1"/>
    </xf>
    <xf numFmtId="43" fontId="62" fillId="27" borderId="19" xfId="0" applyNumberFormat="1" applyFont="1" applyFill="1" applyBorder="1" applyAlignment="1">
      <alignment horizontal="right" vertical="center"/>
    </xf>
    <xf numFmtId="174" fontId="61" fillId="0" borderId="0" xfId="0" applyNumberFormat="1" applyFont="1" applyBorder="1" applyAlignment="1">
      <alignment horizontal="right"/>
    </xf>
    <xf numFmtId="174" fontId="0" fillId="0" borderId="0" xfId="0" applyBorder="1" applyAlignment="1">
      <alignment horizontal="right"/>
    </xf>
    <xf numFmtId="174" fontId="0" fillId="0" borderId="0" xfId="0" applyAlignment="1">
      <alignment horizontal="center"/>
    </xf>
    <xf numFmtId="10" fontId="82" fillId="0" borderId="19" xfId="551" applyNumberFormat="1" applyFont="1" applyFill="1" applyBorder="1" applyAlignment="1">
      <alignment horizontal="center"/>
    </xf>
    <xf numFmtId="10" fontId="82" fillId="0" borderId="14" xfId="551" applyNumberFormat="1" applyFont="1" applyFill="1" applyBorder="1" applyAlignment="1">
      <alignment horizontal="center"/>
    </xf>
    <xf numFmtId="182" fontId="73" fillId="0" borderId="17" xfId="1094" applyNumberFormat="1" applyFont="1" applyFill="1" applyBorder="1" applyAlignment="1">
      <alignment horizontal="center" vertical="center"/>
    </xf>
    <xf numFmtId="17" fontId="73" fillId="0" borderId="17" xfId="393" applyNumberFormat="1" applyFont="1" applyFill="1" applyBorder="1" applyAlignment="1">
      <alignment horizontal="left" vertical="center"/>
    </xf>
    <xf numFmtId="17" fontId="73" fillId="0" borderId="19" xfId="393" applyNumberFormat="1" applyFont="1" applyFill="1" applyBorder="1" applyAlignment="1">
      <alignment horizontal="left" vertical="center"/>
    </xf>
    <xf numFmtId="17" fontId="73" fillId="0" borderId="14" xfId="393" applyNumberFormat="1" applyFont="1" applyFill="1" applyBorder="1" applyAlignment="1">
      <alignment horizontal="left" vertical="center"/>
    </xf>
    <xf numFmtId="0" fontId="62" fillId="27" borderId="23" xfId="0" applyNumberFormat="1" applyFont="1" applyFill="1" applyBorder="1" applyAlignment="1">
      <alignment horizontal="center" vertical="center"/>
    </xf>
    <xf numFmtId="174" fontId="0" fillId="0" borderId="0" xfId="0" applyAlignment="1">
      <alignment horizontal="center"/>
    </xf>
    <xf numFmtId="167" fontId="68" fillId="27" borderId="14" xfId="323" applyNumberFormat="1" applyFont="1" applyFill="1" applyBorder="1" applyAlignment="1">
      <alignment horizontal="center" vertical="center"/>
    </xf>
    <xf numFmtId="49" fontId="68" fillId="27" borderId="17" xfId="0" applyNumberFormat="1" applyFont="1" applyFill="1" applyBorder="1" applyAlignment="1">
      <alignment horizontal="center"/>
    </xf>
    <xf numFmtId="49" fontId="68" fillId="27" borderId="14" xfId="0" applyNumberFormat="1" applyFont="1" applyFill="1" applyBorder="1" applyAlignment="1">
      <alignment horizontal="center"/>
    </xf>
    <xf numFmtId="167" fontId="61" fillId="27" borderId="0" xfId="323" applyNumberFormat="1" applyFont="1" applyFill="1" applyBorder="1" applyAlignment="1"/>
    <xf numFmtId="167" fontId="68" fillId="27" borderId="23" xfId="0" applyNumberFormat="1" applyFont="1" applyFill="1" applyBorder="1" applyAlignment="1">
      <alignment vertical="center" wrapText="1"/>
    </xf>
    <xf numFmtId="0" fontId="47" fillId="0" borderId="0" xfId="919" applyAlignment="1">
      <alignment vertical="center"/>
    </xf>
    <xf numFmtId="167" fontId="47" fillId="0" borderId="0" xfId="919" applyNumberFormat="1" applyAlignment="1">
      <alignment vertical="center"/>
    </xf>
    <xf numFmtId="174" fontId="0" fillId="0" borderId="0" xfId="0" applyAlignment="1">
      <alignment horizontal="center"/>
    </xf>
    <xf numFmtId="0" fontId="66" fillId="27" borderId="0" xfId="919" applyFont="1" applyFill="1" applyBorder="1" applyAlignment="1">
      <alignment horizontal="center" vertical="center" wrapText="1"/>
    </xf>
    <xf numFmtId="171" fontId="55" fillId="27" borderId="0" xfId="551" applyNumberFormat="1" applyFont="1" applyFill="1" applyBorder="1" applyAlignment="1"/>
    <xf numFmtId="9" fontId="66" fillId="27" borderId="0" xfId="551" applyNumberFormat="1" applyFont="1" applyFill="1" applyBorder="1" applyAlignment="1">
      <alignment vertical="center"/>
    </xf>
    <xf numFmtId="171" fontId="82" fillId="27" borderId="19" xfId="551" applyNumberFormat="1" applyFont="1" applyFill="1" applyBorder="1" applyAlignment="1"/>
    <xf numFmtId="167" fontId="82" fillId="27" borderId="23" xfId="323" applyNumberFormat="1" applyFont="1" applyFill="1" applyBorder="1" applyAlignment="1">
      <alignment horizontal="center" vertical="center"/>
    </xf>
    <xf numFmtId="167" fontId="82" fillId="27" borderId="13" xfId="323" applyNumberFormat="1" applyFont="1" applyFill="1" applyBorder="1" applyAlignment="1">
      <alignment horizontal="center" vertical="center"/>
    </xf>
    <xf numFmtId="171" fontId="66" fillId="27" borderId="19" xfId="919" applyNumberFormat="1" applyFont="1" applyFill="1" applyBorder="1" applyAlignment="1">
      <alignment horizontal="right"/>
    </xf>
    <xf numFmtId="171" fontId="66" fillId="27" borderId="13" xfId="919" applyNumberFormat="1" applyFont="1" applyFill="1" applyBorder="1" applyAlignment="1">
      <alignment horizontal="right" vertical="center"/>
    </xf>
    <xf numFmtId="0" fontId="66" fillId="27" borderId="19" xfId="919" applyFont="1" applyFill="1" applyBorder="1" applyAlignment="1">
      <alignment horizontal="center" vertical="center"/>
    </xf>
    <xf numFmtId="49" fontId="82" fillId="0" borderId="21" xfId="388" applyNumberFormat="1" applyFont="1" applyFill="1" applyBorder="1" applyAlignment="1">
      <alignment horizontal="center" vertical="center"/>
    </xf>
    <xf numFmtId="49" fontId="82" fillId="0" borderId="20" xfId="388" applyNumberFormat="1" applyFont="1" applyFill="1" applyBorder="1" applyAlignment="1">
      <alignment horizontal="center" vertical="center"/>
    </xf>
    <xf numFmtId="49" fontId="82" fillId="0" borderId="18" xfId="388" applyNumberFormat="1" applyFont="1" applyFill="1" applyBorder="1" applyAlignment="1">
      <alignment horizontal="center" vertical="center"/>
    </xf>
    <xf numFmtId="174" fontId="82" fillId="0" borderId="12" xfId="388" applyNumberFormat="1" applyFont="1" applyFill="1" applyBorder="1" applyAlignment="1">
      <alignment horizontal="center" vertical="center" wrapText="1"/>
    </xf>
    <xf numFmtId="3" fontId="83" fillId="27" borderId="0" xfId="388" applyNumberFormat="1" applyFont="1" applyFill="1" applyBorder="1" applyAlignment="1">
      <alignment horizontal="center"/>
    </xf>
    <xf numFmtId="174" fontId="82" fillId="0" borderId="17" xfId="388" applyNumberFormat="1" applyFont="1" applyFill="1" applyBorder="1" applyAlignment="1">
      <alignment horizontal="center" vertical="center" wrapText="1"/>
    </xf>
    <xf numFmtId="171" fontId="82" fillId="0" borderId="17" xfId="551" applyNumberFormat="1" applyFont="1" applyFill="1" applyBorder="1" applyAlignment="1">
      <alignment horizontal="center"/>
    </xf>
    <xf numFmtId="171" fontId="82" fillId="0" borderId="19" xfId="551" applyNumberFormat="1" applyFont="1" applyFill="1" applyBorder="1" applyAlignment="1">
      <alignment horizontal="center"/>
    </xf>
    <xf numFmtId="171" fontId="124" fillId="0" borderId="19" xfId="551" applyNumberFormat="1" applyFont="1" applyFill="1" applyBorder="1" applyAlignment="1">
      <alignment horizontal="center"/>
    </xf>
    <xf numFmtId="171" fontId="124" fillId="0" borderId="14" xfId="551" applyNumberFormat="1" applyFont="1" applyFill="1" applyBorder="1" applyAlignment="1">
      <alignment horizontal="center"/>
    </xf>
    <xf numFmtId="49" fontId="104" fillId="27" borderId="14" xfId="0" applyNumberFormat="1" applyFont="1" applyFill="1" applyBorder="1" applyAlignment="1">
      <alignment horizontal="center" vertical="center"/>
    </xf>
    <xf numFmtId="49" fontId="52" fillId="27" borderId="17" xfId="0" applyNumberFormat="1" applyFont="1" applyFill="1" applyBorder="1" applyAlignment="1">
      <alignment horizontal="center" vertical="center"/>
    </xf>
    <xf numFmtId="0" fontId="69" fillId="27" borderId="19" xfId="323" applyNumberFormat="1" applyFont="1" applyFill="1" applyBorder="1" applyAlignment="1">
      <alignment horizontal="center" vertical="center"/>
    </xf>
    <xf numFmtId="17" fontId="69" fillId="27" borderId="13" xfId="323" applyNumberFormat="1" applyFont="1" applyFill="1" applyBorder="1" applyAlignment="1">
      <alignment horizontal="center" vertical="center"/>
    </xf>
    <xf numFmtId="175" fontId="97" fillId="24" borderId="0" xfId="0" applyNumberFormat="1" applyFont="1" applyFill="1" applyBorder="1" applyAlignment="1">
      <alignment horizontal="center"/>
    </xf>
    <xf numFmtId="188" fontId="47" fillId="0" borderId="0" xfId="446" applyNumberFormat="1" applyFont="1"/>
    <xf numFmtId="10" fontId="55" fillId="0" borderId="0" xfId="0" applyNumberFormat="1" applyFont="1"/>
    <xf numFmtId="10" fontId="83" fillId="0" borderId="0" xfId="0" applyNumberFormat="1" applyFont="1" applyBorder="1" applyAlignment="1">
      <alignment vertical="top" wrapText="1"/>
    </xf>
    <xf numFmtId="174" fontId="88" fillId="0" borderId="0" xfId="0" applyFont="1" applyAlignment="1">
      <alignment horizontal="justify" vertical="justify" wrapText="1"/>
    </xf>
    <xf numFmtId="49" fontId="52" fillId="27" borderId="20" xfId="0" applyNumberFormat="1" applyFont="1" applyFill="1" applyBorder="1" applyAlignment="1">
      <alignment horizontal="center" vertical="center"/>
    </xf>
    <xf numFmtId="49" fontId="52" fillId="27" borderId="18" xfId="0" applyNumberFormat="1" applyFont="1" applyFill="1" applyBorder="1" applyAlignment="1">
      <alignment horizontal="center" vertical="center"/>
    </xf>
    <xf numFmtId="174" fontId="82" fillId="27" borderId="23" xfId="0" applyNumberFormat="1" applyFont="1" applyFill="1" applyBorder="1" applyAlignment="1">
      <alignment horizontal="center" vertical="center" wrapText="1"/>
    </xf>
    <xf numFmtId="174" fontId="113" fillId="0" borderId="17" xfId="0" applyFont="1" applyFill="1" applyBorder="1" applyAlignment="1">
      <alignment horizontal="center" vertical="center" wrapText="1"/>
    </xf>
    <xf numFmtId="174" fontId="85" fillId="0" borderId="17" xfId="0" applyNumberFormat="1" applyFont="1" applyFill="1" applyBorder="1" applyAlignment="1">
      <alignment horizontal="center" vertical="center"/>
    </xf>
    <xf numFmtId="174" fontId="67" fillId="0" borderId="0" xfId="0" applyFont="1" applyBorder="1"/>
    <xf numFmtId="174" fontId="67" fillId="0" borderId="19" xfId="0" applyFont="1" applyBorder="1"/>
    <xf numFmtId="174" fontId="67" fillId="0" borderId="24" xfId="0" applyFont="1" applyBorder="1"/>
    <xf numFmtId="49" fontId="82" fillId="27" borderId="17" xfId="394" applyNumberFormat="1" applyFont="1" applyFill="1" applyBorder="1" applyAlignment="1">
      <alignment horizontal="left"/>
    </xf>
    <xf numFmtId="49" fontId="82" fillId="27" borderId="19" xfId="394" applyNumberFormat="1" applyFont="1" applyFill="1" applyBorder="1" applyAlignment="1">
      <alignment horizontal="left"/>
    </xf>
    <xf numFmtId="49" fontId="82" fillId="27" borderId="14" xfId="394" applyNumberFormat="1" applyFont="1" applyFill="1" applyBorder="1" applyAlignment="1">
      <alignment horizontal="left"/>
    </xf>
    <xf numFmtId="167" fontId="69" fillId="27" borderId="20" xfId="323" applyNumberFormat="1" applyFont="1" applyFill="1" applyBorder="1" applyAlignment="1">
      <alignment horizontal="center"/>
    </xf>
    <xf numFmtId="2" fontId="69" fillId="27" borderId="24" xfId="394" applyNumberFormat="1" applyFont="1" applyFill="1" applyBorder="1" applyAlignment="1">
      <alignment horizontal="center"/>
    </xf>
    <xf numFmtId="167" fontId="69" fillId="27" borderId="18" xfId="323" applyNumberFormat="1" applyFont="1" applyFill="1" applyBorder="1" applyAlignment="1">
      <alignment horizontal="center"/>
    </xf>
    <xf numFmtId="2" fontId="69" fillId="27" borderId="22" xfId="394" applyNumberFormat="1" applyFont="1" applyFill="1" applyBorder="1" applyAlignment="1">
      <alignment horizontal="center"/>
    </xf>
    <xf numFmtId="3" fontId="83" fillId="27" borderId="25" xfId="328" applyNumberFormat="1" applyFont="1" applyFill="1" applyBorder="1" applyAlignment="1">
      <alignment horizontal="center" vertical="center"/>
    </xf>
    <xf numFmtId="3" fontId="82" fillId="27" borderId="12" xfId="328" applyNumberFormat="1" applyFont="1" applyFill="1" applyBorder="1" applyAlignment="1">
      <alignment horizontal="center" vertical="center"/>
    </xf>
    <xf numFmtId="17" fontId="82" fillId="27" borderId="19" xfId="394" applyNumberFormat="1" applyFont="1" applyFill="1" applyBorder="1" applyAlignment="1">
      <alignment horizontal="center"/>
    </xf>
    <xf numFmtId="171" fontId="85" fillId="27" borderId="13" xfId="361" applyNumberFormat="1" applyFont="1" applyFill="1" applyBorder="1" applyAlignment="1">
      <alignment horizontal="right" vertical="center"/>
    </xf>
    <xf numFmtId="10" fontId="85" fillId="27" borderId="19" xfId="551" applyNumberFormat="1" applyFont="1" applyFill="1" applyBorder="1" applyAlignment="1">
      <alignment horizontal="right" vertical="center"/>
    </xf>
    <xf numFmtId="41" fontId="85" fillId="27" borderId="23" xfId="361" applyNumberFormat="1" applyFont="1" applyFill="1" applyBorder="1" applyAlignment="1">
      <alignment vertical="center"/>
    </xf>
    <xf numFmtId="167" fontId="82" fillId="27" borderId="13" xfId="338" applyNumberFormat="1" applyFont="1" applyFill="1" applyBorder="1" applyAlignment="1">
      <alignment horizontal="center" vertical="center" wrapText="1"/>
    </xf>
    <xf numFmtId="171" fontId="82" fillId="27" borderId="19" xfId="551" applyNumberFormat="1" applyFont="1" applyFill="1" applyBorder="1" applyAlignment="1">
      <alignment horizontal="center" vertical="center"/>
    </xf>
    <xf numFmtId="9" fontId="82" fillId="27" borderId="13" xfId="551" applyFont="1" applyFill="1" applyBorder="1" applyAlignment="1">
      <alignment horizontal="center" vertical="center"/>
    </xf>
    <xf numFmtId="174" fontId="113" fillId="0" borderId="20" xfId="0" applyFont="1" applyFill="1" applyBorder="1" applyAlignment="1">
      <alignment horizontal="center" vertical="center" wrapText="1"/>
    </xf>
    <xf numFmtId="174" fontId="113" fillId="0" borderId="0" xfId="0" applyFont="1" applyFill="1" applyBorder="1" applyAlignment="1">
      <alignment horizontal="center" vertical="center" wrapText="1"/>
    </xf>
    <xf numFmtId="3" fontId="81" fillId="0" borderId="12" xfId="0" applyNumberFormat="1" applyFont="1" applyFill="1" applyBorder="1" applyAlignment="1">
      <alignment horizontal="center"/>
    </xf>
    <xf numFmtId="17" fontId="62" fillId="0" borderId="17" xfId="0" applyNumberFormat="1" applyFont="1" applyFill="1" applyBorder="1" applyAlignment="1">
      <alignment horizontal="center"/>
    </xf>
    <xf numFmtId="3" fontId="81" fillId="0" borderId="21" xfId="0" applyNumberFormat="1" applyFont="1" applyFill="1" applyBorder="1" applyAlignment="1">
      <alignment horizontal="center"/>
    </xf>
    <xf numFmtId="3" fontId="62" fillId="0" borderId="17" xfId="0" applyNumberFormat="1" applyFont="1" applyFill="1" applyBorder="1" applyAlignment="1">
      <alignment horizontal="center"/>
    </xf>
    <xf numFmtId="3" fontId="62" fillId="0" borderId="19" xfId="0" applyNumberFormat="1" applyFont="1" applyFill="1" applyBorder="1" applyAlignment="1">
      <alignment horizontal="center"/>
    </xf>
    <xf numFmtId="3" fontId="62" fillId="0" borderId="14" xfId="0" applyNumberFormat="1" applyFont="1" applyFill="1" applyBorder="1" applyAlignment="1">
      <alignment horizontal="center"/>
    </xf>
    <xf numFmtId="167" fontId="64" fillId="0" borderId="17" xfId="323" applyNumberFormat="1" applyFont="1" applyFill="1" applyBorder="1" applyAlignment="1">
      <alignment horizontal="center" vertical="center"/>
    </xf>
    <xf numFmtId="174" fontId="61" fillId="0" borderId="0" xfId="0" applyFont="1" applyFill="1" applyBorder="1" applyAlignment="1">
      <alignment horizontal="center"/>
    </xf>
    <xf numFmtId="14" fontId="52" fillId="27" borderId="17" xfId="0" applyNumberFormat="1" applyFont="1" applyFill="1" applyBorder="1" applyAlignment="1">
      <alignment horizontal="center" vertical="center" wrapText="1"/>
    </xf>
    <xf numFmtId="0" fontId="66" fillId="27" borderId="20" xfId="742" applyFont="1" applyFill="1" applyBorder="1" applyAlignment="1">
      <alignment horizontal="center"/>
    </xf>
    <xf numFmtId="0" fontId="66" fillId="27" borderId="12" xfId="742" applyFont="1" applyFill="1" applyBorder="1" applyAlignment="1">
      <alignment horizontal="center" vertical="center"/>
    </xf>
    <xf numFmtId="43" fontId="66" fillId="27" borderId="11" xfId="742" applyNumberFormat="1" applyFont="1" applyFill="1" applyBorder="1" applyAlignment="1">
      <alignment horizontal="center"/>
    </xf>
    <xf numFmtId="43" fontId="55" fillId="27" borderId="21" xfId="323" applyFont="1" applyFill="1" applyBorder="1" applyAlignment="1">
      <alignment horizontal="center"/>
    </xf>
    <xf numFmtId="43" fontId="55" fillId="27" borderId="25" xfId="323" applyFont="1" applyFill="1" applyBorder="1" applyAlignment="1">
      <alignment horizontal="center"/>
    </xf>
    <xf numFmtId="43" fontId="55" fillId="27" borderId="20" xfId="323" applyFont="1" applyFill="1" applyBorder="1" applyAlignment="1">
      <alignment horizontal="center"/>
    </xf>
    <xf numFmtId="43" fontId="55" fillId="27" borderId="24" xfId="323" applyFont="1" applyFill="1" applyBorder="1" applyAlignment="1">
      <alignment horizontal="center"/>
    </xf>
    <xf numFmtId="43" fontId="55" fillId="27" borderId="18" xfId="323" applyFont="1" applyFill="1" applyBorder="1" applyAlignment="1">
      <alignment horizontal="center"/>
    </xf>
    <xf numFmtId="43" fontId="55" fillId="27" borderId="22" xfId="323" applyFont="1" applyFill="1" applyBorder="1" applyAlignment="1">
      <alignment horizontal="center"/>
    </xf>
    <xf numFmtId="0" fontId="66" fillId="27" borderId="15" xfId="743" applyFont="1" applyFill="1" applyBorder="1" applyAlignment="1">
      <alignment horizontal="center"/>
    </xf>
    <xf numFmtId="43" fontId="66" fillId="27" borderId="16" xfId="323" applyFont="1" applyFill="1" applyBorder="1"/>
    <xf numFmtId="43" fontId="55" fillId="0" borderId="0" xfId="323" applyFont="1" applyFill="1" applyBorder="1"/>
    <xf numFmtId="43" fontId="55" fillId="0" borderId="17" xfId="323" applyFont="1" applyFill="1" applyBorder="1"/>
    <xf numFmtId="43" fontId="55" fillId="0" borderId="19" xfId="323" applyFont="1" applyFill="1" applyBorder="1"/>
    <xf numFmtId="43" fontId="62" fillId="35" borderId="13" xfId="323" applyFont="1" applyFill="1" applyBorder="1" applyAlignment="1">
      <alignment horizontal="center" vertical="center"/>
    </xf>
    <xf numFmtId="49" fontId="69" fillId="27" borderId="19" xfId="388" applyNumberFormat="1" applyFont="1" applyFill="1" applyBorder="1" applyAlignment="1">
      <alignment horizontal="center" vertical="center"/>
    </xf>
    <xf numFmtId="4" fontId="53" fillId="27" borderId="24" xfId="323" applyNumberFormat="1" applyFont="1" applyFill="1" applyBorder="1" applyAlignment="1">
      <alignment horizontal="right" vertical="center"/>
    </xf>
    <xf numFmtId="49" fontId="69" fillId="27" borderId="13" xfId="388" applyNumberFormat="1" applyFont="1" applyFill="1" applyBorder="1" applyAlignment="1">
      <alignment horizontal="center" vertical="center"/>
    </xf>
    <xf numFmtId="4" fontId="69" fillId="27"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8" fillId="0" borderId="0" xfId="0" applyNumberFormat="1" applyFont="1" applyFill="1" applyBorder="1" applyAlignment="1">
      <alignment horizontal="center" vertical="center" wrapText="1"/>
    </xf>
    <xf numFmtId="174" fontId="0" fillId="0" borderId="0" xfId="0" applyAlignment="1">
      <alignment horizontal="center"/>
    </xf>
    <xf numFmtId="169" fontId="53" fillId="27" borderId="0" xfId="323" applyNumberFormat="1" applyFont="1" applyFill="1" applyBorder="1" applyAlignment="1">
      <alignment vertical="center"/>
    </xf>
    <xf numFmtId="180" fontId="47" fillId="0" borderId="0" xfId="448" applyNumberFormat="1" applyFont="1"/>
    <xf numFmtId="43" fontId="51" fillId="0" borderId="0" xfId="579" applyNumberFormat="1" applyFont="1"/>
    <xf numFmtId="43" fontId="55" fillId="27" borderId="0" xfId="323" applyFont="1" applyFill="1" applyBorder="1" applyAlignment="1">
      <alignment horizontal="right" vertical="center"/>
    </xf>
    <xf numFmtId="10" fontId="66" fillId="27" borderId="19" xfId="579" applyNumberFormat="1" applyFont="1" applyFill="1" applyBorder="1" applyAlignment="1">
      <alignment horizontal="right" vertical="center"/>
    </xf>
    <xf numFmtId="43" fontId="66" fillId="27" borderId="23" xfId="323" applyNumberFormat="1" applyFont="1" applyFill="1" applyBorder="1" applyAlignment="1">
      <alignment horizontal="right" vertical="center"/>
    </xf>
    <xf numFmtId="171" fontId="66" fillId="27" borderId="13" xfId="579" applyNumberFormat="1" applyFont="1" applyFill="1" applyBorder="1" applyAlignment="1">
      <alignment horizontal="right" vertical="center"/>
    </xf>
    <xf numFmtId="174" fontId="82" fillId="0" borderId="17" xfId="633" applyFont="1" applyFill="1" applyBorder="1" applyAlignment="1">
      <alignment horizontal="center" vertical="center" wrapText="1"/>
    </xf>
    <xf numFmtId="174" fontId="82" fillId="0" borderId="12" xfId="633" applyFont="1" applyFill="1" applyBorder="1" applyAlignment="1">
      <alignment horizontal="center" vertical="center" wrapText="1"/>
    </xf>
    <xf numFmtId="174" fontId="82" fillId="0" borderId="17" xfId="633" applyFont="1" applyFill="1" applyBorder="1" applyAlignment="1">
      <alignment horizontal="center" vertical="center"/>
    </xf>
    <xf numFmtId="17" fontId="82" fillId="0" borderId="17" xfId="633" applyNumberFormat="1" applyFont="1" applyFill="1" applyBorder="1" applyAlignment="1">
      <alignment horizontal="center"/>
    </xf>
    <xf numFmtId="10" fontId="82" fillId="0" borderId="17" xfId="551" applyNumberFormat="1" applyFont="1" applyFill="1" applyBorder="1" applyAlignment="1">
      <alignment horizontal="center"/>
    </xf>
    <xf numFmtId="0" fontId="69" fillId="27" borderId="0" xfId="0" applyNumberFormat="1" applyFont="1" applyFill="1" applyBorder="1" applyAlignment="1">
      <alignment horizontal="center"/>
    </xf>
    <xf numFmtId="43" fontId="69" fillId="27" borderId="0" xfId="0" applyNumberFormat="1" applyFont="1" applyFill="1" applyBorder="1" applyAlignment="1">
      <alignment vertical="center"/>
    </xf>
    <xf numFmtId="175" fontId="53" fillId="27" borderId="0" xfId="0" applyNumberFormat="1" applyFont="1" applyFill="1" applyBorder="1" applyAlignment="1">
      <alignment horizontal="right"/>
    </xf>
    <xf numFmtId="41" fontId="82" fillId="27" borderId="23" xfId="0" applyNumberFormat="1" applyFont="1" applyFill="1" applyBorder="1" applyAlignment="1">
      <alignment horizontal="center" vertical="center" wrapText="1"/>
    </xf>
    <xf numFmtId="41" fontId="83" fillId="27" borderId="12" xfId="323" applyNumberFormat="1" applyFont="1" applyFill="1" applyBorder="1" applyAlignment="1">
      <alignment horizontal="center"/>
    </xf>
    <xf numFmtId="41" fontId="83" fillId="27" borderId="0" xfId="323" applyNumberFormat="1" applyFont="1" applyFill="1" applyBorder="1" applyAlignment="1">
      <alignment horizontal="center"/>
    </xf>
    <xf numFmtId="41" fontId="83" fillId="27" borderId="0" xfId="323" applyNumberFormat="1" applyFont="1" applyFill="1" applyBorder="1" applyAlignment="1">
      <alignment horizontal="center" vertical="center"/>
    </xf>
    <xf numFmtId="41" fontId="82" fillId="27" borderId="23" xfId="0" applyNumberFormat="1" applyFont="1" applyFill="1" applyBorder="1" applyAlignment="1">
      <alignment horizontal="center" vertical="center"/>
    </xf>
    <xf numFmtId="49" fontId="68" fillId="27" borderId="20" xfId="0" applyNumberFormat="1" applyFont="1" applyFill="1" applyBorder="1" applyAlignment="1">
      <alignment horizontal="center" vertical="center" wrapText="1"/>
    </xf>
    <xf numFmtId="49" fontId="68" fillId="27" borderId="21" xfId="0" applyNumberFormat="1" applyFont="1" applyFill="1" applyBorder="1" applyAlignment="1">
      <alignment horizontal="center" vertical="center" wrapText="1"/>
    </xf>
    <xf numFmtId="49" fontId="68" fillId="27" borderId="12" xfId="0" applyNumberFormat="1" applyFont="1" applyFill="1" applyBorder="1" applyAlignment="1">
      <alignment horizontal="center" vertical="center" wrapText="1"/>
    </xf>
    <xf numFmtId="167" fontId="53" fillId="27" borderId="21" xfId="323" applyNumberFormat="1" applyFont="1" applyFill="1" applyBorder="1" applyAlignment="1">
      <alignment horizontal="center" vertical="center"/>
    </xf>
    <xf numFmtId="167" fontId="53" fillId="27" borderId="12" xfId="323" applyNumberFormat="1" applyFont="1" applyFill="1" applyBorder="1" applyAlignment="1">
      <alignment horizontal="center" vertical="center"/>
    </xf>
    <xf numFmtId="49" fontId="68" fillId="27" borderId="17" xfId="0" applyNumberFormat="1" applyFont="1" applyFill="1" applyBorder="1" applyAlignment="1">
      <alignment horizontal="center" vertical="center" wrapText="1"/>
    </xf>
    <xf numFmtId="167" fontId="69" fillId="27" borderId="21" xfId="0" applyNumberFormat="1" applyFont="1" applyFill="1" applyBorder="1" applyAlignment="1">
      <alignment horizontal="center" vertical="center" wrapText="1"/>
    </xf>
    <xf numFmtId="10" fontId="68" fillId="27" borderId="12" xfId="0" applyNumberFormat="1" applyFont="1" applyFill="1" applyBorder="1" applyAlignment="1">
      <alignment horizontal="center" vertical="center"/>
    </xf>
    <xf numFmtId="10" fontId="68" fillId="27" borderId="25" xfId="0" applyNumberFormat="1" applyFont="1" applyFill="1" applyBorder="1" applyAlignment="1">
      <alignment horizontal="center" vertical="center"/>
    </xf>
    <xf numFmtId="167" fontId="69" fillId="27" borderId="20" xfId="0" applyNumberFormat="1" applyFont="1" applyFill="1" applyBorder="1" applyAlignment="1">
      <alignment horizontal="center" vertical="center" wrapText="1"/>
    </xf>
    <xf numFmtId="49" fontId="68" fillId="27" borderId="25" xfId="0" applyNumberFormat="1" applyFont="1" applyFill="1" applyBorder="1" applyAlignment="1">
      <alignment horizontal="center" vertical="center" wrapText="1"/>
    </xf>
    <xf numFmtId="167" fontId="61" fillId="27" borderId="21" xfId="323" applyNumberFormat="1" applyFont="1" applyFill="1" applyBorder="1" applyAlignment="1">
      <alignment horizontal="center" vertical="center"/>
    </xf>
    <xf numFmtId="167" fontId="61" fillId="27" borderId="12" xfId="323" applyNumberFormat="1" applyFont="1" applyFill="1" applyBorder="1" applyAlignment="1">
      <alignment horizontal="center" vertical="center"/>
    </xf>
    <xf numFmtId="167" fontId="68" fillId="27" borderId="17" xfId="323" applyNumberFormat="1" applyFont="1" applyFill="1" applyBorder="1" applyAlignment="1">
      <alignment horizontal="center" vertical="center"/>
    </xf>
    <xf numFmtId="10" fontId="68" fillId="27" borderId="15" xfId="0" applyNumberFormat="1" applyFont="1" applyFill="1" applyBorder="1" applyAlignment="1">
      <alignment horizontal="center" vertical="center"/>
    </xf>
    <xf numFmtId="10" fontId="68" fillId="27" borderId="16" xfId="0" applyNumberFormat="1" applyFont="1" applyFill="1" applyBorder="1" applyAlignment="1">
      <alignment horizontal="center" vertical="center"/>
    </xf>
    <xf numFmtId="167" fontId="69" fillId="27" borderId="15" xfId="0" applyNumberFormat="1" applyFont="1" applyFill="1" applyBorder="1" applyAlignment="1">
      <alignment horizontal="center" vertical="center" wrapText="1"/>
    </xf>
    <xf numFmtId="49" fontId="69" fillId="27" borderId="20" xfId="0" applyNumberFormat="1" applyFont="1" applyFill="1" applyBorder="1" applyAlignment="1">
      <alignment horizontal="center"/>
    </xf>
    <xf numFmtId="171" fontId="69" fillId="27" borderId="11" xfId="551" applyNumberFormat="1" applyFont="1" applyFill="1" applyBorder="1" applyAlignment="1">
      <alignment vertical="center"/>
    </xf>
    <xf numFmtId="174" fontId="69" fillId="27" borderId="17" xfId="0" applyFont="1" applyFill="1" applyBorder="1" applyAlignment="1">
      <alignment horizontal="center" vertical="center"/>
    </xf>
    <xf numFmtId="49" fontId="69" fillId="27" borderId="13" xfId="0" applyNumberFormat="1" applyFont="1" applyFill="1" applyBorder="1" applyAlignment="1">
      <alignment horizontal="center"/>
    </xf>
    <xf numFmtId="167" fontId="53" fillId="27" borderId="23" xfId="323" applyNumberFormat="1" applyFont="1" applyFill="1" applyBorder="1"/>
    <xf numFmtId="49" fontId="69" fillId="27" borderId="25" xfId="0" applyNumberFormat="1" applyFont="1" applyFill="1" applyBorder="1" applyAlignment="1">
      <alignment horizontal="center" vertical="center" wrapText="1"/>
    </xf>
    <xf numFmtId="167" fontId="68" fillId="27" borderId="19" xfId="323" applyNumberFormat="1" applyFont="1" applyFill="1" applyBorder="1" applyAlignment="1">
      <alignment horizontal="center"/>
    </xf>
    <xf numFmtId="174" fontId="0" fillId="27" borderId="0" xfId="0" applyFill="1" applyBorder="1" applyAlignment="1">
      <alignment horizontal="center"/>
    </xf>
    <xf numFmtId="167" fontId="53" fillId="27" borderId="23" xfId="0" applyNumberFormat="1" applyFont="1" applyFill="1" applyBorder="1" applyAlignment="1">
      <alignment horizontal="center" vertical="center" wrapText="1"/>
    </xf>
    <xf numFmtId="49" fontId="68" fillId="0" borderId="17" xfId="0" applyNumberFormat="1" applyFont="1" applyFill="1" applyBorder="1" applyAlignment="1">
      <alignment horizontal="center"/>
    </xf>
    <xf numFmtId="49" fontId="68" fillId="0" borderId="17" xfId="0" applyNumberFormat="1" applyFont="1" applyFill="1" applyBorder="1" applyAlignment="1">
      <alignment horizontal="center" vertical="center"/>
    </xf>
    <xf numFmtId="49" fontId="68" fillId="0" borderId="18" xfId="0" applyNumberFormat="1" applyFont="1" applyFill="1" applyBorder="1" applyAlignment="1">
      <alignment horizontal="center" wrapText="1"/>
    </xf>
    <xf numFmtId="0" fontId="66" fillId="27" borderId="15" xfId="919" applyFont="1" applyFill="1" applyBorder="1" applyAlignment="1">
      <alignment horizontal="center" vertical="center"/>
    </xf>
    <xf numFmtId="167" fontId="66" fillId="27" borderId="16" xfId="323" applyNumberFormat="1" applyFont="1" applyFill="1" applyBorder="1" applyAlignment="1">
      <alignment vertical="center"/>
    </xf>
    <xf numFmtId="0" fontId="66" fillId="27" borderId="21" xfId="919" applyFont="1" applyFill="1" applyBorder="1" applyAlignment="1">
      <alignment horizontal="center" vertical="center" wrapText="1"/>
    </xf>
    <xf numFmtId="0" fontId="66" fillId="27" borderId="25" xfId="919" applyFont="1" applyFill="1" applyBorder="1" applyAlignment="1">
      <alignment horizontal="center" vertical="center" wrapText="1"/>
    </xf>
    <xf numFmtId="171" fontId="66" fillId="27" borderId="18" xfId="551" applyNumberFormat="1" applyFont="1" applyFill="1" applyBorder="1" applyAlignment="1">
      <alignment vertical="center"/>
    </xf>
    <xf numFmtId="171" fontId="66" fillId="27" borderId="22" xfId="551" applyNumberFormat="1" applyFont="1" applyFill="1" applyBorder="1" applyAlignment="1">
      <alignment vertical="center"/>
    </xf>
    <xf numFmtId="171" fontId="66" fillId="27" borderId="21" xfId="551" applyNumberFormat="1" applyFont="1" applyFill="1" applyBorder="1" applyAlignment="1"/>
    <xf numFmtId="171" fontId="66" fillId="27" borderId="25" xfId="551" applyNumberFormat="1" applyFont="1" applyFill="1" applyBorder="1" applyAlignment="1"/>
    <xf numFmtId="171" fontId="73" fillId="27" borderId="11" xfId="328" applyNumberFormat="1" applyFont="1" applyFill="1" applyBorder="1" applyAlignment="1">
      <alignment horizontal="right" vertical="center" wrapText="1"/>
    </xf>
    <xf numFmtId="171" fontId="73" fillId="27" borderId="22" xfId="551" applyNumberFormat="1" applyFont="1" applyFill="1" applyBorder="1" applyAlignment="1">
      <alignment horizontal="right" vertical="center" wrapText="1"/>
    </xf>
    <xf numFmtId="43" fontId="82" fillId="27" borderId="0" xfId="394" applyNumberFormat="1" applyFont="1" applyFill="1" applyBorder="1" applyAlignment="1">
      <alignment horizontal="right" vertical="center"/>
    </xf>
    <xf numFmtId="3" fontId="83" fillId="0" borderId="18" xfId="328" applyNumberFormat="1" applyFont="1" applyFill="1" applyBorder="1" applyAlignment="1">
      <alignment horizontal="center" vertical="center"/>
    </xf>
    <xf numFmtId="3" fontId="83" fillId="0" borderId="22" xfId="328" applyNumberFormat="1" applyFont="1" applyFill="1" applyBorder="1" applyAlignment="1">
      <alignment horizontal="center" vertical="center"/>
    </xf>
    <xf numFmtId="3" fontId="82" fillId="0" borderId="18" xfId="328" applyNumberFormat="1" applyFont="1" applyFill="1" applyBorder="1" applyAlignment="1">
      <alignment horizontal="center" vertical="center"/>
    </xf>
    <xf numFmtId="3" fontId="82" fillId="0" borderId="11" xfId="328" applyNumberFormat="1" applyFont="1" applyFill="1" applyBorder="1" applyAlignment="1">
      <alignment horizontal="center" vertical="center"/>
    </xf>
    <xf numFmtId="3" fontId="82" fillId="0" borderId="14" xfId="328" applyNumberFormat="1" applyFont="1" applyFill="1" applyBorder="1" applyAlignment="1">
      <alignment horizontal="center" vertical="center"/>
    </xf>
    <xf numFmtId="17" fontId="53" fillId="27" borderId="0" xfId="394" applyNumberFormat="1" applyFont="1" applyFill="1" applyBorder="1" applyAlignment="1">
      <alignment vertical="top" wrapText="1"/>
    </xf>
    <xf numFmtId="43" fontId="61" fillId="0" borderId="0" xfId="0" applyNumberFormat="1" applyFont="1"/>
    <xf numFmtId="167" fontId="83" fillId="0" borderId="18" xfId="394" applyNumberFormat="1" applyFont="1" applyFill="1" applyBorder="1" applyAlignment="1">
      <alignment horizontal="center" vertical="center"/>
    </xf>
    <xf numFmtId="189" fontId="0" fillId="0" borderId="0" xfId="0" applyNumberFormat="1" applyFont="1" applyFill="1" applyBorder="1"/>
    <xf numFmtId="171" fontId="85" fillId="27" borderId="11" xfId="336" applyNumberFormat="1" applyFont="1" applyFill="1" applyBorder="1" applyAlignment="1">
      <alignment horizontal="center"/>
    </xf>
    <xf numFmtId="171" fontId="85" fillId="27" borderId="22" xfId="0" applyNumberFormat="1" applyFont="1" applyFill="1" applyBorder="1" applyAlignment="1">
      <alignment horizontal="center"/>
    </xf>
    <xf numFmtId="17" fontId="82" fillId="0" borderId="21" xfId="336" applyNumberFormat="1" applyFont="1" applyFill="1" applyBorder="1" applyAlignment="1">
      <alignment horizontal="left" vertical="center"/>
    </xf>
    <xf numFmtId="17" fontId="82" fillId="0" borderId="20" xfId="336" applyNumberFormat="1" applyFont="1" applyFill="1" applyBorder="1" applyAlignment="1">
      <alignment horizontal="left" vertical="center"/>
    </xf>
    <xf numFmtId="174" fontId="82" fillId="0" borderId="15" xfId="336" applyNumberFormat="1" applyFont="1" applyFill="1" applyBorder="1" applyAlignment="1">
      <alignment horizontal="center" vertical="center" wrapText="1"/>
    </xf>
    <xf numFmtId="10" fontId="66" fillId="27" borderId="14" xfId="551" applyNumberFormat="1" applyFont="1" applyFill="1" applyBorder="1"/>
    <xf numFmtId="10" fontId="55" fillId="27" borderId="0" xfId="323" applyNumberFormat="1" applyFont="1" applyFill="1" applyBorder="1"/>
    <xf numFmtId="174" fontId="82" fillId="27" borderId="25" xfId="0" applyNumberFormat="1" applyFont="1" applyFill="1" applyBorder="1" applyAlignment="1">
      <alignment horizontal="center" vertical="center" wrapText="1"/>
    </xf>
    <xf numFmtId="167" fontId="66" fillId="27" borderId="15" xfId="323" applyNumberFormat="1" applyFont="1" applyFill="1" applyBorder="1" applyAlignment="1">
      <alignment horizontal="center" vertical="center"/>
    </xf>
    <xf numFmtId="1" fontId="66" fillId="27" borderId="19" xfId="919" applyNumberFormat="1" applyFont="1" applyFill="1" applyBorder="1" applyAlignment="1">
      <alignment horizontal="right"/>
    </xf>
    <xf numFmtId="40" fontId="69" fillId="27" borderId="16" xfId="323" applyNumberFormat="1" applyFont="1" applyFill="1" applyBorder="1" applyAlignment="1">
      <alignment horizontal="right" vertical="center"/>
    </xf>
    <xf numFmtId="4" fontId="156" fillId="27" borderId="0" xfId="0" applyNumberFormat="1" applyFont="1" applyFill="1" applyBorder="1" applyAlignment="1" applyProtection="1"/>
    <xf numFmtId="43" fontId="53" fillId="27" borderId="21" xfId="323" applyNumberFormat="1" applyFont="1" applyFill="1" applyBorder="1" applyAlignment="1">
      <alignment horizontal="center" vertical="center"/>
    </xf>
    <xf numFmtId="10" fontId="69" fillId="27" borderId="12" xfId="446" applyNumberFormat="1" applyFont="1" applyFill="1" applyBorder="1" applyAlignment="1">
      <alignment horizontal="center" vertical="center"/>
    </xf>
    <xf numFmtId="43" fontId="53" fillId="27" borderId="12" xfId="323" applyNumberFormat="1" applyFont="1" applyFill="1" applyBorder="1" applyAlignment="1">
      <alignment horizontal="center" vertical="center"/>
    </xf>
    <xf numFmtId="10" fontId="69" fillId="27" borderId="25" xfId="446" applyNumberFormat="1" applyFont="1" applyFill="1" applyBorder="1" applyAlignment="1">
      <alignment horizontal="center" vertical="center"/>
    </xf>
    <xf numFmtId="43" fontId="53" fillId="27" borderId="20" xfId="323" applyNumberFormat="1" applyFont="1" applyFill="1" applyBorder="1" applyAlignment="1">
      <alignment horizontal="center" vertical="center"/>
    </xf>
    <xf numFmtId="10" fontId="69" fillId="27" borderId="0" xfId="446" applyNumberFormat="1" applyFont="1" applyFill="1" applyBorder="1" applyAlignment="1">
      <alignment horizontal="center" vertical="center"/>
    </xf>
    <xf numFmtId="43" fontId="53" fillId="27" borderId="0" xfId="323" applyNumberFormat="1" applyFont="1" applyFill="1" applyBorder="1" applyAlignment="1">
      <alignment horizontal="center" vertical="center"/>
    </xf>
    <xf numFmtId="10" fontId="69" fillId="27" borderId="24" xfId="446" applyNumberFormat="1" applyFont="1" applyFill="1" applyBorder="1" applyAlignment="1">
      <alignment horizontal="center" vertical="center"/>
    </xf>
    <xf numFmtId="43" fontId="53" fillId="27" borderId="18" xfId="323" applyNumberFormat="1" applyFont="1" applyFill="1" applyBorder="1" applyAlignment="1">
      <alignment horizontal="center" vertical="center"/>
    </xf>
    <xf numFmtId="174" fontId="0" fillId="27" borderId="11" xfId="0" applyFill="1" applyBorder="1" applyAlignment="1">
      <alignment horizontal="center" vertical="center"/>
    </xf>
    <xf numFmtId="43" fontId="53" fillId="27" borderId="11" xfId="323" applyNumberFormat="1" applyFont="1" applyFill="1" applyBorder="1" applyAlignment="1">
      <alignment horizontal="center" vertical="center"/>
    </xf>
    <xf numFmtId="10" fontId="69" fillId="27" borderId="22" xfId="446" applyNumberFormat="1" applyFont="1" applyFill="1" applyBorder="1" applyAlignment="1">
      <alignment horizontal="center" vertical="center"/>
    </xf>
    <xf numFmtId="174" fontId="47" fillId="0" borderId="0" xfId="446" applyFont="1" applyAlignment="1">
      <alignment horizontal="center"/>
    </xf>
    <xf numFmtId="0" fontId="67" fillId="0" borderId="0" xfId="1092" applyFont="1"/>
    <xf numFmtId="10" fontId="67" fillId="0" borderId="0" xfId="1092" applyNumberFormat="1" applyFont="1"/>
    <xf numFmtId="10" fontId="67" fillId="0" borderId="0" xfId="551" applyNumberFormat="1" applyFont="1"/>
    <xf numFmtId="9" fontId="67" fillId="0" borderId="0" xfId="1092" applyNumberFormat="1" applyFont="1"/>
    <xf numFmtId="167" fontId="67" fillId="0" borderId="0" xfId="1092" applyNumberFormat="1" applyFont="1"/>
    <xf numFmtId="174" fontId="69" fillId="0" borderId="15" xfId="0" applyNumberFormat="1" applyFont="1" applyFill="1" applyBorder="1" applyAlignment="1">
      <alignment horizontal="center" vertical="center" wrapText="1"/>
    </xf>
    <xf numFmtId="174" fontId="69" fillId="0" borderId="23" xfId="0" applyNumberFormat="1" applyFont="1" applyFill="1" applyBorder="1" applyAlignment="1">
      <alignment horizontal="center" vertical="center" wrapText="1"/>
    </xf>
    <xf numFmtId="174" fontId="69" fillId="0" borderId="16" xfId="0" applyNumberFormat="1" applyFont="1" applyFill="1" applyBorder="1" applyAlignment="1">
      <alignment horizontal="center" vertical="center" wrapText="1"/>
    </xf>
    <xf numFmtId="3" fontId="55" fillId="27" borderId="20" xfId="0" applyNumberFormat="1" applyFont="1" applyFill="1" applyBorder="1" applyAlignment="1" applyProtection="1">
      <alignment horizontal="center"/>
    </xf>
    <xf numFmtId="3" fontId="55" fillId="27" borderId="24" xfId="0" applyNumberFormat="1" applyFont="1" applyFill="1" applyBorder="1" applyAlignment="1" applyProtection="1">
      <alignment horizontal="center"/>
    </xf>
    <xf numFmtId="3" fontId="55" fillId="27" borderId="21" xfId="0" applyNumberFormat="1" applyFont="1" applyFill="1" applyBorder="1" applyAlignment="1" applyProtection="1">
      <alignment horizontal="center"/>
    </xf>
    <xf numFmtId="3" fontId="55" fillId="27" borderId="12" xfId="0" applyNumberFormat="1" applyFont="1" applyFill="1" applyBorder="1" applyAlignment="1" applyProtection="1">
      <alignment horizontal="center"/>
    </xf>
    <xf numFmtId="3" fontId="55" fillId="27" borderId="25" xfId="0" applyNumberFormat="1" applyFont="1" applyFill="1" applyBorder="1" applyAlignment="1" applyProtection="1">
      <alignment horizontal="center"/>
    </xf>
    <xf numFmtId="167" fontId="73" fillId="27" borderId="21" xfId="323" applyNumberFormat="1" applyFont="1" applyFill="1" applyBorder="1"/>
    <xf numFmtId="167" fontId="73" fillId="27" borderId="20" xfId="323" applyNumberFormat="1" applyFont="1" applyFill="1" applyBorder="1"/>
    <xf numFmtId="167" fontId="73" fillId="27" borderId="13" xfId="323" applyNumberFormat="1" applyFont="1" applyFill="1" applyBorder="1" applyAlignment="1">
      <alignment vertical="center"/>
    </xf>
    <xf numFmtId="2" fontId="82" fillId="27" borderId="25" xfId="328" applyNumberFormat="1" applyFont="1" applyFill="1" applyBorder="1" applyAlignment="1">
      <alignment horizontal="center" vertical="center"/>
    </xf>
    <xf numFmtId="167" fontId="83" fillId="27" borderId="12" xfId="323" applyNumberFormat="1" applyFont="1" applyFill="1" applyBorder="1" applyAlignment="1">
      <alignment vertical="center"/>
    </xf>
    <xf numFmtId="167" fontId="82" fillId="27" borderId="17" xfId="323" applyNumberFormat="1" applyFont="1" applyFill="1" applyBorder="1" applyAlignment="1">
      <alignment vertical="center"/>
    </xf>
    <xf numFmtId="171" fontId="82" fillId="27" borderId="21" xfId="394" applyNumberFormat="1" applyFont="1" applyFill="1" applyBorder="1" applyAlignment="1">
      <alignment vertical="center"/>
    </xf>
    <xf numFmtId="171" fontId="82" fillId="27" borderId="12" xfId="394" applyNumberFormat="1" applyFont="1" applyFill="1" applyBorder="1" applyAlignment="1">
      <alignment vertical="center"/>
    </xf>
    <xf numFmtId="43" fontId="82" fillId="27" borderId="25" xfId="394" applyNumberFormat="1" applyFont="1" applyFill="1" applyBorder="1" applyAlignment="1">
      <alignment vertical="center"/>
    </xf>
    <xf numFmtId="167" fontId="82" fillId="27" borderId="19" xfId="323" applyNumberFormat="1" applyFont="1" applyFill="1" applyBorder="1" applyAlignment="1">
      <alignment vertical="center"/>
    </xf>
    <xf numFmtId="171" fontId="82" fillId="27" borderId="20" xfId="394" applyNumberFormat="1" applyFont="1" applyFill="1" applyBorder="1" applyAlignment="1">
      <alignment vertical="center"/>
    </xf>
    <xf numFmtId="171" fontId="82" fillId="27" borderId="0" xfId="394" applyNumberFormat="1" applyFont="1" applyFill="1" applyBorder="1" applyAlignment="1">
      <alignment vertical="center"/>
    </xf>
    <xf numFmtId="43" fontId="82" fillId="27" borderId="24" xfId="394" applyNumberFormat="1" applyFont="1" applyFill="1" applyBorder="1" applyAlignment="1">
      <alignment vertical="center"/>
    </xf>
    <xf numFmtId="167" fontId="83" fillId="27" borderId="0" xfId="394" applyNumberFormat="1" applyFont="1" applyFill="1" applyBorder="1" applyAlignment="1">
      <alignment vertical="center"/>
    </xf>
    <xf numFmtId="167" fontId="82" fillId="27" borderId="19" xfId="394" applyNumberFormat="1" applyFont="1" applyFill="1" applyBorder="1" applyAlignment="1">
      <alignment vertical="center"/>
    </xf>
    <xf numFmtId="171" fontId="82" fillId="27" borderId="0" xfId="0" applyNumberFormat="1" applyFont="1" applyFill="1" applyBorder="1" applyAlignment="1">
      <alignment vertical="center"/>
    </xf>
    <xf numFmtId="167" fontId="83" fillId="0" borderId="0" xfId="394" applyNumberFormat="1" applyFont="1" applyFill="1" applyBorder="1" applyAlignment="1">
      <alignment vertical="center"/>
    </xf>
    <xf numFmtId="167" fontId="82" fillId="0" borderId="19" xfId="394" applyNumberFormat="1" applyFont="1" applyFill="1" applyBorder="1" applyAlignment="1">
      <alignment vertical="center"/>
    </xf>
    <xf numFmtId="167" fontId="83" fillId="27" borderId="11" xfId="394" applyNumberFormat="1" applyFont="1" applyFill="1" applyBorder="1" applyAlignment="1">
      <alignment vertical="center"/>
    </xf>
    <xf numFmtId="167" fontId="82" fillId="27" borderId="14" xfId="394" applyNumberFormat="1" applyFont="1" applyFill="1" applyBorder="1" applyAlignment="1">
      <alignment vertical="center"/>
    </xf>
    <xf numFmtId="171" fontId="82" fillId="27" borderId="18" xfId="394" applyNumberFormat="1" applyFont="1" applyFill="1" applyBorder="1" applyAlignment="1">
      <alignment vertical="center"/>
    </xf>
    <xf numFmtId="171" fontId="82" fillId="27" borderId="11" xfId="0" applyNumberFormat="1" applyFont="1" applyFill="1" applyBorder="1" applyAlignment="1">
      <alignment vertical="center"/>
    </xf>
    <xf numFmtId="43" fontId="82" fillId="27" borderId="22" xfId="394" applyNumberFormat="1" applyFont="1" applyFill="1" applyBorder="1" applyAlignment="1">
      <alignment vertical="center"/>
    </xf>
    <xf numFmtId="43" fontId="82" fillId="27" borderId="17" xfId="394" applyNumberFormat="1" applyFont="1" applyFill="1" applyBorder="1" applyAlignment="1">
      <alignment horizontal="left" vertical="center"/>
    </xf>
    <xf numFmtId="41" fontId="83" fillId="27" borderId="0" xfId="347" applyNumberFormat="1" applyFont="1" applyFill="1" applyBorder="1" applyAlignment="1">
      <alignment horizontal="right"/>
    </xf>
    <xf numFmtId="41" fontId="83" fillId="27" borderId="11" xfId="347" applyNumberFormat="1" applyFont="1" applyFill="1" applyBorder="1" applyAlignment="1">
      <alignment horizontal="right"/>
    </xf>
    <xf numFmtId="17" fontId="62" fillId="0" borderId="0" xfId="0" applyNumberFormat="1" applyFont="1" applyFill="1" applyBorder="1" applyAlignment="1">
      <alignment horizontal="center"/>
    </xf>
    <xf numFmtId="196" fontId="55" fillId="27" borderId="0" xfId="0" applyNumberFormat="1" applyFont="1" applyFill="1" applyBorder="1"/>
    <xf numFmtId="43" fontId="55" fillId="0" borderId="14" xfId="323" applyFont="1" applyFill="1" applyBorder="1"/>
    <xf numFmtId="174" fontId="85" fillId="27" borderId="13" xfId="391" applyFont="1" applyFill="1" applyBorder="1" applyAlignment="1">
      <alignment horizontal="center" vertical="center"/>
    </xf>
    <xf numFmtId="174" fontId="85" fillId="27" borderId="23" xfId="391" applyFont="1" applyFill="1" applyBorder="1" applyAlignment="1">
      <alignment horizontal="center" vertical="center"/>
    </xf>
    <xf numFmtId="174" fontId="85" fillId="27" borderId="13" xfId="391" applyFont="1" applyFill="1" applyBorder="1" applyAlignment="1">
      <alignment horizontal="center"/>
    </xf>
    <xf numFmtId="174" fontId="82" fillId="27" borderId="23" xfId="388" applyFont="1" applyFill="1" applyBorder="1" applyAlignment="1">
      <alignment horizontal="center" vertical="center" wrapText="1"/>
    </xf>
    <xf numFmtId="174" fontId="82" fillId="27" borderId="13" xfId="388" applyFont="1" applyFill="1" applyBorder="1" applyAlignment="1">
      <alignment horizontal="center" vertical="center" wrapText="1"/>
    </xf>
    <xf numFmtId="1" fontId="69" fillId="27" borderId="20" xfId="0" applyNumberFormat="1" applyFont="1" applyFill="1" applyBorder="1" applyAlignment="1">
      <alignment horizontal="center"/>
    </xf>
    <xf numFmtId="1" fontId="69" fillId="27" borderId="18" xfId="0" applyNumberFormat="1" applyFont="1" applyFill="1" applyBorder="1" applyAlignment="1">
      <alignment horizontal="center"/>
    </xf>
    <xf numFmtId="10" fontId="83" fillId="27" borderId="0" xfId="450" applyNumberFormat="1" applyFont="1" applyFill="1" applyBorder="1" applyAlignment="1">
      <alignment horizontal="center"/>
    </xf>
    <xf numFmtId="17" fontId="82" fillId="27" borderId="17" xfId="450" applyNumberFormat="1" applyFont="1" applyFill="1" applyBorder="1" applyAlignment="1">
      <alignment horizontal="left"/>
    </xf>
    <xf numFmtId="17" fontId="82" fillId="27" borderId="19" xfId="450" applyNumberFormat="1" applyFont="1" applyFill="1" applyBorder="1" applyAlignment="1">
      <alignment horizontal="left"/>
    </xf>
    <xf numFmtId="17" fontId="82" fillId="27" borderId="14" xfId="450" applyNumberFormat="1" applyFont="1" applyFill="1" applyBorder="1" applyAlignment="1">
      <alignment horizontal="left"/>
    </xf>
    <xf numFmtId="10" fontId="83" fillId="27" borderId="12" xfId="450" applyNumberFormat="1" applyFont="1" applyFill="1" applyBorder="1" applyAlignment="1">
      <alignment horizontal="center"/>
    </xf>
    <xf numFmtId="10" fontId="83" fillId="27" borderId="11" xfId="450" applyNumberFormat="1" applyFont="1" applyFill="1" applyBorder="1" applyAlignment="1">
      <alignment horizontal="center"/>
    </xf>
    <xf numFmtId="43" fontId="53" fillId="27" borderId="11" xfId="0" applyNumberFormat="1" applyFont="1" applyFill="1" applyBorder="1" applyAlignment="1">
      <alignment horizontal="right"/>
    </xf>
    <xf numFmtId="174" fontId="69" fillId="27" borderId="15" xfId="0" applyNumberFormat="1" applyFont="1" applyFill="1" applyBorder="1" applyAlignment="1">
      <alignment horizontal="center" vertical="center"/>
    </xf>
    <xf numFmtId="1" fontId="69" fillId="27" borderId="15" xfId="347" applyNumberFormat="1" applyFont="1" applyFill="1" applyBorder="1" applyAlignment="1">
      <alignment horizontal="center" vertical="center"/>
    </xf>
    <xf numFmtId="4" fontId="69" fillId="27" borderId="15" xfId="0" applyNumberFormat="1" applyFont="1" applyFill="1" applyBorder="1" applyAlignment="1">
      <alignment horizontal="right" vertical="center"/>
    </xf>
    <xf numFmtId="4" fontId="69" fillId="27" borderId="23" xfId="0" applyNumberFormat="1" applyFont="1" applyFill="1" applyBorder="1" applyAlignment="1">
      <alignment horizontal="right" vertical="center"/>
    </xf>
    <xf numFmtId="4" fontId="69" fillId="27" borderId="16" xfId="0" applyNumberFormat="1" applyFont="1" applyFill="1" applyBorder="1" applyAlignment="1">
      <alignment horizontal="right" vertical="center"/>
    </xf>
    <xf numFmtId="3" fontId="69" fillId="0" borderId="14" xfId="0" applyNumberFormat="1" applyFont="1" applyFill="1" applyBorder="1" applyAlignment="1" applyProtection="1">
      <alignment horizontal="center"/>
    </xf>
    <xf numFmtId="0" fontId="61" fillId="27" borderId="0" xfId="323" applyNumberFormat="1" applyFont="1" applyFill="1" applyBorder="1" applyAlignment="1"/>
    <xf numFmtId="167" fontId="68" fillId="27" borderId="19" xfId="0" applyNumberFormat="1" applyFont="1" applyFill="1" applyBorder="1" applyAlignment="1">
      <alignment wrapText="1"/>
    </xf>
    <xf numFmtId="167" fontId="82" fillId="27" borderId="19" xfId="323" applyNumberFormat="1" applyFont="1" applyFill="1" applyBorder="1" applyAlignment="1">
      <alignment horizontal="center"/>
    </xf>
    <xf numFmtId="171" fontId="50" fillId="0" borderId="0" xfId="551" applyNumberFormat="1" applyFont="1" applyBorder="1" applyAlignment="1">
      <alignment horizontal="center"/>
    </xf>
    <xf numFmtId="40" fontId="165" fillId="27" borderId="0" xfId="323" applyNumberFormat="1" applyFont="1" applyFill="1" applyBorder="1" applyAlignment="1">
      <alignment vertical="center"/>
    </xf>
    <xf numFmtId="10" fontId="66" fillId="27" borderId="0" xfId="551" applyNumberFormat="1" applyFont="1" applyFill="1" applyBorder="1" applyAlignment="1">
      <alignment vertical="center"/>
    </xf>
    <xf numFmtId="167" fontId="68" fillId="0" borderId="19" xfId="0" applyNumberFormat="1" applyFont="1" applyFill="1" applyBorder="1" applyAlignment="1">
      <alignment horizontal="center" vertical="center" wrapText="1"/>
    </xf>
    <xf numFmtId="167" fontId="68" fillId="0" borderId="13" xfId="0" applyNumberFormat="1" applyFont="1" applyFill="1" applyBorder="1" applyAlignment="1">
      <alignment horizontal="center" vertical="center" wrapText="1"/>
    </xf>
    <xf numFmtId="3" fontId="166" fillId="0" borderId="0" xfId="336" applyNumberFormat="1" applyFont="1" applyFill="1" applyBorder="1" applyAlignment="1">
      <alignment horizontal="center"/>
    </xf>
    <xf numFmtId="174" fontId="52" fillId="0" borderId="0" xfId="0" applyNumberFormat="1" applyFont="1" applyBorder="1" applyAlignment="1">
      <alignment horizontal="left" vertical="center"/>
    </xf>
    <xf numFmtId="2" fontId="55" fillId="0" borderId="0" xfId="551" applyNumberFormat="1" applyFont="1" applyBorder="1" applyAlignment="1">
      <alignment horizontal="left"/>
    </xf>
    <xf numFmtId="174" fontId="66" fillId="27" borderId="13" xfId="0" applyNumberFormat="1" applyFont="1" applyFill="1" applyBorder="1" applyAlignment="1">
      <alignment horizontal="center" vertical="center" wrapText="1"/>
    </xf>
    <xf numFmtId="167" fontId="66" fillId="27" borderId="19" xfId="394" applyNumberFormat="1" applyFont="1" applyFill="1" applyBorder="1" applyAlignment="1">
      <alignment horizontal="right"/>
    </xf>
    <xf numFmtId="167" fontId="66" fillId="27" borderId="14" xfId="394" applyNumberFormat="1" applyFont="1" applyFill="1" applyBorder="1" applyAlignment="1">
      <alignment horizontal="right"/>
    </xf>
    <xf numFmtId="10" fontId="104" fillId="27" borderId="19" xfId="0" applyNumberFormat="1" applyFont="1" applyFill="1" applyBorder="1" applyAlignment="1">
      <alignment horizontal="center"/>
    </xf>
    <xf numFmtId="10" fontId="104" fillId="27" borderId="14" xfId="0" applyNumberFormat="1" applyFont="1" applyFill="1" applyBorder="1" applyAlignment="1">
      <alignment horizontal="center"/>
    </xf>
    <xf numFmtId="9" fontId="100" fillId="0" borderId="0" xfId="551" applyNumberFormat="1" applyFont="1"/>
    <xf numFmtId="174" fontId="52" fillId="27" borderId="17" xfId="0" applyNumberFormat="1" applyFont="1" applyFill="1" applyBorder="1" applyAlignment="1">
      <alignment horizontal="center" vertical="center" wrapText="1"/>
    </xf>
    <xf numFmtId="171" fontId="52" fillId="27" borderId="17" xfId="0" applyNumberFormat="1" applyFont="1" applyFill="1" applyBorder="1"/>
    <xf numFmtId="171" fontId="52" fillId="27" borderId="19" xfId="0" applyNumberFormat="1" applyFont="1" applyFill="1" applyBorder="1"/>
    <xf numFmtId="171" fontId="52" fillId="27" borderId="14" xfId="0" applyNumberFormat="1" applyFont="1" applyFill="1" applyBorder="1"/>
    <xf numFmtId="49" fontId="82" fillId="27" borderId="0" xfId="0" applyNumberFormat="1" applyFont="1" applyFill="1" applyBorder="1" applyAlignment="1">
      <alignment horizontal="center"/>
    </xf>
    <xf numFmtId="49" fontId="82" fillId="27" borderId="19" xfId="0" applyNumberFormat="1" applyFont="1" applyFill="1" applyBorder="1" applyAlignment="1">
      <alignment horizontal="left"/>
    </xf>
    <xf numFmtId="180" fontId="55" fillId="0" borderId="0" xfId="388" applyNumberFormat="1" applyFont="1" applyBorder="1" applyAlignment="1">
      <alignment horizontal="center"/>
    </xf>
    <xf numFmtId="182" fontId="47" fillId="0" borderId="0" xfId="448" applyNumberFormat="1" applyFont="1"/>
    <xf numFmtId="17" fontId="82" fillId="27" borderId="14" xfId="0" applyNumberFormat="1" applyFont="1" applyFill="1" applyBorder="1" applyAlignment="1">
      <alignment horizontal="center" vertical="center"/>
    </xf>
    <xf numFmtId="174" fontId="0" fillId="0" borderId="0" xfId="0" applyAlignment="1">
      <alignment horizontal="center"/>
    </xf>
    <xf numFmtId="189" fontId="0" fillId="0" borderId="0" xfId="0" applyNumberFormat="1" applyAlignment="1">
      <alignment horizontal="center" vertical="center"/>
    </xf>
    <xf numFmtId="17" fontId="69" fillId="27" borderId="13" xfId="0" applyNumberFormat="1" applyFont="1" applyFill="1" applyBorder="1" applyAlignment="1">
      <alignment horizontal="center" vertical="center"/>
    </xf>
    <xf numFmtId="2" fontId="66" fillId="27" borderId="24" xfId="394" applyNumberFormat="1" applyFont="1" applyFill="1" applyBorder="1" applyAlignment="1">
      <alignment horizontal="right"/>
    </xf>
    <xf numFmtId="2" fontId="66" fillId="27" borderId="22" xfId="394" applyNumberFormat="1" applyFont="1" applyFill="1" applyBorder="1" applyAlignment="1">
      <alignment horizontal="right"/>
    </xf>
    <xf numFmtId="174" fontId="82"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3" fontId="64" fillId="27" borderId="0" xfId="0" applyNumberFormat="1" applyFont="1" applyFill="1" applyBorder="1" applyAlignment="1">
      <alignment vertical="center"/>
    </xf>
    <xf numFmtId="17" fontId="82" fillId="0" borderId="13" xfId="336" applyNumberFormat="1" applyFont="1" applyFill="1" applyBorder="1" applyAlignment="1">
      <alignment horizontal="center" vertical="center"/>
    </xf>
    <xf numFmtId="3" fontId="82" fillId="0" borderId="23" xfId="328" applyNumberFormat="1" applyFont="1" applyFill="1" applyBorder="1" applyAlignment="1">
      <alignment horizontal="center" vertical="center"/>
    </xf>
    <xf numFmtId="9" fontId="82" fillId="0" borderId="13" xfId="551" applyNumberFormat="1" applyFont="1" applyFill="1" applyBorder="1" applyAlignment="1">
      <alignment horizontal="center" vertical="center"/>
    </xf>
    <xf numFmtId="3" fontId="64" fillId="27" borderId="0" xfId="0" applyNumberFormat="1" applyFont="1" applyFill="1" applyBorder="1" applyAlignment="1" applyProtection="1">
      <alignment horizontal="right"/>
    </xf>
    <xf numFmtId="171" fontId="85" fillId="27" borderId="0" xfId="0" applyNumberFormat="1" applyFont="1" applyFill="1" applyBorder="1" applyAlignment="1">
      <alignment horizontal="right"/>
    </xf>
    <xf numFmtId="174" fontId="82" fillId="27" borderId="15" xfId="0" applyNumberFormat="1" applyFont="1" applyFill="1" applyBorder="1" applyAlignment="1" applyProtection="1">
      <alignment horizontal="center" vertical="center"/>
    </xf>
    <xf numFmtId="174" fontId="82" fillId="27" borderId="23" xfId="0" applyNumberFormat="1" applyFont="1" applyFill="1" applyBorder="1" applyAlignment="1" applyProtection="1">
      <alignment horizontal="center" vertical="center"/>
    </xf>
    <xf numFmtId="174" fontId="82" fillId="27" borderId="13" xfId="0" applyNumberFormat="1" applyFont="1" applyFill="1" applyBorder="1" applyAlignment="1" applyProtection="1">
      <alignment horizontal="center" vertical="center"/>
    </xf>
    <xf numFmtId="190" fontId="69" fillId="27" borderId="24" xfId="336" applyNumberFormat="1" applyFont="1" applyFill="1" applyBorder="1"/>
    <xf numFmtId="190" fontId="69" fillId="27" borderId="22" xfId="336" applyNumberFormat="1" applyFont="1" applyFill="1" applyBorder="1"/>
    <xf numFmtId="43" fontId="53" fillId="27" borderId="24" xfId="336" applyNumberFormat="1" applyFont="1" applyFill="1" applyBorder="1"/>
    <xf numFmtId="43" fontId="53" fillId="27" borderId="22" xfId="336" applyNumberFormat="1" applyFont="1" applyFill="1" applyBorder="1"/>
    <xf numFmtId="43" fontId="69" fillId="27" borderId="23" xfId="323" applyNumberFormat="1" applyFont="1" applyFill="1" applyBorder="1" applyAlignment="1">
      <alignment horizontal="center" vertical="center" wrapText="1"/>
    </xf>
    <xf numFmtId="43" fontId="69" fillId="27" borderId="13" xfId="323" applyNumberFormat="1" applyFont="1" applyFill="1" applyBorder="1" applyAlignment="1">
      <alignment horizontal="center" vertical="center" wrapText="1"/>
    </xf>
    <xf numFmtId="1" fontId="69" fillId="27" borderId="20" xfId="347" applyNumberFormat="1" applyFont="1" applyFill="1" applyBorder="1" applyAlignment="1">
      <alignment horizontal="center" vertical="center"/>
    </xf>
    <xf numFmtId="171" fontId="69" fillId="27" borderId="17" xfId="0" applyNumberFormat="1" applyFont="1" applyFill="1" applyBorder="1"/>
    <xf numFmtId="171" fontId="69" fillId="27" borderId="19" xfId="0" applyNumberFormat="1" applyFont="1" applyFill="1" applyBorder="1"/>
    <xf numFmtId="171" fontId="69" fillId="27" borderId="14" xfId="0" applyNumberFormat="1" applyFont="1" applyFill="1" applyBorder="1"/>
    <xf numFmtId="167" fontId="69" fillId="27" borderId="20" xfId="0" applyNumberFormat="1" applyFont="1" applyFill="1" applyBorder="1" applyAlignment="1">
      <alignment horizontal="center" wrapText="1"/>
    </xf>
    <xf numFmtId="171" fontId="68" fillId="27" borderId="19" xfId="0" applyNumberFormat="1" applyFont="1" applyFill="1" applyBorder="1" applyAlignment="1"/>
    <xf numFmtId="167" fontId="68" fillId="27" borderId="23" xfId="0" applyNumberFormat="1" applyFont="1" applyFill="1" applyBorder="1" applyAlignment="1">
      <alignment wrapText="1"/>
    </xf>
    <xf numFmtId="171" fontId="68" fillId="27" borderId="13" xfId="0" applyNumberFormat="1" applyFont="1" applyFill="1" applyBorder="1" applyAlignment="1"/>
    <xf numFmtId="174" fontId="0" fillId="0" borderId="0" xfId="0" applyAlignment="1">
      <alignment horizontal="center"/>
    </xf>
    <xf numFmtId="10" fontId="74" fillId="0" borderId="0" xfId="551" applyNumberFormat="1" applyFont="1" applyAlignment="1">
      <alignment horizontal="left"/>
    </xf>
    <xf numFmtId="2" fontId="74" fillId="0" borderId="0" xfId="551" applyNumberFormat="1" applyFont="1" applyAlignment="1">
      <alignment horizontal="left"/>
    </xf>
    <xf numFmtId="10" fontId="47" fillId="0" borderId="0" xfId="579" applyNumberFormat="1"/>
    <xf numFmtId="174" fontId="0" fillId="0" borderId="0" xfId="0" applyAlignment="1">
      <alignment horizontal="center"/>
    </xf>
    <xf numFmtId="171" fontId="74" fillId="0" borderId="0" xfId="551" applyNumberFormat="1" applyFont="1" applyAlignment="1">
      <alignment horizontal="left"/>
    </xf>
    <xf numFmtId="2" fontId="167" fillId="31" borderId="0" xfId="0" applyNumberFormat="1" applyFont="1" applyFill="1"/>
    <xf numFmtId="40" fontId="70" fillId="27" borderId="0" xfId="323" applyNumberFormat="1" applyFont="1" applyFill="1" applyBorder="1" applyAlignment="1">
      <alignment vertical="center"/>
    </xf>
    <xf numFmtId="174" fontId="48" fillId="0" borderId="0" xfId="0" applyFont="1" applyAlignment="1">
      <alignment horizontal="center"/>
    </xf>
    <xf numFmtId="10" fontId="48" fillId="0" borderId="0" xfId="551" applyNumberFormat="1" applyFont="1" applyAlignment="1">
      <alignment horizontal="center"/>
    </xf>
    <xf numFmtId="40" fontId="70" fillId="27" borderId="0" xfId="323" applyNumberFormat="1" applyFont="1" applyFill="1" applyBorder="1" applyAlignment="1">
      <alignment horizontal="center" vertical="center"/>
    </xf>
    <xf numFmtId="180" fontId="0" fillId="0" borderId="0" xfId="0" applyNumberFormat="1" applyAlignment="1">
      <alignment horizontal="center"/>
    </xf>
    <xf numFmtId="171" fontId="68" fillId="0" borderId="0" xfId="0" applyNumberFormat="1" applyFont="1" applyFill="1" applyBorder="1" applyAlignment="1">
      <alignment horizontal="center"/>
    </xf>
    <xf numFmtId="171" fontId="68" fillId="0" borderId="24" xfId="0" applyNumberFormat="1" applyFont="1" applyFill="1" applyBorder="1" applyAlignment="1">
      <alignment horizontal="center"/>
    </xf>
    <xf numFmtId="171" fontId="68" fillId="0" borderId="23" xfId="0" applyNumberFormat="1" applyFont="1" applyFill="1" applyBorder="1" applyAlignment="1">
      <alignment horizontal="center"/>
    </xf>
    <xf numFmtId="171" fontId="68" fillId="0" borderId="16" xfId="0" applyNumberFormat="1" applyFont="1" applyFill="1" applyBorder="1" applyAlignment="1">
      <alignment horizontal="center"/>
    </xf>
    <xf numFmtId="167" fontId="68" fillId="0" borderId="19" xfId="323" applyNumberFormat="1" applyFont="1" applyFill="1" applyBorder="1" applyAlignment="1">
      <alignment horizontal="center"/>
    </xf>
    <xf numFmtId="167" fontId="53" fillId="27" borderId="0" xfId="323" applyNumberFormat="1" applyFont="1" applyFill="1" applyBorder="1" applyAlignment="1">
      <alignment horizontal="center"/>
    </xf>
    <xf numFmtId="167" fontId="68" fillId="0" borderId="23" xfId="323" applyNumberFormat="1" applyFont="1" applyFill="1" applyBorder="1" applyAlignment="1">
      <alignment horizontal="center"/>
    </xf>
    <xf numFmtId="17" fontId="82" fillId="27" borderId="17" xfId="0" applyNumberFormat="1" applyFont="1" applyFill="1" applyBorder="1" applyAlignment="1">
      <alignment horizontal="center" vertical="center"/>
    </xf>
    <xf numFmtId="17" fontId="82" fillId="27" borderId="14" xfId="0" applyNumberFormat="1" applyFont="1" applyFill="1" applyBorder="1" applyAlignment="1">
      <alignment horizontal="center" vertical="center"/>
    </xf>
    <xf numFmtId="3" fontId="85" fillId="27" borderId="14" xfId="336" applyNumberFormat="1" applyFont="1" applyFill="1" applyBorder="1" applyAlignment="1">
      <alignment horizontal="center"/>
    </xf>
    <xf numFmtId="3" fontId="82" fillId="0" borderId="13" xfId="328" applyNumberFormat="1" applyFont="1" applyFill="1" applyBorder="1" applyAlignment="1">
      <alignment horizontal="center" vertical="center"/>
    </xf>
    <xf numFmtId="189" fontId="0" fillId="0" borderId="0" xfId="0" applyNumberFormat="1" applyFill="1" applyBorder="1"/>
    <xf numFmtId="167" fontId="69" fillId="0" borderId="13" xfId="323" applyNumberFormat="1" applyFont="1" applyFill="1" applyBorder="1" applyAlignment="1">
      <alignment vertical="center"/>
    </xf>
    <xf numFmtId="167" fontId="69" fillId="0" borderId="13" xfId="323" applyNumberFormat="1" applyFont="1" applyFill="1" applyBorder="1" applyAlignment="1">
      <alignment horizontal="center"/>
    </xf>
    <xf numFmtId="167" fontId="69" fillId="27" borderId="15" xfId="0" applyNumberFormat="1" applyFont="1" applyFill="1" applyBorder="1" applyAlignment="1">
      <alignment vertical="center" wrapText="1"/>
    </xf>
    <xf numFmtId="17" fontId="69" fillId="27" borderId="21" xfId="0" applyNumberFormat="1" applyFont="1" applyFill="1" applyBorder="1" applyAlignment="1">
      <alignment horizontal="center" vertical="center"/>
    </xf>
    <xf numFmtId="174" fontId="69" fillId="27" borderId="21" xfId="0" applyNumberFormat="1" applyFont="1" applyFill="1" applyBorder="1" applyAlignment="1">
      <alignment horizontal="center" vertical="center" wrapText="1"/>
    </xf>
    <xf numFmtId="174" fontId="69" fillId="27" borderId="12" xfId="0" applyNumberFormat="1" applyFont="1" applyFill="1" applyBorder="1" applyAlignment="1">
      <alignment horizontal="center" vertical="center" wrapText="1"/>
    </xf>
    <xf numFmtId="174" fontId="69" fillId="27" borderId="17" xfId="0" applyNumberFormat="1" applyFont="1" applyFill="1" applyBorder="1" applyAlignment="1">
      <alignment horizontal="center" vertical="center" wrapText="1"/>
    </xf>
    <xf numFmtId="2" fontId="82" fillId="27" borderId="17" xfId="328" applyNumberFormat="1" applyFont="1" applyFill="1" applyBorder="1" applyAlignment="1">
      <alignment horizontal="center" vertical="center"/>
    </xf>
    <xf numFmtId="2" fontId="82" fillId="27" borderId="19" xfId="328" applyNumberFormat="1" applyFont="1" applyFill="1" applyBorder="1" applyAlignment="1">
      <alignment horizontal="center" vertical="center"/>
    </xf>
    <xf numFmtId="2" fontId="82" fillId="27" borderId="14" xfId="328" applyNumberFormat="1" applyFont="1" applyFill="1" applyBorder="1" applyAlignment="1">
      <alignment horizontal="center" vertical="center"/>
    </xf>
    <xf numFmtId="3" fontId="53" fillId="27" borderId="18" xfId="0" applyNumberFormat="1" applyFont="1" applyFill="1" applyBorder="1" applyAlignment="1" applyProtection="1">
      <alignment horizontal="center"/>
    </xf>
    <xf numFmtId="3" fontId="53" fillId="27" borderId="11" xfId="0" applyNumberFormat="1" applyFont="1" applyFill="1" applyBorder="1" applyAlignment="1" applyProtection="1">
      <alignment horizontal="center"/>
    </xf>
    <xf numFmtId="3" fontId="55" fillId="27" borderId="18" xfId="0" applyNumberFormat="1" applyFont="1" applyFill="1" applyBorder="1" applyAlignment="1" applyProtection="1">
      <alignment horizontal="center"/>
    </xf>
    <xf numFmtId="3" fontId="55" fillId="27" borderId="11" xfId="0" applyNumberFormat="1" applyFont="1" applyFill="1" applyBorder="1" applyAlignment="1" applyProtection="1">
      <alignment horizontal="center"/>
    </xf>
    <xf numFmtId="3" fontId="55" fillId="27" borderId="22" xfId="0" applyNumberFormat="1" applyFont="1" applyFill="1" applyBorder="1" applyAlignment="1" applyProtection="1">
      <alignment horizontal="center"/>
    </xf>
    <xf numFmtId="3" fontId="83" fillId="27" borderId="21" xfId="0" applyNumberFormat="1" applyFont="1" applyFill="1" applyBorder="1" applyAlignment="1" applyProtection="1"/>
    <xf numFmtId="3" fontId="83" fillId="27" borderId="20" xfId="0" applyNumberFormat="1" applyFont="1" applyFill="1" applyBorder="1" applyAlignment="1" applyProtection="1"/>
    <xf numFmtId="43" fontId="69" fillId="0" borderId="23" xfId="0" applyNumberFormat="1" applyFont="1" applyFill="1" applyBorder="1" applyAlignment="1">
      <alignment horizontal="center" vertical="center" wrapText="1"/>
    </xf>
    <xf numFmtId="3" fontId="74" fillId="27" borderId="18" xfId="328" applyNumberFormat="1" applyFont="1" applyFill="1" applyBorder="1" applyAlignment="1"/>
    <xf numFmtId="3" fontId="74" fillId="27" borderId="11" xfId="328" applyNumberFormat="1" applyFont="1" applyFill="1" applyBorder="1" applyAlignment="1"/>
    <xf numFmtId="3" fontId="74" fillId="27" borderId="22" xfId="328" applyNumberFormat="1" applyFont="1" applyFill="1" applyBorder="1" applyAlignment="1"/>
    <xf numFmtId="3" fontId="73" fillId="27" borderId="14" xfId="0" applyNumberFormat="1" applyFont="1" applyFill="1" applyBorder="1" applyAlignment="1"/>
    <xf numFmtId="17" fontId="85" fillId="0" borderId="17" xfId="336" applyNumberFormat="1" applyFont="1" applyFill="1" applyBorder="1" applyAlignment="1">
      <alignment horizontal="center" vertical="center"/>
    </xf>
    <xf numFmtId="3" fontId="64" fillId="0" borderId="12" xfId="328" applyNumberFormat="1" applyFont="1" applyFill="1" applyBorder="1" applyAlignment="1">
      <alignment horizontal="center" vertical="center"/>
    </xf>
    <xf numFmtId="171" fontId="73" fillId="0" borderId="17" xfId="0" applyNumberFormat="1" applyFont="1" applyFill="1" applyBorder="1" applyAlignment="1">
      <alignment horizontal="center" vertical="center"/>
    </xf>
    <xf numFmtId="174" fontId="85" fillId="0" borderId="17" xfId="336" applyNumberFormat="1" applyFont="1" applyFill="1" applyBorder="1" applyAlignment="1">
      <alignment horizontal="center" vertical="center" wrapText="1"/>
    </xf>
    <xf numFmtId="167" fontId="85" fillId="0" borderId="12" xfId="336" applyNumberFormat="1" applyFont="1" applyFill="1" applyBorder="1" applyAlignment="1">
      <alignment horizontal="center" vertical="center" wrapText="1"/>
    </xf>
    <xf numFmtId="167" fontId="85" fillId="0" borderId="17" xfId="336" applyNumberFormat="1" applyFont="1" applyFill="1" applyBorder="1" applyAlignment="1">
      <alignment horizontal="center" vertical="center" wrapText="1"/>
    </xf>
    <xf numFmtId="167" fontId="85" fillId="0" borderId="13" xfId="323" applyNumberFormat="1" applyFont="1" applyFill="1" applyBorder="1" applyAlignment="1">
      <alignment horizontal="center" vertical="center"/>
    </xf>
    <xf numFmtId="43" fontId="55" fillId="27" borderId="21" xfId="0" applyNumberFormat="1" applyFont="1" applyFill="1" applyBorder="1" applyAlignment="1">
      <alignment horizontal="center"/>
    </xf>
    <xf numFmtId="43" fontId="55" fillId="27" borderId="20" xfId="0" applyNumberFormat="1" applyFont="1" applyFill="1" applyBorder="1" applyAlignment="1">
      <alignment horizontal="center"/>
    </xf>
    <xf numFmtId="43" fontId="69" fillId="0" borderId="13" xfId="323" applyNumberFormat="1" applyFont="1" applyFill="1" applyBorder="1" applyAlignment="1">
      <alignment horizontal="center" vertical="center" wrapText="1"/>
    </xf>
    <xf numFmtId="43" fontId="53" fillId="0" borderId="0" xfId="0" applyNumberFormat="1" applyFont="1" applyFill="1" applyBorder="1" applyAlignment="1">
      <alignment horizontal="center"/>
    </xf>
    <xf numFmtId="10" fontId="68" fillId="0" borderId="0" xfId="0" applyNumberFormat="1" applyFont="1" applyFill="1" applyBorder="1" applyAlignment="1">
      <alignment horizontal="center"/>
    </xf>
    <xf numFmtId="43" fontId="68" fillId="0" borderId="19" xfId="323" applyFont="1" applyFill="1" applyBorder="1" applyAlignment="1">
      <alignment horizontal="center"/>
    </xf>
    <xf numFmtId="43" fontId="53" fillId="0" borderId="0" xfId="323" applyNumberFormat="1" applyFont="1" applyFill="1" applyBorder="1" applyAlignment="1">
      <alignment horizontal="center"/>
    </xf>
    <xf numFmtId="10" fontId="69" fillId="0" borderId="0" xfId="0" applyNumberFormat="1" applyFont="1" applyFill="1" applyBorder="1" applyAlignment="1">
      <alignment horizontal="center"/>
    </xf>
    <xf numFmtId="43" fontId="53" fillId="27" borderId="0" xfId="0" applyNumberFormat="1" applyFont="1" applyFill="1" applyBorder="1" applyAlignment="1">
      <alignment horizontal="center"/>
    </xf>
    <xf numFmtId="10" fontId="69" fillId="27" borderId="0" xfId="0" applyNumberFormat="1" applyFont="1" applyFill="1" applyBorder="1" applyAlignment="1">
      <alignment horizontal="center"/>
    </xf>
    <xf numFmtId="43" fontId="68" fillId="27" borderId="19" xfId="323" applyFont="1" applyFill="1" applyBorder="1" applyAlignment="1">
      <alignment horizontal="center"/>
    </xf>
    <xf numFmtId="43" fontId="68" fillId="0" borderId="23" xfId="0" applyNumberFormat="1" applyFont="1" applyFill="1" applyBorder="1" applyAlignment="1">
      <alignment horizontal="center"/>
    </xf>
    <xf numFmtId="10" fontId="68" fillId="0" borderId="23" xfId="0" applyNumberFormat="1" applyFont="1" applyFill="1" applyBorder="1" applyAlignment="1">
      <alignment horizontal="center"/>
    </xf>
    <xf numFmtId="43" fontId="69" fillId="0" borderId="13" xfId="323" applyFont="1" applyFill="1" applyBorder="1" applyAlignment="1">
      <alignment horizontal="center"/>
    </xf>
    <xf numFmtId="0" fontId="68" fillId="0" borderId="19" xfId="0" applyNumberFormat="1" applyFont="1" applyFill="1" applyBorder="1" applyAlignment="1">
      <alignment horizontal="center"/>
    </xf>
    <xf numFmtId="167" fontId="83" fillId="27" borderId="0" xfId="323" applyNumberFormat="1" applyFont="1" applyFill="1" applyBorder="1" applyAlignment="1">
      <alignment horizontal="right"/>
    </xf>
    <xf numFmtId="1" fontId="66" fillId="27" borderId="19" xfId="919" applyNumberFormat="1" applyFont="1" applyFill="1" applyBorder="1" applyAlignment="1"/>
    <xf numFmtId="167" fontId="66" fillId="27" borderId="13" xfId="323" applyNumberFormat="1" applyFont="1" applyFill="1" applyBorder="1" applyAlignment="1">
      <alignment horizontal="right" vertical="center"/>
    </xf>
    <xf numFmtId="167" fontId="55" fillId="27" borderId="0" xfId="323" applyNumberFormat="1" applyFont="1" applyFill="1" applyBorder="1" applyAlignment="1">
      <alignment wrapText="1"/>
    </xf>
    <xf numFmtId="171" fontId="147" fillId="0" borderId="0" xfId="551" applyNumberFormat="1" applyFont="1" applyFill="1" applyBorder="1" applyAlignment="1">
      <alignment horizontal="right"/>
    </xf>
    <xf numFmtId="174" fontId="0" fillId="0" borderId="0" xfId="0" applyFont="1" applyAlignment="1">
      <alignment horizontal="right"/>
    </xf>
    <xf numFmtId="176" fontId="0" fillId="0" borderId="0" xfId="551" applyNumberFormat="1" applyFont="1" applyFill="1" applyBorder="1" applyAlignment="1">
      <alignment horizontal="right"/>
    </xf>
    <xf numFmtId="174" fontId="0" fillId="0" borderId="0" xfId="0" applyFont="1" applyFill="1" applyBorder="1" applyAlignment="1">
      <alignment horizontal="right"/>
    </xf>
    <xf numFmtId="171" fontId="147" fillId="0" borderId="0" xfId="551" applyNumberFormat="1" applyFont="1" applyFill="1" applyBorder="1" applyAlignment="1">
      <alignment horizontal="right" vertical="center"/>
    </xf>
    <xf numFmtId="2" fontId="147" fillId="0" borderId="0" xfId="551" applyNumberFormat="1" applyFont="1" applyFill="1" applyBorder="1" applyAlignment="1">
      <alignment horizontal="right" vertical="center"/>
    </xf>
    <xf numFmtId="10" fontId="147" fillId="0" borderId="0" xfId="551" applyNumberFormat="1" applyFont="1" applyFill="1" applyBorder="1" applyAlignment="1">
      <alignment horizontal="right" vertical="center"/>
    </xf>
    <xf numFmtId="171" fontId="0" fillId="0" borderId="0" xfId="551" applyNumberFormat="1" applyFont="1" applyAlignment="1">
      <alignment horizontal="right"/>
    </xf>
    <xf numFmtId="171" fontId="0" fillId="0" borderId="0" xfId="551" applyNumberFormat="1" applyFont="1" applyFill="1" applyBorder="1" applyAlignment="1">
      <alignment horizontal="right"/>
    </xf>
    <xf numFmtId="174" fontId="164" fillId="0" borderId="0" xfId="0" applyFont="1" applyAlignment="1">
      <alignment horizontal="right"/>
    </xf>
    <xf numFmtId="174" fontId="55" fillId="0" borderId="0" xfId="0" applyFont="1" applyAlignment="1">
      <alignment horizontal="center"/>
    </xf>
    <xf numFmtId="180" fontId="67" fillId="0" borderId="0" xfId="0" applyNumberFormat="1" applyFont="1" applyAlignment="1">
      <alignment horizontal="center"/>
    </xf>
    <xf numFmtId="174" fontId="82" fillId="27" borderId="17" xfId="0" applyFont="1" applyFill="1" applyBorder="1" applyAlignment="1">
      <alignment vertical="center" wrapText="1"/>
    </xf>
    <xf numFmtId="9" fontId="82" fillId="27" borderId="13" xfId="0" applyNumberFormat="1" applyFont="1" applyFill="1" applyBorder="1" applyAlignment="1"/>
    <xf numFmtId="1" fontId="53" fillId="27" borderId="0" xfId="323" applyNumberFormat="1" applyFont="1" applyFill="1" applyBorder="1" applyAlignment="1">
      <alignment horizontal="right" vertical="center"/>
    </xf>
    <xf numFmtId="167" fontId="69" fillId="27" borderId="21" xfId="323" applyNumberFormat="1" applyFont="1" applyFill="1" applyBorder="1" applyAlignment="1">
      <alignment horizontal="right" vertical="center"/>
    </xf>
    <xf numFmtId="167" fontId="69" fillId="27" borderId="20" xfId="323" applyNumberFormat="1" applyFont="1" applyFill="1" applyBorder="1" applyAlignment="1">
      <alignment horizontal="right" vertical="center"/>
    </xf>
    <xf numFmtId="167" fontId="69" fillId="27" borderId="23" xfId="323" applyNumberFormat="1" applyFont="1" applyFill="1" applyBorder="1" applyAlignment="1">
      <alignment horizontal="right" vertical="center"/>
    </xf>
    <xf numFmtId="167" fontId="69" fillId="27" borderId="15" xfId="323" applyNumberFormat="1" applyFont="1" applyFill="1" applyBorder="1" applyAlignment="1">
      <alignment horizontal="right" vertical="center"/>
    </xf>
    <xf numFmtId="171" fontId="53" fillId="27" borderId="0" xfId="551" applyNumberFormat="1" applyFont="1" applyFill="1" applyBorder="1" applyAlignment="1">
      <alignment vertical="center"/>
    </xf>
    <xf numFmtId="174" fontId="0" fillId="0" borderId="0" xfId="0" applyBorder="1" applyAlignment="1">
      <alignment horizontal="center"/>
    </xf>
    <xf numFmtId="174" fontId="83" fillId="0" borderId="0" xfId="0" applyFont="1" applyFill="1" applyBorder="1" applyAlignment="1">
      <alignment horizontal="left" vertical="center" wrapText="1"/>
    </xf>
    <xf numFmtId="174" fontId="0" fillId="0" borderId="12" xfId="0" applyNumberFormat="1" applyFont="1" applyBorder="1" applyAlignment="1">
      <alignment horizontal="left" vertical="center"/>
    </xf>
    <xf numFmtId="174" fontId="64" fillId="27" borderId="12" xfId="0" applyNumberFormat="1" applyFont="1" applyFill="1" applyBorder="1" applyAlignment="1">
      <alignment horizontal="left" vertical="center" wrapText="1"/>
    </xf>
    <xf numFmtId="174" fontId="60" fillId="27" borderId="0" xfId="0" applyNumberFormat="1" applyFont="1" applyFill="1" applyBorder="1" applyAlignment="1" applyProtection="1">
      <alignment horizontal="center" vertical="center" wrapText="1"/>
    </xf>
    <xf numFmtId="174" fontId="74" fillId="0" borderId="0" xfId="0" applyNumberFormat="1" applyFont="1" applyBorder="1" applyAlignment="1">
      <alignment horizontal="left" vertical="top" wrapText="1"/>
    </xf>
    <xf numFmtId="174" fontId="94" fillId="27" borderId="0" xfId="0" applyFont="1" applyFill="1" applyBorder="1" applyAlignment="1">
      <alignment horizontal="center" vertical="center" wrapText="1"/>
    </xf>
    <xf numFmtId="174" fontId="67" fillId="0" borderId="12" xfId="0" applyNumberFormat="1" applyFont="1" applyBorder="1" applyAlignment="1">
      <alignment horizontal="left" vertical="top" wrapText="1"/>
    </xf>
    <xf numFmtId="174" fontId="88" fillId="0" borderId="0" xfId="0" applyFont="1" applyAlignment="1">
      <alignment horizontal="justify" vertical="justify" wrapText="1"/>
    </xf>
    <xf numFmtId="174" fontId="67" fillId="0" borderId="0" xfId="0" applyNumberFormat="1" applyFont="1" applyBorder="1" applyAlignment="1">
      <alignment horizontal="left"/>
    </xf>
    <xf numFmtId="174" fontId="71" fillId="27"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74" fillId="0" borderId="0" xfId="0" applyNumberFormat="1" applyFont="1" applyBorder="1" applyAlignment="1">
      <alignment horizontal="left"/>
    </xf>
    <xf numFmtId="174" fontId="61" fillId="0" borderId="0" xfId="0" applyNumberFormat="1" applyFont="1" applyBorder="1" applyAlignment="1">
      <alignment horizontal="left" wrapText="1" indent="1"/>
    </xf>
    <xf numFmtId="174" fontId="85" fillId="0" borderId="15" xfId="0" applyNumberFormat="1" applyFont="1" applyFill="1" applyBorder="1" applyAlignment="1">
      <alignment horizontal="center" vertical="center"/>
    </xf>
    <xf numFmtId="174" fontId="85" fillId="0" borderId="23" xfId="0" applyNumberFormat="1" applyFont="1" applyFill="1" applyBorder="1" applyAlignment="1">
      <alignment horizontal="center" vertical="center"/>
    </xf>
    <xf numFmtId="174" fontId="85" fillId="0" borderId="16" xfId="0" applyNumberFormat="1" applyFont="1" applyFill="1" applyBorder="1" applyAlignment="1">
      <alignment horizontal="center" vertical="center"/>
    </xf>
    <xf numFmtId="174" fontId="73" fillId="0" borderId="23" xfId="0" applyFont="1" applyBorder="1" applyAlignment="1">
      <alignment horizontal="center" vertical="center"/>
    </xf>
    <xf numFmtId="174" fontId="73" fillId="0" borderId="16" xfId="0" applyFont="1" applyBorder="1" applyAlignment="1">
      <alignment horizontal="center" vertical="center"/>
    </xf>
    <xf numFmtId="174" fontId="54" fillId="0" borderId="0" xfId="0" applyFont="1" applyFill="1" applyBorder="1" applyAlignment="1">
      <alignment horizontal="center" vertical="center" wrapText="1"/>
    </xf>
    <xf numFmtId="174" fontId="120" fillId="0" borderId="0" xfId="0" applyFont="1" applyBorder="1" applyAlignment="1">
      <alignment horizontal="left" vertical="center" wrapText="1"/>
    </xf>
    <xf numFmtId="174" fontId="85" fillId="0" borderId="13" xfId="388" applyFont="1" applyFill="1" applyBorder="1" applyAlignment="1">
      <alignment horizontal="center" vertical="center" wrapText="1"/>
    </xf>
    <xf numFmtId="174" fontId="53" fillId="0" borderId="12" xfId="0" applyFont="1" applyBorder="1" applyAlignment="1">
      <alignment horizontal="left" vertical="top" wrapText="1"/>
    </xf>
    <xf numFmtId="174" fontId="87" fillId="27" borderId="0" xfId="0" applyFont="1" applyFill="1" applyBorder="1" applyAlignment="1">
      <alignment horizontal="center" vertical="center" wrapText="1"/>
    </xf>
    <xf numFmtId="174" fontId="56" fillId="0" borderId="12" xfId="0" applyNumberFormat="1" applyFont="1" applyBorder="1" applyAlignment="1">
      <alignment horizontal="left" vertical="center"/>
    </xf>
    <xf numFmtId="174" fontId="87" fillId="27" borderId="13" xfId="0" applyFont="1" applyFill="1" applyBorder="1" applyAlignment="1">
      <alignment horizontal="center" vertical="center" wrapText="1"/>
    </xf>
    <xf numFmtId="174" fontId="61" fillId="0" borderId="0" xfId="0" applyNumberFormat="1" applyFont="1" applyBorder="1" applyAlignment="1">
      <alignment horizontal="left" vertical="center"/>
    </xf>
    <xf numFmtId="174" fontId="67" fillId="0" borderId="0" xfId="0" applyNumberFormat="1" applyFont="1" applyBorder="1" applyAlignment="1">
      <alignment horizontal="left" vertical="center"/>
    </xf>
    <xf numFmtId="174" fontId="64" fillId="0" borderId="0" xfId="0" applyNumberFormat="1" applyFont="1" applyBorder="1" applyAlignment="1">
      <alignment horizontal="left" vertical="top"/>
    </xf>
    <xf numFmtId="174" fontId="82" fillId="27" borderId="25" xfId="0" applyNumberFormat="1" applyFont="1" applyFill="1" applyBorder="1" applyAlignment="1">
      <alignment horizontal="center" vertical="center" wrapText="1"/>
    </xf>
    <xf numFmtId="174" fontId="82" fillId="27" borderId="22" xfId="0"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wrapText="1"/>
    </xf>
    <xf numFmtId="174" fontId="82" fillId="27" borderId="23" xfId="0" applyNumberFormat="1" applyFont="1" applyFill="1" applyBorder="1" applyAlignment="1">
      <alignment horizontal="center" vertical="center" wrapText="1"/>
    </xf>
    <xf numFmtId="174" fontId="82" fillId="27" borderId="16" xfId="0" applyNumberFormat="1" applyFont="1" applyFill="1" applyBorder="1" applyAlignment="1">
      <alignment horizontal="center" vertical="center" wrapText="1"/>
    </xf>
    <xf numFmtId="174" fontId="82" fillId="27" borderId="17" xfId="0" applyNumberFormat="1" applyFont="1" applyFill="1" applyBorder="1" applyAlignment="1">
      <alignment horizontal="center" vertical="center" wrapText="1"/>
    </xf>
    <xf numFmtId="174" fontId="82" fillId="27" borderId="14" xfId="0" applyNumberFormat="1" applyFont="1" applyFill="1" applyBorder="1" applyAlignment="1">
      <alignment horizontal="center" vertical="center" wrapText="1"/>
    </xf>
    <xf numFmtId="17" fontId="82" fillId="27" borderId="17" xfId="0" applyNumberFormat="1" applyFont="1" applyFill="1" applyBorder="1" applyAlignment="1">
      <alignment horizontal="center" vertical="center"/>
    </xf>
    <xf numFmtId="17" fontId="82" fillId="27" borderId="14" xfId="0" applyNumberFormat="1" applyFont="1" applyFill="1" applyBorder="1" applyAlignment="1">
      <alignment horizontal="center" vertical="center"/>
    </xf>
    <xf numFmtId="174" fontId="86" fillId="27" borderId="13" xfId="0" applyFont="1" applyFill="1" applyBorder="1" applyAlignment="1">
      <alignment horizontal="center" vertical="center" wrapText="1"/>
    </xf>
    <xf numFmtId="174" fontId="0" fillId="0" borderId="0" xfId="0" applyBorder="1" applyAlignment="1">
      <alignment horizontal="left" vertical="center"/>
    </xf>
    <xf numFmtId="174" fontId="79" fillId="27" borderId="0" xfId="0" applyFont="1" applyFill="1" applyBorder="1" applyAlignment="1">
      <alignment horizontal="center" vertical="center" wrapText="1"/>
    </xf>
    <xf numFmtId="17" fontId="81" fillId="27" borderId="12" xfId="394" applyNumberFormat="1" applyFont="1" applyFill="1" applyBorder="1" applyAlignment="1">
      <alignment horizontal="left" vertical="top" wrapText="1"/>
    </xf>
    <xf numFmtId="17" fontId="81" fillId="27" borderId="0" xfId="394" applyNumberFormat="1" applyFont="1" applyFill="1" applyBorder="1" applyAlignment="1">
      <alignment horizontal="left" vertical="top" wrapText="1"/>
    </xf>
    <xf numFmtId="49" fontId="66" fillId="27" borderId="12" xfId="394" applyNumberFormat="1" applyFont="1" applyFill="1" applyBorder="1" applyAlignment="1">
      <alignment horizontal="left"/>
    </xf>
    <xf numFmtId="17" fontId="53" fillId="27" borderId="0" xfId="394" applyNumberFormat="1" applyFont="1" applyFill="1" applyBorder="1" applyAlignment="1">
      <alignment horizontal="left" vertical="top" wrapText="1"/>
    </xf>
    <xf numFmtId="174" fontId="82" fillId="0" borderId="15" xfId="0" applyFont="1" applyFill="1" applyBorder="1" applyAlignment="1">
      <alignment horizontal="center" vertical="center" wrapText="1"/>
    </xf>
    <xf numFmtId="174" fontId="82" fillId="0" borderId="23" xfId="0" applyFont="1" applyFill="1" applyBorder="1" applyAlignment="1">
      <alignment horizontal="center" vertical="center" wrapText="1"/>
    </xf>
    <xf numFmtId="174" fontId="61" fillId="0" borderId="12" xfId="0" applyNumberFormat="1" applyFont="1" applyBorder="1" applyAlignment="1">
      <alignment horizontal="left" vertical="center"/>
    </xf>
    <xf numFmtId="174" fontId="86" fillId="27" borderId="0" xfId="0" applyFont="1" applyFill="1" applyBorder="1" applyAlignment="1">
      <alignment horizontal="center" vertical="center" wrapText="1"/>
    </xf>
    <xf numFmtId="174" fontId="67" fillId="0" borderId="0" xfId="0" applyFont="1" applyBorder="1" applyAlignment="1">
      <alignment horizontal="left" vertical="top" wrapText="1"/>
    </xf>
    <xf numFmtId="43" fontId="61" fillId="0" borderId="12" xfId="0" applyNumberFormat="1" applyFont="1" applyFill="1" applyBorder="1" applyAlignment="1">
      <alignment vertical="top" wrapText="1"/>
    </xf>
    <xf numFmtId="174" fontId="93" fillId="27" borderId="0" xfId="0" applyFont="1" applyFill="1" applyBorder="1" applyAlignment="1">
      <alignment horizontal="center" vertical="center" wrapText="1"/>
    </xf>
    <xf numFmtId="17" fontId="69" fillId="0" borderId="21" xfId="394" applyNumberFormat="1" applyFont="1" applyFill="1" applyBorder="1" applyAlignment="1">
      <alignment horizontal="left"/>
    </xf>
    <xf numFmtId="17" fontId="69" fillId="0" borderId="12" xfId="394" applyNumberFormat="1" applyFont="1" applyFill="1" applyBorder="1" applyAlignment="1">
      <alignment horizontal="left"/>
    </xf>
    <xf numFmtId="17" fontId="69" fillId="0" borderId="0" xfId="394" applyNumberFormat="1" applyFont="1" applyFill="1" applyBorder="1" applyAlignment="1">
      <alignment horizontal="left"/>
    </xf>
    <xf numFmtId="174" fontId="60" fillId="27" borderId="0" xfId="0" applyFont="1" applyFill="1" applyBorder="1" applyAlignment="1">
      <alignment horizontal="center" vertical="center" wrapText="1"/>
    </xf>
    <xf numFmtId="174" fontId="53" fillId="27" borderId="0" xfId="0" applyFont="1" applyFill="1" applyBorder="1" applyAlignment="1">
      <alignment horizontal="left" vertical="center" wrapText="1"/>
    </xf>
    <xf numFmtId="174" fontId="89" fillId="27" borderId="0" xfId="0" applyFont="1" applyFill="1" applyBorder="1" applyAlignment="1">
      <alignment horizontal="center" vertical="center" wrapText="1"/>
    </xf>
    <xf numFmtId="174" fontId="0" fillId="0" borderId="12" xfId="0" applyBorder="1" applyAlignment="1">
      <alignment horizontal="left" vertical="top" wrapText="1"/>
    </xf>
    <xf numFmtId="174" fontId="54" fillId="27" borderId="0" xfId="0" applyFont="1" applyFill="1" applyBorder="1" applyAlignment="1">
      <alignment horizontal="center" vertical="top" wrapText="1"/>
    </xf>
    <xf numFmtId="174" fontId="64" fillId="27" borderId="0" xfId="0" applyFont="1" applyFill="1" applyBorder="1" applyAlignment="1">
      <alignment horizontal="left" vertical="center" wrapText="1"/>
    </xf>
    <xf numFmtId="174" fontId="86" fillId="27" borderId="0" xfId="0" applyFont="1" applyFill="1" applyBorder="1" applyAlignment="1">
      <alignment horizontal="center" vertical="top" wrapText="1"/>
    </xf>
    <xf numFmtId="174" fontId="82" fillId="27" borderId="15" xfId="0" applyFont="1" applyFill="1" applyBorder="1" applyAlignment="1">
      <alignment horizontal="center" vertical="center" wrapText="1"/>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174" fontId="83" fillId="0" borderId="0" xfId="0" applyFont="1" applyBorder="1" applyAlignment="1">
      <alignment horizontal="left" vertical="center" wrapText="1"/>
    </xf>
    <xf numFmtId="174" fontId="83" fillId="0" borderId="0" xfId="0" applyFont="1" applyBorder="1" applyAlignment="1">
      <alignment horizontal="left" vertical="center"/>
    </xf>
    <xf numFmtId="0" fontId="86" fillId="27" borderId="0" xfId="626" applyFont="1" applyFill="1" applyBorder="1" applyAlignment="1">
      <alignment horizontal="center" vertical="center" wrapText="1"/>
    </xf>
    <xf numFmtId="0" fontId="100" fillId="0" borderId="12" xfId="626" applyFont="1" applyBorder="1" applyAlignment="1">
      <alignment horizontal="left"/>
    </xf>
    <xf numFmtId="174" fontId="113" fillId="0" borderId="17" xfId="0" applyFont="1" applyFill="1" applyBorder="1" applyAlignment="1">
      <alignment horizontal="center" vertical="center" wrapText="1"/>
    </xf>
    <xf numFmtId="174" fontId="113" fillId="0" borderId="19" xfId="0" applyFont="1" applyFill="1" applyBorder="1" applyAlignment="1">
      <alignment horizontal="center" vertical="center" wrapText="1"/>
    </xf>
    <xf numFmtId="174" fontId="113" fillId="0" borderId="15" xfId="0" applyFont="1" applyFill="1" applyBorder="1" applyAlignment="1">
      <alignment horizontal="center" vertical="center" wrapText="1"/>
    </xf>
    <xf numFmtId="174" fontId="113" fillId="0" borderId="23" xfId="0" applyFont="1" applyFill="1" applyBorder="1" applyAlignment="1">
      <alignment horizontal="center" vertical="center" wrapText="1"/>
    </xf>
    <xf numFmtId="174" fontId="113" fillId="0" borderId="16" xfId="0" applyFont="1" applyFill="1" applyBorder="1" applyAlignment="1">
      <alignment horizontal="center" vertical="center" wrapText="1"/>
    </xf>
    <xf numFmtId="174" fontId="71" fillId="27" borderId="0" xfId="0" applyFont="1" applyFill="1" applyBorder="1" applyAlignment="1">
      <alignment horizontal="center" vertical="top" wrapText="1"/>
    </xf>
    <xf numFmtId="174" fontId="85" fillId="0" borderId="17" xfId="0" applyNumberFormat="1" applyFont="1" applyFill="1" applyBorder="1" applyAlignment="1">
      <alignment horizontal="center" vertical="center"/>
    </xf>
    <xf numFmtId="174" fontId="52" fillId="27" borderId="18" xfId="0" applyNumberFormat="1" applyFont="1" applyFill="1" applyBorder="1" applyAlignment="1">
      <alignment horizontal="center" vertical="center"/>
    </xf>
    <xf numFmtId="174" fontId="52" fillId="27" borderId="11" xfId="0" applyNumberFormat="1" applyFont="1" applyFill="1" applyBorder="1" applyAlignment="1">
      <alignment horizontal="center" vertical="center"/>
    </xf>
    <xf numFmtId="174" fontId="52" fillId="27" borderId="22" xfId="0" applyNumberFormat="1" applyFont="1" applyFill="1" applyBorder="1" applyAlignment="1">
      <alignment horizontal="center" vertical="center"/>
    </xf>
    <xf numFmtId="174" fontId="82" fillId="27" borderId="15" xfId="0" applyNumberFormat="1" applyFont="1" applyFill="1" applyBorder="1" applyAlignment="1">
      <alignment horizontal="center" vertical="center"/>
    </xf>
    <xf numFmtId="174" fontId="82" fillId="27" borderId="23" xfId="0" applyNumberFormat="1" applyFont="1" applyFill="1" applyBorder="1" applyAlignment="1">
      <alignment horizontal="center" vertical="center"/>
    </xf>
    <xf numFmtId="174" fontId="82" fillId="27" borderId="16" xfId="0" applyNumberFormat="1" applyFont="1" applyFill="1" applyBorder="1" applyAlignment="1">
      <alignment horizontal="center" vertical="center"/>
    </xf>
    <xf numFmtId="174" fontId="83" fillId="0" borderId="0" xfId="0" applyNumberFormat="1" applyFont="1" applyBorder="1" applyAlignment="1">
      <alignment horizontal="left" vertical="center" wrapText="1"/>
    </xf>
    <xf numFmtId="174" fontId="52" fillId="27" borderId="15"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xf>
    <xf numFmtId="174" fontId="52" fillId="27" borderId="16" xfId="0" applyNumberFormat="1" applyFont="1" applyFill="1" applyBorder="1" applyAlignment="1">
      <alignment horizontal="center" vertical="center"/>
    </xf>
    <xf numFmtId="17" fontId="82" fillId="0" borderId="12" xfId="336" applyNumberFormat="1" applyFont="1" applyFill="1" applyBorder="1" applyAlignment="1">
      <alignment horizontal="left" vertical="center"/>
    </xf>
    <xf numFmtId="174" fontId="159" fillId="0" borderId="0" xfId="0" applyFont="1" applyAlignment="1">
      <alignment horizontal="left" wrapText="1"/>
    </xf>
    <xf numFmtId="43" fontId="54" fillId="27" borderId="0" xfId="0" applyNumberFormat="1" applyFont="1" applyFill="1" applyBorder="1" applyAlignment="1">
      <alignment horizontal="center" vertical="center" wrapText="1"/>
    </xf>
    <xf numFmtId="43" fontId="68" fillId="26" borderId="17" xfId="0" applyNumberFormat="1" applyFont="1" applyFill="1" applyBorder="1" applyAlignment="1">
      <alignment horizontal="center" vertical="center" wrapText="1"/>
    </xf>
    <xf numFmtId="43" fontId="68" fillId="26" borderId="14" xfId="0" applyNumberFormat="1" applyFont="1" applyFill="1" applyBorder="1" applyAlignment="1">
      <alignment horizontal="center" vertical="center" wrapText="1"/>
    </xf>
    <xf numFmtId="43" fontId="51" fillId="26" borderId="15" xfId="0" applyNumberFormat="1" applyFont="1" applyFill="1" applyBorder="1" applyAlignment="1">
      <alignment horizontal="center" vertical="center" wrapText="1"/>
    </xf>
    <xf numFmtId="43" fontId="51" fillId="26" borderId="23" xfId="0" applyNumberFormat="1" applyFont="1" applyFill="1" applyBorder="1" applyAlignment="1">
      <alignment horizontal="center" vertical="center" wrapText="1"/>
    </xf>
    <xf numFmtId="174" fontId="54" fillId="27" borderId="0" xfId="0" applyFont="1" applyFill="1" applyBorder="1" applyAlignment="1">
      <alignment horizontal="center" vertical="center" wrapText="1"/>
    </xf>
    <xf numFmtId="174" fontId="64" fillId="0" borderId="0" xfId="0" applyNumberFormat="1" applyFont="1" applyFill="1" applyBorder="1" applyAlignment="1">
      <alignment horizontal="left" vertical="top" wrapText="1"/>
    </xf>
    <xf numFmtId="174" fontId="82" fillId="27" borderId="17" xfId="0" applyNumberFormat="1" applyFont="1" applyFill="1" applyBorder="1" applyAlignment="1" applyProtection="1">
      <alignment horizontal="center" vertical="center"/>
    </xf>
    <xf numFmtId="174" fontId="82" fillId="27" borderId="14" xfId="0" applyNumberFormat="1" applyFont="1" applyFill="1" applyBorder="1" applyAlignment="1" applyProtection="1">
      <alignment horizontal="center" vertical="center"/>
    </xf>
    <xf numFmtId="17" fontId="82" fillId="27" borderId="21" xfId="0" applyNumberFormat="1" applyFont="1" applyFill="1" applyBorder="1" applyAlignment="1" applyProtection="1">
      <alignment horizontal="left" vertical="center" wrapText="1"/>
    </xf>
    <xf numFmtId="17" fontId="82" fillId="27" borderId="12" xfId="0" applyNumberFormat="1" applyFont="1" applyFill="1" applyBorder="1" applyAlignment="1" applyProtection="1">
      <alignment horizontal="left" vertical="center" wrapText="1"/>
    </xf>
    <xf numFmtId="174" fontId="82" fillId="27" borderId="0" xfId="0" applyFont="1" applyFill="1" applyBorder="1" applyAlignment="1">
      <alignment horizontal="left" vertical="center" wrapText="1"/>
    </xf>
    <xf numFmtId="0" fontId="69" fillId="27" borderId="0" xfId="323" applyNumberFormat="1" applyFont="1" applyFill="1" applyBorder="1" applyAlignment="1">
      <alignment horizontal="left" vertical="center"/>
    </xf>
    <xf numFmtId="174" fontId="98" fillId="0" borderId="0" xfId="0" applyFont="1" applyFill="1" applyBorder="1" applyAlignment="1">
      <alignment horizontal="left" vertical="center" wrapText="1"/>
    </xf>
    <xf numFmtId="174" fontId="69" fillId="27" borderId="17" xfId="388" applyNumberFormat="1" applyFont="1" applyFill="1" applyBorder="1" applyAlignment="1">
      <alignment horizontal="center" vertical="center"/>
    </xf>
    <xf numFmtId="174" fontId="69" fillId="27" borderId="14" xfId="388" applyNumberFormat="1" applyFont="1" applyFill="1" applyBorder="1" applyAlignment="1">
      <alignment horizontal="center" vertical="center"/>
    </xf>
    <xf numFmtId="174" fontId="69" fillId="27" borderId="12" xfId="388" applyFont="1" applyFill="1" applyBorder="1" applyAlignment="1">
      <alignment horizontal="center" vertical="center"/>
    </xf>
    <xf numFmtId="174" fontId="69" fillId="27" borderId="15" xfId="388" applyFont="1" applyFill="1" applyBorder="1" applyAlignment="1">
      <alignment horizontal="center" vertical="center"/>
    </xf>
    <xf numFmtId="174" fontId="69" fillId="27" borderId="23" xfId="388" applyFont="1" applyFill="1" applyBorder="1" applyAlignment="1">
      <alignment horizontal="center" vertical="center"/>
    </xf>
    <xf numFmtId="174" fontId="69" fillId="27" borderId="16" xfId="388" applyFont="1" applyFill="1" applyBorder="1" applyAlignment="1">
      <alignment horizontal="center" vertical="center"/>
    </xf>
    <xf numFmtId="0" fontId="86" fillId="27" borderId="0" xfId="742" applyFont="1" applyFill="1" applyBorder="1" applyAlignment="1">
      <alignment horizontal="center" vertical="center" wrapText="1"/>
    </xf>
    <xf numFmtId="0" fontId="60" fillId="27" borderId="0" xfId="743" applyFont="1" applyFill="1" applyBorder="1" applyAlignment="1">
      <alignment horizontal="center" vertical="center" wrapText="1"/>
    </xf>
    <xf numFmtId="0" fontId="60" fillId="27" borderId="0" xfId="743" applyFont="1" applyFill="1" applyBorder="1" applyAlignment="1">
      <alignment horizontal="center" vertical="center"/>
    </xf>
    <xf numFmtId="10" fontId="161" fillId="0" borderId="0" xfId="743" applyNumberFormat="1" applyFont="1" applyAlignment="1">
      <alignment horizontal="center"/>
    </xf>
    <xf numFmtId="10" fontId="160" fillId="31" borderId="0" xfId="743" applyNumberFormat="1" applyFont="1" applyFill="1" applyAlignment="1">
      <alignment horizontal="center"/>
    </xf>
    <xf numFmtId="0" fontId="89" fillId="0" borderId="0" xfId="744" applyFont="1" applyFill="1" applyBorder="1" applyAlignment="1">
      <alignment horizontal="center" vertical="center" wrapText="1"/>
    </xf>
    <xf numFmtId="174" fontId="61" fillId="0" borderId="12" xfId="0" applyNumberFormat="1" applyFont="1" applyBorder="1" applyAlignment="1">
      <alignment horizontal="left" wrapText="1"/>
    </xf>
    <xf numFmtId="174" fontId="86" fillId="0" borderId="0" xfId="0" applyFont="1" applyFill="1" applyBorder="1" applyAlignment="1">
      <alignment horizontal="center" vertical="center" wrapText="1"/>
    </xf>
    <xf numFmtId="174" fontId="0" fillId="0" borderId="12" xfId="388" applyFont="1" applyBorder="1" applyAlignment="1">
      <alignment horizontal="left" vertical="center" wrapText="1"/>
    </xf>
    <xf numFmtId="174" fontId="89" fillId="0" borderId="0" xfId="0" applyFont="1" applyFill="1" applyBorder="1" applyAlignment="1">
      <alignment horizontal="center" vertical="center" wrapText="1"/>
    </xf>
    <xf numFmtId="174" fontId="60" fillId="0" borderId="0" xfId="0" applyFont="1" applyFill="1" applyBorder="1" applyAlignment="1">
      <alignment horizontal="center" vertical="center" wrapText="1"/>
    </xf>
    <xf numFmtId="174" fontId="64" fillId="0" borderId="0" xfId="0" applyNumberFormat="1" applyFont="1" applyFill="1" applyBorder="1" applyAlignment="1">
      <alignment horizontal="left" vertical="center" wrapText="1"/>
    </xf>
    <xf numFmtId="174" fontId="60" fillId="0" borderId="0" xfId="442" applyFont="1" applyFill="1" applyBorder="1" applyAlignment="1">
      <alignment horizontal="center" vertical="center" wrapText="1"/>
    </xf>
    <xf numFmtId="174" fontId="54" fillId="0" borderId="0" xfId="442" applyFont="1" applyFill="1" applyBorder="1" applyAlignment="1">
      <alignment horizontal="center" vertical="center" wrapText="1"/>
    </xf>
    <xf numFmtId="174" fontId="83" fillId="27" borderId="0" xfId="0" applyFont="1" applyFill="1" applyBorder="1" applyAlignment="1">
      <alignment horizontal="left" vertical="center" wrapText="1"/>
    </xf>
    <xf numFmtId="0" fontId="86" fillId="27" borderId="0" xfId="579" applyFont="1" applyFill="1" applyBorder="1" applyAlignment="1">
      <alignment horizontal="center" vertical="center" wrapText="1"/>
    </xf>
    <xf numFmtId="0" fontId="86" fillId="27" borderId="0" xfId="579" applyFont="1" applyFill="1" applyBorder="1" applyAlignment="1">
      <alignment horizontal="center" vertical="center"/>
    </xf>
    <xf numFmtId="0" fontId="65" fillId="0" borderId="0" xfId="579" applyFont="1" applyBorder="1" applyAlignment="1">
      <alignment horizontal="center" vertical="center"/>
    </xf>
    <xf numFmtId="0" fontId="0" fillId="0" borderId="0" xfId="579" applyFont="1" applyBorder="1" applyAlignment="1">
      <alignment horizontal="left"/>
    </xf>
    <xf numFmtId="174" fontId="86" fillId="0" borderId="0" xfId="446" applyFont="1" applyFill="1" applyBorder="1" applyAlignment="1">
      <alignment horizontal="center" vertical="center" wrapText="1"/>
    </xf>
    <xf numFmtId="174" fontId="53" fillId="0" borderId="0" xfId="0" applyFont="1" applyBorder="1" applyAlignment="1">
      <alignment horizontal="left" vertical="center" wrapText="1" readingOrder="1"/>
    </xf>
    <xf numFmtId="174" fontId="80" fillId="0" borderId="0" xfId="448" applyFont="1" applyBorder="1" applyAlignment="1">
      <alignment horizontal="left" vertical="center" wrapText="1"/>
    </xf>
    <xf numFmtId="174" fontId="80" fillId="0" borderId="0" xfId="448" applyFont="1" applyBorder="1" applyAlignment="1">
      <alignment horizontal="left" vertical="center"/>
    </xf>
    <xf numFmtId="0" fontId="89" fillId="27" borderId="0" xfId="579" applyFont="1" applyFill="1" applyBorder="1" applyAlignment="1">
      <alignment horizontal="center" vertical="center" wrapText="1"/>
    </xf>
    <xf numFmtId="0" fontId="89" fillId="27" borderId="0" xfId="579" applyFont="1" applyFill="1" applyBorder="1" applyAlignment="1">
      <alignment horizontal="center" vertical="center"/>
    </xf>
    <xf numFmtId="174" fontId="82" fillId="27" borderId="15" xfId="450" applyFont="1" applyFill="1" applyBorder="1" applyAlignment="1">
      <alignment horizontal="center" vertical="center" wrapText="1"/>
    </xf>
    <xf numFmtId="174" fontId="82" fillId="27" borderId="23" xfId="450" applyFont="1" applyFill="1" applyBorder="1" applyAlignment="1">
      <alignment horizontal="center" vertical="center" wrapText="1"/>
    </xf>
    <xf numFmtId="174" fontId="82" fillId="27" borderId="16" xfId="450" applyFont="1" applyFill="1" applyBorder="1" applyAlignment="1">
      <alignment horizontal="center" vertical="center" wrapText="1"/>
    </xf>
    <xf numFmtId="174" fontId="83" fillId="27" borderId="0" xfId="450" applyFont="1" applyFill="1" applyBorder="1" applyAlignment="1">
      <alignment horizontal="left" vertical="top" wrapText="1"/>
    </xf>
    <xf numFmtId="174" fontId="54" fillId="27" borderId="0" xfId="636" applyFont="1" applyFill="1" applyBorder="1" applyAlignment="1">
      <alignment horizontal="center" vertical="center" wrapText="1"/>
    </xf>
    <xf numFmtId="174" fontId="61" fillId="0" borderId="0" xfId="633" applyFont="1" applyBorder="1" applyAlignment="1">
      <alignment horizontal="left" vertical="top" wrapText="1"/>
    </xf>
    <xf numFmtId="174" fontId="82" fillId="0" borderId="15" xfId="633" applyFont="1" applyFill="1" applyBorder="1" applyAlignment="1">
      <alignment horizontal="center" vertical="center" wrapText="1"/>
    </xf>
    <xf numFmtId="174" fontId="82" fillId="0" borderId="23" xfId="633" applyFont="1" applyFill="1" applyBorder="1" applyAlignment="1">
      <alignment horizontal="center" vertical="center" wrapText="1"/>
    </xf>
    <xf numFmtId="174" fontId="82" fillId="0" borderId="16" xfId="633" applyFont="1" applyFill="1" applyBorder="1" applyAlignment="1">
      <alignment horizontal="center" vertical="center" wrapText="1"/>
    </xf>
    <xf numFmtId="174" fontId="127" fillId="27" borderId="0" xfId="0" applyFont="1" applyFill="1" applyBorder="1" applyAlignment="1">
      <alignment horizontal="center" vertical="center" wrapText="1"/>
    </xf>
    <xf numFmtId="174" fontId="53" fillId="0" borderId="0" xfId="0" applyNumberFormat="1" applyFont="1" applyBorder="1" applyAlignment="1">
      <alignment horizontal="left" vertical="center" wrapText="1"/>
    </xf>
    <xf numFmtId="43" fontId="69" fillId="0" borderId="15" xfId="0" applyNumberFormat="1" applyFont="1" applyFill="1" applyBorder="1" applyAlignment="1">
      <alignment horizontal="center" vertical="center" wrapText="1"/>
    </xf>
    <xf numFmtId="43" fontId="69" fillId="0" borderId="23" xfId="0" applyNumberFormat="1" applyFont="1" applyFill="1" applyBorder="1" applyAlignment="1">
      <alignment horizontal="center" vertical="center" wrapText="1"/>
    </xf>
    <xf numFmtId="43" fontId="69" fillId="0" borderId="16" xfId="0" applyNumberFormat="1" applyFont="1" applyFill="1" applyBorder="1" applyAlignment="1">
      <alignment horizontal="center" vertical="center" wrapText="1"/>
    </xf>
    <xf numFmtId="43" fontId="89" fillId="27" borderId="0" xfId="323" applyNumberFormat="1" applyFont="1" applyFill="1" applyBorder="1" applyAlignment="1">
      <alignment horizontal="center" vertical="center" wrapText="1"/>
    </xf>
    <xf numFmtId="43" fontId="82" fillId="27" borderId="21" xfId="0" applyNumberFormat="1" applyFont="1" applyFill="1" applyBorder="1" applyAlignment="1">
      <alignment horizontal="center" vertical="center"/>
    </xf>
    <xf numFmtId="43" fontId="82" fillId="27" borderId="12" xfId="0" applyNumberFormat="1" applyFont="1" applyFill="1" applyBorder="1" applyAlignment="1">
      <alignment horizontal="center" vertical="center"/>
    </xf>
    <xf numFmtId="43" fontId="82" fillId="27" borderId="25" xfId="0" applyNumberFormat="1" applyFont="1" applyFill="1" applyBorder="1" applyAlignment="1">
      <alignment horizontal="center" vertical="center"/>
    </xf>
    <xf numFmtId="182" fontId="116" fillId="27" borderId="0" xfId="1094" applyFont="1" applyFill="1" applyBorder="1" applyAlignment="1">
      <alignment horizontal="center" vertical="center" wrapText="1"/>
    </xf>
    <xf numFmtId="182" fontId="61" fillId="0" borderId="0" xfId="1094" applyFont="1" applyFill="1" applyBorder="1" applyAlignment="1">
      <alignment horizontal="left" vertical="top" wrapText="1"/>
    </xf>
    <xf numFmtId="174" fontId="98" fillId="0" borderId="0" xfId="0" applyFont="1" applyAlignment="1">
      <alignment horizontal="left" vertical="top" wrapText="1"/>
    </xf>
    <xf numFmtId="174" fontId="67" fillId="0" borderId="0" xfId="0" applyFont="1" applyAlignment="1">
      <alignment horizontal="left" vertical="top" wrapText="1"/>
    </xf>
    <xf numFmtId="0" fontId="86" fillId="27" borderId="0" xfId="0" applyNumberFormat="1" applyFont="1" applyFill="1" applyBorder="1" applyAlignment="1">
      <alignment horizontal="center" vertical="center" wrapText="1"/>
    </xf>
    <xf numFmtId="0" fontId="86" fillId="27" borderId="0" xfId="0" applyNumberFormat="1" applyFont="1" applyFill="1" applyBorder="1" applyAlignment="1">
      <alignment horizontal="center" vertical="center"/>
    </xf>
    <xf numFmtId="174" fontId="67" fillId="27" borderId="0" xfId="0" applyFont="1" applyFill="1" applyAlignment="1">
      <alignment horizontal="left" vertical="top" wrapText="1"/>
    </xf>
    <xf numFmtId="174" fontId="0" fillId="27" borderId="0" xfId="0" applyFont="1" applyFill="1" applyAlignment="1">
      <alignment horizontal="left" vertical="top"/>
    </xf>
    <xf numFmtId="174" fontId="82" fillId="27" borderId="21" xfId="0" applyNumberFormat="1" applyFont="1" applyFill="1" applyBorder="1" applyAlignment="1">
      <alignment horizontal="center" vertical="center"/>
    </xf>
    <xf numFmtId="174" fontId="82" fillId="27" borderId="12" xfId="0" applyNumberFormat="1" applyFont="1" applyFill="1" applyBorder="1" applyAlignment="1">
      <alignment horizontal="center" vertical="center"/>
    </xf>
    <xf numFmtId="174" fontId="82" fillId="27" borderId="25" xfId="0" applyNumberFormat="1" applyFont="1" applyFill="1" applyBorder="1" applyAlignment="1">
      <alignment horizontal="center" vertical="center"/>
    </xf>
    <xf numFmtId="174" fontId="29" fillId="0" borderId="0" xfId="0" applyFont="1" applyBorder="1" applyAlignment="1">
      <alignment horizontal="center"/>
    </xf>
    <xf numFmtId="174" fontId="107" fillId="0" borderId="0" xfId="0" applyFont="1" applyBorder="1" applyAlignment="1">
      <alignment horizontal="center" vertical="center"/>
    </xf>
    <xf numFmtId="174" fontId="112" fillId="27" borderId="0" xfId="0" applyFont="1" applyFill="1" applyBorder="1" applyAlignment="1">
      <alignment horizontal="center" vertical="center" wrapText="1"/>
    </xf>
    <xf numFmtId="174" fontId="69" fillId="0" borderId="0" xfId="0" applyFont="1" applyFill="1" applyBorder="1" applyAlignment="1">
      <alignment horizontal="center" vertical="center" wrapText="1"/>
    </xf>
    <xf numFmtId="174" fontId="69" fillId="0" borderId="24" xfId="0" applyFont="1" applyFill="1" applyBorder="1" applyAlignment="1">
      <alignment horizontal="center" vertical="center" wrapText="1"/>
    </xf>
    <xf numFmtId="49" fontId="86" fillId="27" borderId="0" xfId="0" applyNumberFormat="1" applyFont="1" applyFill="1" applyBorder="1" applyAlignment="1">
      <alignment horizontal="center" vertical="center" wrapText="1"/>
    </xf>
    <xf numFmtId="49" fontId="89" fillId="27" borderId="0" xfId="0" applyNumberFormat="1" applyFont="1" applyFill="1" applyBorder="1" applyAlignment="1">
      <alignment horizontal="center" vertical="center" wrapText="1"/>
    </xf>
    <xf numFmtId="49" fontId="68" fillId="27" borderId="21" xfId="0" applyNumberFormat="1" applyFont="1" applyFill="1" applyBorder="1" applyAlignment="1">
      <alignment horizontal="left"/>
    </xf>
    <xf numFmtId="49" fontId="68" fillId="27" borderId="12" xfId="0" applyNumberFormat="1" applyFont="1" applyFill="1" applyBorder="1" applyAlignment="1">
      <alignment horizontal="left"/>
    </xf>
    <xf numFmtId="174" fontId="56" fillId="0" borderId="20" xfId="0" applyFont="1" applyFill="1" applyBorder="1" applyAlignment="1">
      <alignment horizontal="center" vertical="center" wrapText="1"/>
    </xf>
    <xf numFmtId="174" fontId="56" fillId="0" borderId="0" xfId="0" applyFont="1" applyFill="1" applyBorder="1" applyAlignment="1">
      <alignment horizontal="center" vertical="center" wrapText="1"/>
    </xf>
    <xf numFmtId="174" fontId="56" fillId="0" borderId="24" xfId="0" applyFont="1" applyFill="1" applyBorder="1" applyAlignment="1">
      <alignment horizontal="center" vertical="center" wrapText="1"/>
    </xf>
    <xf numFmtId="49" fontId="60" fillId="27" borderId="0" xfId="0" applyNumberFormat="1" applyFont="1" applyFill="1" applyBorder="1" applyAlignment="1">
      <alignment horizontal="center" vertical="center" wrapText="1"/>
    </xf>
    <xf numFmtId="174" fontId="0" fillId="0" borderId="12" xfId="0" applyFont="1" applyBorder="1" applyAlignment="1">
      <alignment horizontal="left" vertical="center" wrapText="1"/>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49" fontId="68" fillId="0" borderId="0" xfId="0" applyNumberFormat="1" applyFont="1" applyFill="1" applyBorder="1" applyAlignment="1">
      <alignment horizontal="center" vertical="center" wrapText="1"/>
    </xf>
    <xf numFmtId="49" fontId="79" fillId="27" borderId="0" xfId="0" applyNumberFormat="1" applyFont="1" applyFill="1" applyBorder="1" applyAlignment="1">
      <alignment horizontal="center" vertical="center" wrapText="1"/>
    </xf>
    <xf numFmtId="0" fontId="86" fillId="27" borderId="0" xfId="437" applyFont="1" applyFill="1" applyBorder="1" applyAlignment="1">
      <alignment horizontal="center" vertical="center" wrapText="1"/>
    </xf>
    <xf numFmtId="0" fontId="51" fillId="0" borderId="0" xfId="919" applyFont="1" applyAlignment="1">
      <alignment horizontal="center"/>
    </xf>
    <xf numFmtId="0" fontId="87" fillId="27" borderId="0" xfId="437" applyFont="1" applyFill="1" applyBorder="1" applyAlignment="1">
      <alignment horizontal="center" vertical="center" wrapText="1"/>
    </xf>
    <xf numFmtId="0" fontId="85" fillId="27" borderId="15" xfId="437" applyFont="1" applyFill="1" applyBorder="1" applyAlignment="1">
      <alignment horizontal="center" vertical="center" wrapText="1"/>
    </xf>
    <xf numFmtId="0" fontId="85" fillId="27" borderId="23" xfId="437" applyFont="1" applyFill="1" applyBorder="1" applyAlignment="1">
      <alignment horizontal="center" vertical="center" wrapText="1"/>
    </xf>
    <xf numFmtId="0" fontId="85" fillId="27" borderId="16" xfId="437" applyFont="1" applyFill="1" applyBorder="1" applyAlignment="1">
      <alignment horizontal="center" vertical="center" wrapText="1"/>
    </xf>
    <xf numFmtId="0" fontId="86" fillId="27" borderId="15" xfId="437" applyFont="1" applyFill="1" applyBorder="1" applyAlignment="1">
      <alignment horizontal="center" vertical="center" wrapText="1"/>
    </xf>
    <xf numFmtId="0" fontId="86" fillId="27" borderId="23" xfId="437" applyFont="1" applyFill="1" applyBorder="1" applyAlignment="1">
      <alignment horizontal="center" vertical="center" wrapText="1"/>
    </xf>
    <xf numFmtId="0" fontId="86" fillId="27" borderId="16" xfId="437" applyFont="1" applyFill="1" applyBorder="1" applyAlignment="1">
      <alignment horizontal="center" vertical="center" wrapText="1"/>
    </xf>
    <xf numFmtId="0" fontId="62" fillId="27" borderId="15" xfId="793" applyFont="1" applyFill="1" applyBorder="1" applyAlignment="1">
      <alignment horizontal="center" vertical="center" wrapText="1"/>
    </xf>
    <xf numFmtId="0" fontId="62" fillId="27" borderId="16" xfId="793" applyFont="1" applyFill="1" applyBorder="1" applyAlignment="1">
      <alignment horizontal="center" vertical="center" wrapText="1"/>
    </xf>
    <xf numFmtId="0" fontId="0" fillId="0" borderId="12" xfId="919" applyFont="1" applyBorder="1" applyAlignment="1">
      <alignment horizontal="left" vertical="center"/>
    </xf>
    <xf numFmtId="0" fontId="63" fillId="0" borderId="12" xfId="919" applyFont="1" applyBorder="1" applyAlignment="1">
      <alignment horizontal="left" vertical="top" wrapText="1"/>
    </xf>
    <xf numFmtId="0" fontId="63" fillId="0" borderId="0" xfId="919" applyFont="1" applyBorder="1" applyAlignment="1">
      <alignment horizontal="left" vertical="top" wrapText="1"/>
    </xf>
    <xf numFmtId="174" fontId="60" fillId="27" borderId="0" xfId="0" applyNumberFormat="1" applyFont="1" applyFill="1" applyBorder="1" applyAlignment="1">
      <alignment horizontal="center" vertical="center" wrapText="1"/>
    </xf>
    <xf numFmtId="174" fontId="32" fillId="0" borderId="0" xfId="0" applyFont="1" applyFill="1" applyBorder="1" applyAlignment="1">
      <alignment horizontal="left" vertical="center" wrapText="1"/>
    </xf>
    <xf numFmtId="174" fontId="86" fillId="27" borderId="0" xfId="0" applyNumberFormat="1" applyFont="1" applyFill="1" applyBorder="1" applyAlignment="1">
      <alignment horizontal="center" vertical="center" wrapText="1"/>
    </xf>
    <xf numFmtId="174" fontId="54" fillId="27" borderId="0" xfId="0" applyNumberFormat="1" applyFont="1" applyFill="1" applyBorder="1" applyAlignment="1">
      <alignment horizontal="center" vertical="center" wrapText="1"/>
    </xf>
    <xf numFmtId="174" fontId="32" fillId="27" borderId="0" xfId="388" applyFont="1" applyFill="1" applyBorder="1" applyAlignment="1">
      <alignment horizontal="left" vertical="center" wrapText="1"/>
    </xf>
    <xf numFmtId="174" fontId="87" fillId="27" borderId="0" xfId="0" applyFont="1" applyFill="1" applyBorder="1" applyAlignment="1">
      <alignment horizontal="center" vertical="top" wrapText="1"/>
    </xf>
    <xf numFmtId="174" fontId="8" fillId="0" borderId="0" xfId="0" applyFont="1" applyBorder="1" applyAlignment="1">
      <alignment horizontal="left" vertical="top" wrapText="1"/>
    </xf>
    <xf numFmtId="174" fontId="68" fillId="0" borderId="0" xfId="0" applyFont="1" applyBorder="1" applyAlignment="1">
      <alignment horizontal="left" vertical="top" wrapText="1"/>
    </xf>
    <xf numFmtId="174" fontId="68" fillId="0" borderId="0" xfId="0" applyFont="1" applyAlignment="1">
      <alignment horizontal="left" vertical="top" wrapText="1"/>
    </xf>
    <xf numFmtId="174" fontId="0" fillId="0" borderId="0" xfId="0" applyAlignment="1">
      <alignment horizontal="center"/>
    </xf>
    <xf numFmtId="174" fontId="102"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68" fillId="0" borderId="0" xfId="0" applyFont="1" applyAlignment="1">
      <alignment horizontal="left" vertical="center" wrapText="1"/>
    </xf>
    <xf numFmtId="174" fontId="103" fillId="0" borderId="0" xfId="0" applyFont="1" applyAlignment="1">
      <alignment horizontal="center" wrapText="1"/>
    </xf>
    <xf numFmtId="174" fontId="8" fillId="0" borderId="0" xfId="0" applyFont="1" applyBorder="1" applyAlignment="1">
      <alignment horizontal="left" vertical="center" wrapText="1"/>
    </xf>
    <xf numFmtId="174" fontId="68" fillId="0" borderId="0" xfId="0" applyFont="1" applyBorder="1" applyAlignment="1">
      <alignment horizontal="left" vertical="center" wrapText="1"/>
    </xf>
    <xf numFmtId="174" fontId="0" fillId="0" borderId="0" xfId="0" applyFill="1" applyAlignment="1">
      <alignment horizontal="center" vertical="center"/>
    </xf>
    <xf numFmtId="174" fontId="62" fillId="0" borderId="13" xfId="0" applyNumberFormat="1" applyFont="1" applyFill="1" applyBorder="1" applyAlignment="1">
      <alignment horizontal="center" vertical="center"/>
    </xf>
    <xf numFmtId="167" fontId="62" fillId="0" borderId="0" xfId="0" applyNumberFormat="1" applyFont="1" applyFill="1" applyBorder="1" applyAlignment="1">
      <alignment horizontal="center" vertical="center"/>
    </xf>
    <xf numFmtId="10" fontId="64" fillId="0" borderId="12" xfId="633" applyNumberFormat="1" applyFont="1" applyFill="1" applyBorder="1" applyAlignment="1">
      <alignment horizontal="center"/>
    </xf>
    <xf numFmtId="10" fontId="64" fillId="0" borderId="0" xfId="633" applyNumberFormat="1" applyFont="1" applyFill="1" applyBorder="1" applyAlignment="1">
      <alignment horizontal="center"/>
    </xf>
    <xf numFmtId="10" fontId="64" fillId="0" borderId="11" xfId="633" applyNumberFormat="1" applyFont="1" applyFill="1" applyBorder="1" applyAlignment="1">
      <alignment horizontal="center"/>
    </xf>
  </cellXfs>
  <cellStyles count="1128">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yperlink" xfId="671"/>
    <cellStyle name="Hyperlink 2" xfId="672"/>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21" xfId="1126"/>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3" xfId="360"/>
    <cellStyle name="Normal 13 2" xfId="361"/>
    <cellStyle name="Normal 13 2 2" xfId="362"/>
    <cellStyle name="Normal 13 2 2 2" xfId="770"/>
    <cellStyle name="Normal 13 2 3" xfId="771"/>
    <cellStyle name="Normal 13 2 4" xfId="772"/>
    <cellStyle name="Normal 13 3" xfId="363"/>
    <cellStyle name="Normal 13 3 2" xfId="773"/>
    <cellStyle name="Normal 13 4" xfId="774"/>
    <cellStyle name="Normal 13 5" xfId="775"/>
    <cellStyle name="Normal 13 6" xfId="776"/>
    <cellStyle name="Normal 13 7" xfId="777"/>
    <cellStyle name="Normal 13 8" xfId="778"/>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2" xfId="559"/>
    <cellStyle name="Salida 2 2" xfId="560"/>
    <cellStyle name="Texto de advertencia 2" xfId="561"/>
    <cellStyle name="Texto de advertencia 2 2" xfId="562"/>
    <cellStyle name="Texto explicativo 2" xfId="563"/>
    <cellStyle name="Texto explicativo 2 2" xfId="564"/>
    <cellStyle name="Title" xfId="565"/>
    <cellStyle name="Title 2" xfId="566"/>
    <cellStyle name="Título 1 2" xfId="567"/>
    <cellStyle name="Título 1 2 2" xfId="568"/>
    <cellStyle name="Título 2 2" xfId="569"/>
    <cellStyle name="Título 2 2 2" xfId="570"/>
    <cellStyle name="Título 3 2" xfId="571"/>
    <cellStyle name="Título 3 2 2" xfId="572"/>
    <cellStyle name="Título 4" xfId="573"/>
    <cellStyle name="Título 4 2" xfId="574"/>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A79E23"/>
      <color rgb="FFFF3399"/>
      <color rgb="FF2AB2E2"/>
      <color rgb="FF9E2C96"/>
      <color rgb="FFB81271"/>
      <color rgb="FF249AA6"/>
      <color rgb="FFFF6600"/>
      <color rgb="FF66FF33"/>
      <color rgb="FF19F3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customXml" Target="../customXml/item6.xml"/><Relationship Id="rId170" Type="http://schemas.openxmlformats.org/officeDocument/2006/relationships/customXml" Target="../customXml/item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1.xml"/><Relationship Id="rId165" Type="http://schemas.openxmlformats.org/officeDocument/2006/relationships/connections" Target="connections.xml"/><Relationship Id="rId181" Type="http://schemas.openxmlformats.org/officeDocument/2006/relationships/customXml" Target="../customXml/item12.xml"/><Relationship Id="rId186" Type="http://schemas.openxmlformats.org/officeDocument/2006/relationships/customXml" Target="../customXml/item1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customXml" Target="../customXml/item2.xml"/><Relationship Id="rId176" Type="http://schemas.openxmlformats.org/officeDocument/2006/relationships/customXml" Target="../customXml/item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2.xml"/><Relationship Id="rId166" Type="http://schemas.openxmlformats.org/officeDocument/2006/relationships/styles" Target="styles.xml"/><Relationship Id="rId182" Type="http://schemas.openxmlformats.org/officeDocument/2006/relationships/customXml" Target="../customXml/item13.xml"/><Relationship Id="rId187"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8.xml"/><Relationship Id="rId172"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xml"/><Relationship Id="rId183" Type="http://schemas.openxmlformats.org/officeDocument/2006/relationships/customXml" Target="../customXml/item1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9.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powerPivotData" Target="model/item.data"/><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4.xml"/><Relationship Id="rId184" Type="http://schemas.openxmlformats.org/officeDocument/2006/relationships/customXml" Target="../customXml/item1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5.xml"/><Relationship Id="rId179" Type="http://schemas.openxmlformats.org/officeDocument/2006/relationships/customXml" Target="../customXml/item1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theme" Target="theme/theme1.xml"/><Relationship Id="rId169" Type="http://schemas.openxmlformats.org/officeDocument/2006/relationships/calcChain" Target="calcChain.xml"/><Relationship Id="rId185"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212.xml"/><Relationship Id="rId2" Type="http://schemas.microsoft.com/office/2011/relationships/chartColorStyle" Target="colors9.xml"/><Relationship Id="rId1" Type="http://schemas.microsoft.com/office/2011/relationships/chartStyle" Target="style9.xml"/></Relationships>
</file>

<file path=xl/charts/_rels/chart10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7.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111.xml"/><Relationship Id="rId1" Type="http://schemas.openxmlformats.org/officeDocument/2006/relationships/image" Target="../media/image15.png"/></Relationships>
</file>

<file path=xl/charts/_rels/chart5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3.xml"/><Relationship Id="rId1" Type="http://schemas.microsoft.com/office/2011/relationships/chartStyle" Target="style3.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4.xml"/><Relationship Id="rId1" Type="http://schemas.microsoft.com/office/2011/relationships/chartStyle" Target="style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74.xml"/><Relationship Id="rId2" Type="http://schemas.microsoft.com/office/2011/relationships/chartColorStyle" Target="colors8.xml"/><Relationship Id="rId1" Type="http://schemas.microsoft.com/office/2011/relationships/chartStyle" Target="style8.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Empresas y Empleados Afiliados Activos al SDSS por Sector</a:t>
            </a:r>
          </a:p>
        </c:rich>
      </c:tx>
      <c:layout>
        <c:manualLayout>
          <c:xMode val="edge"/>
          <c:yMode val="edge"/>
          <c:x val="0.29675508932840056"/>
          <c:y val="2.3697218972868948E-2"/>
        </c:manualLayout>
      </c:layout>
      <c:overlay val="0"/>
    </c:title>
    <c:autoTitleDeleted val="0"/>
    <c:plotArea>
      <c:layout>
        <c:manualLayout>
          <c:layoutTarget val="inner"/>
          <c:xMode val="edge"/>
          <c:yMode val="edge"/>
          <c:x val="9.4178304022121351E-2"/>
          <c:y val="0.16896120523794747"/>
          <c:w val="0.84344631844874363"/>
          <c:h val="0.70066339317456572"/>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451660698933001E-3"/>
                  <c:y val="0"/>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Abr.16</c:v>
                </c:pt>
              </c:strCache>
            </c:strRef>
          </c:cat>
          <c:val>
            <c:numRef>
              <c:f>'II.3. Empl x sector '!$I$4:$I$12</c:f>
              <c:numCache>
                <c:formatCode>#,##0</c:formatCode>
                <c:ptCount val="9"/>
                <c:pt idx="0">
                  <c:v>1188229</c:v>
                </c:pt>
                <c:pt idx="1">
                  <c:v>1227725</c:v>
                </c:pt>
                <c:pt idx="2">
                  <c:v>1299087</c:v>
                </c:pt>
                <c:pt idx="3">
                  <c:v>1363921</c:v>
                </c:pt>
                <c:pt idx="4">
                  <c:v>1427902</c:v>
                </c:pt>
                <c:pt idx="5">
                  <c:v>1526658</c:v>
                </c:pt>
                <c:pt idx="6">
                  <c:v>1651202</c:v>
                </c:pt>
                <c:pt idx="7">
                  <c:v>1759458</c:v>
                </c:pt>
                <c:pt idx="8">
                  <c:v>1836699</c:v>
                </c:pt>
              </c:numCache>
            </c:numRef>
          </c:val>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2620079371443691E-3"/>
                  <c:y val="3.071830658973775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244517265715455E-2"/>
                  <c:y val="2.11252968782067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24453713385823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0378094488186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217366341207396E-2"/>
                  <c:y val="4.22491448706528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21736634120732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258122530183695E-2"/>
                  <c:y val="2.11245724353256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66910554999458E-2"/>
                  <c:y val="-4.0918463142599735E-5"/>
                </c:manualLayout>
              </c:layout>
              <c:spPr/>
              <c:txPr>
                <a:bodyPr/>
                <a:lstStyle/>
                <a:p>
                  <a:pPr>
                    <a:defRPr sz="1800" b="0">
                      <a:solidFill>
                        <a:schemeClr val="bg1"/>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8742761679198562E-2"/>
                  <c:y val="-3.6512113301870314E-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Abr.16</c:v>
                </c:pt>
              </c:strCache>
            </c:strRef>
          </c:cat>
          <c:val>
            <c:numRef>
              <c:f>'II.3. Empl x sector '!$E$4:$E$12</c:f>
              <c:numCache>
                <c:formatCode>#,##0</c:formatCode>
                <c:ptCount val="9"/>
                <c:pt idx="0">
                  <c:v>41757</c:v>
                </c:pt>
                <c:pt idx="1">
                  <c:v>41671</c:v>
                </c:pt>
                <c:pt idx="2">
                  <c:v>44179</c:v>
                </c:pt>
                <c:pt idx="3">
                  <c:v>47222</c:v>
                </c:pt>
                <c:pt idx="4">
                  <c:v>51351</c:v>
                </c:pt>
                <c:pt idx="5">
                  <c:v>59335</c:v>
                </c:pt>
                <c:pt idx="6">
                  <c:v>65666</c:v>
                </c:pt>
                <c:pt idx="7">
                  <c:v>70019</c:v>
                </c:pt>
                <c:pt idx="8">
                  <c:v>71373</c:v>
                </c:pt>
              </c:numCache>
            </c:numRef>
          </c:val>
        </c:ser>
        <c:dLbls>
          <c:showLegendKey val="0"/>
          <c:showVal val="0"/>
          <c:showCatName val="0"/>
          <c:showSerName val="0"/>
          <c:showPercent val="0"/>
          <c:showBubbleSize val="0"/>
        </c:dLbls>
        <c:gapWidth val="49"/>
        <c:overlap val="69"/>
        <c:axId val="365666584"/>
        <c:axId val="365666976"/>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Abr.16</c:v>
                </c:pt>
              </c:strCache>
            </c:strRef>
          </c:cat>
          <c:val>
            <c:numRef>
              <c:f>'II.3. Empl x sector '!$J$4:$J$12</c:f>
              <c:numCache>
                <c:formatCode>#,##0.0</c:formatCode>
                <c:ptCount val="9"/>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25.733806901769576</c:v>
                </c:pt>
              </c:numCache>
            </c:numRef>
          </c:val>
          <c:smooth val="0"/>
        </c:ser>
        <c:dLbls>
          <c:showLegendKey val="0"/>
          <c:showVal val="0"/>
          <c:showCatName val="0"/>
          <c:showSerName val="0"/>
          <c:showPercent val="0"/>
          <c:showBubbleSize val="0"/>
        </c:dLbls>
        <c:marker val="1"/>
        <c:smooth val="0"/>
        <c:axId val="365667760"/>
        <c:axId val="365667368"/>
      </c:lineChart>
      <c:catAx>
        <c:axId val="365666584"/>
        <c:scaling>
          <c:orientation val="minMax"/>
        </c:scaling>
        <c:delete val="0"/>
        <c:axPos val="b"/>
        <c:numFmt formatCode="General" sourceLinked="0"/>
        <c:majorTickMark val="none"/>
        <c:minorTickMark val="none"/>
        <c:tickLblPos val="nextTo"/>
        <c:txPr>
          <a:bodyPr/>
          <a:lstStyle/>
          <a:p>
            <a:pPr>
              <a:defRPr sz="1400"/>
            </a:pPr>
            <a:endParaRPr lang="es-ES"/>
          </a:p>
        </c:txPr>
        <c:crossAx val="365666976"/>
        <c:crosses val="autoZero"/>
        <c:auto val="1"/>
        <c:lblAlgn val="ctr"/>
        <c:lblOffset val="100"/>
        <c:noMultiLvlLbl val="0"/>
      </c:catAx>
      <c:valAx>
        <c:axId val="365666976"/>
        <c:scaling>
          <c:orientation val="minMax"/>
        </c:scaling>
        <c:delete val="0"/>
        <c:axPos val="l"/>
        <c:numFmt formatCode="#,##0" sourceLinked="1"/>
        <c:majorTickMark val="none"/>
        <c:minorTickMark val="none"/>
        <c:tickLblPos val="nextTo"/>
        <c:crossAx val="365666584"/>
        <c:crosses val="autoZero"/>
        <c:crossBetween val="between"/>
      </c:valAx>
      <c:valAx>
        <c:axId val="365667368"/>
        <c:scaling>
          <c:orientation val="minMax"/>
          <c:max val="100"/>
        </c:scaling>
        <c:delete val="0"/>
        <c:axPos val="r"/>
        <c:numFmt formatCode="#,##0.0" sourceLinked="1"/>
        <c:majorTickMark val="out"/>
        <c:minorTickMark val="none"/>
        <c:tickLblPos val="nextTo"/>
        <c:crossAx val="365667760"/>
        <c:crosses val="max"/>
        <c:crossBetween val="between"/>
      </c:valAx>
      <c:catAx>
        <c:axId val="365667760"/>
        <c:scaling>
          <c:orientation val="minMax"/>
        </c:scaling>
        <c:delete val="1"/>
        <c:axPos val="b"/>
        <c:numFmt formatCode="General" sourceLinked="1"/>
        <c:majorTickMark val="out"/>
        <c:minorTickMark val="none"/>
        <c:tickLblPos val="nextTo"/>
        <c:crossAx val="365667368"/>
        <c:crosses val="autoZero"/>
        <c:auto val="1"/>
        <c:lblAlgn val="ctr"/>
        <c:lblOffset val="100"/>
        <c:noMultiLvlLbl val="0"/>
      </c:catAx>
    </c:plotArea>
    <c:legend>
      <c:legendPos val="t"/>
      <c:layout>
        <c:manualLayout>
          <c:xMode val="edge"/>
          <c:yMode val="edge"/>
          <c:x val="0.18849324327718323"/>
          <c:y val="7.3200691609112675E-2"/>
          <c:w val="0.5894674911792509"/>
          <c:h val="4.87267507888125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302841772032908"/>
          <c:y val="2.518453559367699E-2"/>
        </c:manualLayout>
      </c:layout>
      <c:overlay val="0"/>
    </c:title>
    <c:autoTitleDeleted val="0"/>
    <c:plotArea>
      <c:layout>
        <c:manualLayout>
          <c:layoutTarget val="inner"/>
          <c:xMode val="edge"/>
          <c:yMode val="edge"/>
          <c:x val="1.768149805853602E-2"/>
          <c:y val="0.14143551352731917"/>
          <c:w val="0.9561962583249024"/>
          <c:h val="0.69490897134372243"/>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'!$A$3:$A$12</c:f>
              <c:strCache>
                <c:ptCount val="10"/>
                <c:pt idx="0">
                  <c:v>Dic.2007</c:v>
                </c:pt>
                <c:pt idx="1">
                  <c:v>Dic.2008</c:v>
                </c:pt>
                <c:pt idx="2">
                  <c:v>Dic.2009</c:v>
                </c:pt>
                <c:pt idx="3">
                  <c:v>Dic.2010</c:v>
                </c:pt>
                <c:pt idx="4">
                  <c:v>Dic.2011</c:v>
                </c:pt>
                <c:pt idx="5">
                  <c:v>Dic.2012</c:v>
                </c:pt>
                <c:pt idx="6">
                  <c:v>Dic.2013</c:v>
                </c:pt>
                <c:pt idx="7">
                  <c:v>Dic.2014</c:v>
                </c:pt>
                <c:pt idx="8">
                  <c:v>Dic.2015</c:v>
                </c:pt>
                <c:pt idx="9">
                  <c:v>Abr.2016</c:v>
                </c:pt>
              </c:strCache>
            </c:strRef>
          </c:cat>
          <c:val>
            <c:numRef>
              <c:f>'III.2.2. Afil. SFS RC Anual '!$C$3:$C$12</c:f>
              <c:numCache>
                <c:formatCode>#,##0</c:formatCode>
                <c:ptCount val="10"/>
                <c:pt idx="0">
                  <c:v>557270</c:v>
                </c:pt>
                <c:pt idx="1">
                  <c:v>726113</c:v>
                </c:pt>
                <c:pt idx="2">
                  <c:v>1008697</c:v>
                </c:pt>
                <c:pt idx="3">
                  <c:v>1211222</c:v>
                </c:pt>
                <c:pt idx="4">
                  <c:v>1329078</c:v>
                </c:pt>
                <c:pt idx="5">
                  <c:v>1445581</c:v>
                </c:pt>
                <c:pt idx="6">
                  <c:v>1561485</c:v>
                </c:pt>
                <c:pt idx="7">
                  <c:v>1718613</c:v>
                </c:pt>
                <c:pt idx="8">
                  <c:v>1826204</c:v>
                </c:pt>
                <c:pt idx="9">
                  <c:v>1895653</c:v>
                </c:pt>
              </c:numCache>
            </c:numRef>
          </c:val>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'!$A$3:$A$12</c:f>
              <c:strCache>
                <c:ptCount val="10"/>
                <c:pt idx="0">
                  <c:v>Dic.2007</c:v>
                </c:pt>
                <c:pt idx="1">
                  <c:v>Dic.2008</c:v>
                </c:pt>
                <c:pt idx="2">
                  <c:v>Dic.2009</c:v>
                </c:pt>
                <c:pt idx="3">
                  <c:v>Dic.2010</c:v>
                </c:pt>
                <c:pt idx="4">
                  <c:v>Dic.2011</c:v>
                </c:pt>
                <c:pt idx="5">
                  <c:v>Dic.2012</c:v>
                </c:pt>
                <c:pt idx="6">
                  <c:v>Dic.2013</c:v>
                </c:pt>
                <c:pt idx="7">
                  <c:v>Dic.2014</c:v>
                </c:pt>
                <c:pt idx="8">
                  <c:v>Dic.2015</c:v>
                </c:pt>
                <c:pt idx="9">
                  <c:v>Abr.2016</c:v>
                </c:pt>
              </c:strCache>
            </c:strRef>
          </c:cat>
          <c:val>
            <c:numRef>
              <c:f>'III.2.2. Afil. SFS RC Anual '!$B$3:$B$12</c:f>
              <c:numCache>
                <c:formatCode>#,##0</c:formatCode>
                <c:ptCount val="10"/>
                <c:pt idx="0">
                  <c:v>919911</c:v>
                </c:pt>
                <c:pt idx="1">
                  <c:v>966146</c:v>
                </c:pt>
                <c:pt idx="2">
                  <c:v>1079602</c:v>
                </c:pt>
                <c:pt idx="3">
                  <c:v>1152861</c:v>
                </c:pt>
                <c:pt idx="4">
                  <c:v>1188345</c:v>
                </c:pt>
                <c:pt idx="5">
                  <c:v>1242830</c:v>
                </c:pt>
                <c:pt idx="6">
                  <c:v>1297821</c:v>
                </c:pt>
                <c:pt idx="7">
                  <c:v>1422986</c:v>
                </c:pt>
                <c:pt idx="8">
                  <c:v>1513634</c:v>
                </c:pt>
                <c:pt idx="9">
                  <c:v>1578127</c:v>
                </c:pt>
              </c:numCache>
            </c:numRef>
          </c:val>
        </c:ser>
        <c:dLbls>
          <c:showLegendKey val="0"/>
          <c:showVal val="1"/>
          <c:showCatName val="0"/>
          <c:showSerName val="0"/>
          <c:showPercent val="0"/>
          <c:showBubbleSize val="0"/>
        </c:dLbls>
        <c:gapWidth val="58"/>
        <c:overlap val="51"/>
        <c:axId val="406450960"/>
        <c:axId val="405885496"/>
      </c:barChart>
      <c:catAx>
        <c:axId val="406450960"/>
        <c:scaling>
          <c:orientation val="minMax"/>
        </c:scaling>
        <c:delete val="0"/>
        <c:axPos val="b"/>
        <c:numFmt formatCode="General" sourceLinked="0"/>
        <c:majorTickMark val="none"/>
        <c:minorTickMark val="none"/>
        <c:tickLblPos val="nextTo"/>
        <c:txPr>
          <a:bodyPr/>
          <a:lstStyle/>
          <a:p>
            <a:pPr>
              <a:defRPr sz="2400"/>
            </a:pPr>
            <a:endParaRPr lang="es-ES"/>
          </a:p>
        </c:txPr>
        <c:crossAx val="405885496"/>
        <c:crosses val="autoZero"/>
        <c:auto val="1"/>
        <c:lblAlgn val="ctr"/>
        <c:lblOffset val="100"/>
        <c:noMultiLvlLbl val="0"/>
      </c:catAx>
      <c:valAx>
        <c:axId val="405885496"/>
        <c:scaling>
          <c:orientation val="minMax"/>
        </c:scaling>
        <c:delete val="1"/>
        <c:axPos val="l"/>
        <c:numFmt formatCode="#,##0" sourceLinked="1"/>
        <c:majorTickMark val="out"/>
        <c:minorTickMark val="none"/>
        <c:tickLblPos val="nextTo"/>
        <c:crossAx val="406450960"/>
        <c:crosses val="autoZero"/>
        <c:crossBetween val="between"/>
      </c:valAx>
    </c:plotArea>
    <c:legend>
      <c:legendPos val="t"/>
      <c:layout>
        <c:manualLayout>
          <c:xMode val="edge"/>
          <c:yMode val="edge"/>
          <c:x val="0.33594191571978943"/>
          <c:y val="7.213235319694708E-2"/>
          <c:w val="0.30803096715586509"/>
          <c:h val="3.9769380101759802E-2"/>
        </c:manualLayout>
      </c:layout>
      <c:overlay val="0"/>
      <c:txPr>
        <a:bodyPr/>
        <a:lstStyle/>
        <a:p>
          <a:pPr>
            <a:defRPr sz="2000"/>
          </a:pPr>
          <a:endParaRPr lang="es-E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Ene-Abr.2016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61</c:v>
                </c:pt>
                <c:pt idx="8">
                  <c:v>5</c:v>
                </c:pt>
              </c:numCache>
            </c:numRef>
          </c:val>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Ene-Abr.2016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14</c:v>
                </c:pt>
                <c:pt idx="8">
                  <c:v>0</c:v>
                </c:pt>
              </c:numCache>
            </c:numRef>
          </c:val>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Ene-Abr.2016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Ene-Abr.2016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9</c:v>
                </c:pt>
                <c:pt idx="8">
                  <c:v>0</c:v>
                </c:pt>
              </c:numCache>
            </c:numRef>
          </c:val>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Ene-Abr.2016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Ene-Abr.2016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ser>
        <c:dLbls>
          <c:showLegendKey val="0"/>
          <c:showVal val="0"/>
          <c:showCatName val="0"/>
          <c:showSerName val="0"/>
          <c:showPercent val="0"/>
          <c:showBubbleSize val="0"/>
        </c:dLbls>
        <c:gapWidth val="150"/>
        <c:axId val="468687056"/>
        <c:axId val="468687448"/>
      </c:barChart>
      <c:catAx>
        <c:axId val="468687056"/>
        <c:scaling>
          <c:orientation val="minMax"/>
        </c:scaling>
        <c:delete val="0"/>
        <c:axPos val="b"/>
        <c:numFmt formatCode="General" sourceLinked="1"/>
        <c:majorTickMark val="none"/>
        <c:minorTickMark val="none"/>
        <c:tickLblPos val="nextTo"/>
        <c:crossAx val="468687448"/>
        <c:crosses val="autoZero"/>
        <c:auto val="1"/>
        <c:lblAlgn val="ctr"/>
        <c:lblOffset val="100"/>
        <c:noMultiLvlLbl val="0"/>
      </c:catAx>
      <c:valAx>
        <c:axId val="468687448"/>
        <c:scaling>
          <c:orientation val="minMax"/>
        </c:scaling>
        <c:delete val="1"/>
        <c:axPos val="l"/>
        <c:numFmt formatCode="_(* #,##0_);_(* \(#,##0\);_(* &quot;-&quot;_);_(@_)" sourceLinked="1"/>
        <c:majorTickMark val="none"/>
        <c:minorTickMark val="none"/>
        <c:tickLblPos val="nextTo"/>
        <c:crossAx val="4686870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6745539756905171"/>
          <c:y val="1.170136959560279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4.5857174040921475E-2"/>
          <c:y val="0.15180667653950641"/>
          <c:w val="0.89940341282589553"/>
          <c:h val="0.68972153920593438"/>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3"/>
              <c:layout>
                <c:manualLayout>
                  <c:x val="0"/>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79487172898440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Ene-Abr. 2016</c:v>
                </c:pt>
              </c:strCache>
            </c:strRef>
          </c:cat>
          <c:val>
            <c:numRef>
              <c:f>'VII.2.CBSS Tram.'!$B$5:$L$5</c:f>
              <c:numCache>
                <c:formatCode>_(* #,##0_);_(* \(#,##0\);_(* "-"??_);_(@_)</c:formatCode>
                <c:ptCount val="11"/>
                <c:pt idx="3">
                  <c:v>1</c:v>
                </c:pt>
                <c:pt idx="4">
                  <c:v>5</c:v>
                </c:pt>
                <c:pt idx="6">
                  <c:v>20</c:v>
                </c:pt>
                <c:pt idx="7">
                  <c:v>11</c:v>
                </c:pt>
                <c:pt idx="8">
                  <c:v>6</c:v>
                </c:pt>
                <c:pt idx="9">
                  <c:v>10</c:v>
                </c:pt>
                <c:pt idx="10">
                  <c:v>11</c:v>
                </c:pt>
              </c:numCache>
            </c:numRef>
          </c:val>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1.3125374350920404E-3"/>
                  <c:y val="-2.5706830299750363E-2"/>
                </c:manualLayout>
              </c:layout>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Ene-Abr. 2016</c:v>
                </c:pt>
              </c:strCache>
            </c:strRef>
          </c:cat>
          <c:val>
            <c:numRef>
              <c:f>'VII.2.CBSS Tram.'!$B$3:$L$3</c:f>
              <c:numCache>
                <c:formatCode>_(* #,##0_);_(* \(#,##0\);_(* "-"??_);_(@_)</c:formatCode>
                <c:ptCount val="11"/>
                <c:pt idx="0">
                  <c:v>2</c:v>
                </c:pt>
                <c:pt idx="1">
                  <c:v>7</c:v>
                </c:pt>
                <c:pt idx="2">
                  <c:v>32</c:v>
                </c:pt>
                <c:pt idx="3">
                  <c:v>54</c:v>
                </c:pt>
                <c:pt idx="4">
                  <c:v>204</c:v>
                </c:pt>
                <c:pt idx="5">
                  <c:v>129</c:v>
                </c:pt>
                <c:pt idx="6">
                  <c:v>202</c:v>
                </c:pt>
                <c:pt idx="7">
                  <c:v>121</c:v>
                </c:pt>
                <c:pt idx="8">
                  <c:v>139</c:v>
                </c:pt>
                <c:pt idx="9">
                  <c:v>147</c:v>
                </c:pt>
                <c:pt idx="10">
                  <c:v>48</c:v>
                </c:pt>
              </c:numCache>
            </c:numRef>
          </c:val>
        </c:ser>
        <c:ser>
          <c:idx val="2"/>
          <c:order val="2"/>
          <c:tx>
            <c:strRef>
              <c:f>'VII.2.CBSS Tram.'!$A$4</c:f>
              <c:strCache>
                <c:ptCount val="1"/>
                <c:pt idx="0">
                  <c:v>Reintroducción</c:v>
                </c:pt>
              </c:strCache>
            </c:strRef>
          </c:tx>
          <c:spPr>
            <a:solidFill>
              <a:schemeClr val="accent3"/>
            </a:solidFill>
            <a:ln>
              <a:noFill/>
            </a:ln>
            <a:effectLst/>
          </c:spPr>
          <c:invertIfNegative val="0"/>
          <c:dLbls>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358977373981679E-3"/>
                  <c:y val="-3.07870342312778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1794886869924182E-4"/>
                  <c:y val="-2.43055533404825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Ene-Abr. 2016</c:v>
                </c:pt>
              </c:strCache>
            </c:strRef>
          </c:cat>
          <c:val>
            <c:numRef>
              <c:f>'VII.2.CBSS Tram.'!$B$4:$L$4</c:f>
              <c:numCache>
                <c:formatCode>_(* #,##0_);_(* \(#,##0\);_(* "-"??_);_(@_)</c:formatCode>
                <c:ptCount val="11"/>
                <c:pt idx="3">
                  <c:v>1</c:v>
                </c:pt>
                <c:pt idx="5">
                  <c:v>5</c:v>
                </c:pt>
                <c:pt idx="6">
                  <c:v>2</c:v>
                </c:pt>
                <c:pt idx="7">
                  <c:v>3</c:v>
                </c:pt>
                <c:pt idx="8">
                  <c:v>6</c:v>
                </c:pt>
                <c:pt idx="9">
                  <c:v>7</c:v>
                </c:pt>
                <c:pt idx="10">
                  <c:v>10</c:v>
                </c:pt>
              </c:numCache>
            </c:numRef>
          </c:val>
        </c:ser>
        <c:dLbls>
          <c:showLegendKey val="0"/>
          <c:showVal val="0"/>
          <c:showCatName val="0"/>
          <c:showSerName val="0"/>
          <c:showPercent val="0"/>
          <c:showBubbleSize val="0"/>
        </c:dLbls>
        <c:gapWidth val="52"/>
        <c:overlap val="100"/>
        <c:axId val="474318640"/>
        <c:axId val="474319032"/>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Ene-Abr. 2016</c:v>
                      </c:pt>
                    </c:strCache>
                  </c:strRef>
                </c:cat>
                <c:val>
                  <c:numRef>
                    <c:extLst>
                      <c:ext uri="{02D57815-91ED-43cb-92C2-25804820EDAC}">
                        <c15:formulaRef>
                          <c15:sqref>'VII.2.CBSS Tram.'!#REF!</c15:sqref>
                        </c15:formulaRef>
                      </c:ext>
                    </c:extLst>
                    <c:numCache>
                      <c:formatCode>General</c:formatCode>
                      <c:ptCount val="1"/>
                      <c:pt idx="0">
                        <c:v>1</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Ene-Abr. 2016</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Ene-Abr. 2016</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ext>
        </c:extLst>
      </c:barChart>
      <c:catAx>
        <c:axId val="474318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crossAx val="474319032"/>
        <c:crosses val="autoZero"/>
        <c:auto val="1"/>
        <c:lblAlgn val="ctr"/>
        <c:lblOffset val="100"/>
        <c:noMultiLvlLbl val="0"/>
      </c:catAx>
      <c:valAx>
        <c:axId val="47431903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4318640"/>
        <c:crosses val="autoZero"/>
        <c:crossBetween val="between"/>
      </c:valAx>
      <c:spPr>
        <a:noFill/>
        <a:ln>
          <a:noFill/>
        </a:ln>
        <a:effectLst/>
      </c:spPr>
    </c:plotArea>
    <c:legend>
      <c:legendPos val="b"/>
      <c:layout>
        <c:manualLayout>
          <c:xMode val="edge"/>
          <c:yMode val="edge"/>
          <c:x val="0.25148873525081267"/>
          <c:y val="4.8587047856452653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3.1200577872107949E-2"/>
          <c:y val="9.5272048465046014E-2"/>
          <c:w val="0.9426360459171127"/>
          <c:h val="0.75087599505867075"/>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Ene-Abr. 2016</c:v>
                </c:pt>
              </c:strCache>
            </c:strRef>
          </c:cat>
          <c:val>
            <c:numRef>
              <c:f>'VII.3.CBSS-Benef'!$B$4:$L$4</c:f>
              <c:numCache>
                <c:formatCode>_(* #,##0_);_(* \(#,##0\);_(* "-"??_);_(@_)</c:formatCode>
                <c:ptCount val="11"/>
                <c:pt idx="1">
                  <c:v>2</c:v>
                </c:pt>
                <c:pt idx="2">
                  <c:v>3</c:v>
                </c:pt>
                <c:pt idx="3">
                  <c:v>5</c:v>
                </c:pt>
                <c:pt idx="4">
                  <c:v>16</c:v>
                </c:pt>
                <c:pt idx="5">
                  <c:v>2</c:v>
                </c:pt>
                <c:pt idx="6">
                  <c:v>2</c:v>
                </c:pt>
                <c:pt idx="8">
                  <c:v>2</c:v>
                </c:pt>
                <c:pt idx="9">
                  <c:v>0</c:v>
                </c:pt>
                <c:pt idx="10">
                  <c:v>4</c:v>
                </c:pt>
              </c:numCache>
            </c:numRef>
          </c:val>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Ene-Abr. 2016</c:v>
                </c:pt>
              </c:strCache>
            </c:strRef>
          </c:cat>
          <c:val>
            <c:numRef>
              <c:f>'VII.3.CBSS-Benef'!$B$5:$L$5</c:f>
              <c:numCache>
                <c:formatCode>_(* #,##0_);_(* \(#,##0\);_(* "-"??_);_(@_)</c:formatCode>
                <c:ptCount val="11"/>
                <c:pt idx="1">
                  <c:v>1</c:v>
                </c:pt>
                <c:pt idx="2">
                  <c:v>11</c:v>
                </c:pt>
                <c:pt idx="3">
                  <c:v>11</c:v>
                </c:pt>
                <c:pt idx="4">
                  <c:v>30</c:v>
                </c:pt>
                <c:pt idx="5">
                  <c:v>10</c:v>
                </c:pt>
                <c:pt idx="6">
                  <c:v>15</c:v>
                </c:pt>
                <c:pt idx="7">
                  <c:v>10</c:v>
                </c:pt>
                <c:pt idx="8">
                  <c:v>19</c:v>
                </c:pt>
                <c:pt idx="9">
                  <c:v>18</c:v>
                </c:pt>
                <c:pt idx="10">
                  <c:v>15</c:v>
                </c:pt>
              </c:numCache>
            </c:numRef>
          </c:val>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Ene-Abr. 2016</c:v>
                </c:pt>
              </c:strCache>
            </c:strRef>
          </c:cat>
          <c:val>
            <c:numRef>
              <c:f>'VII.3.CBSS-Benef'!$B$6:$L$6</c:f>
              <c:numCache>
                <c:formatCode>_(* #,##0_);_(* \(#,##0\);_(* "-"??_);_(@_)</c:formatCode>
                <c:ptCount val="11"/>
                <c:pt idx="1">
                  <c:v>1</c:v>
                </c:pt>
                <c:pt idx="2">
                  <c:v>1</c:v>
                </c:pt>
                <c:pt idx="3">
                  <c:v>1</c:v>
                </c:pt>
                <c:pt idx="4">
                  <c:v>12</c:v>
                </c:pt>
                <c:pt idx="5">
                  <c:v>4</c:v>
                </c:pt>
                <c:pt idx="6">
                  <c:v>15</c:v>
                </c:pt>
                <c:pt idx="7">
                  <c:v>12</c:v>
                </c:pt>
                <c:pt idx="8">
                  <c:v>13</c:v>
                </c:pt>
                <c:pt idx="9">
                  <c:v>28</c:v>
                </c:pt>
                <c:pt idx="10">
                  <c:v>17</c:v>
                </c:pt>
              </c:numCache>
            </c:numRef>
          </c:val>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Ene-Abr. 2016</c:v>
                </c:pt>
              </c:strCache>
            </c:strRef>
          </c:cat>
          <c:val>
            <c:numRef>
              <c:f>'VII.3.CBSS-Benef'!$B$7:$L$7</c:f>
              <c:numCache>
                <c:formatCode>_(* #,##0_);_(* \(#,##0\);_(* "-"??_);_(@_)</c:formatCode>
                <c:ptCount val="11"/>
                <c:pt idx="0">
                  <c:v>2</c:v>
                </c:pt>
                <c:pt idx="1">
                  <c:v>3</c:v>
                </c:pt>
                <c:pt idx="2">
                  <c:v>17</c:v>
                </c:pt>
                <c:pt idx="3">
                  <c:v>39</c:v>
                </c:pt>
                <c:pt idx="4">
                  <c:v>151</c:v>
                </c:pt>
                <c:pt idx="5">
                  <c:v>117</c:v>
                </c:pt>
                <c:pt idx="6">
                  <c:v>190</c:v>
                </c:pt>
                <c:pt idx="7">
                  <c:v>112</c:v>
                </c:pt>
                <c:pt idx="8">
                  <c:v>103</c:v>
                </c:pt>
                <c:pt idx="9">
                  <c:v>108</c:v>
                </c:pt>
                <c:pt idx="10">
                  <c:v>31</c:v>
                </c:pt>
              </c:numCache>
            </c:numRef>
          </c:val>
        </c:ser>
        <c:ser>
          <c:idx val="4"/>
          <c:order val="4"/>
          <c:tx>
            <c:strRef>
              <c:f>'VII.3.CBSS-Benef'!$A$8</c:f>
              <c:strCache>
                <c:ptCount val="1"/>
                <c:pt idx="0">
                  <c:v>Desplazados o Eximición de Cotización</c:v>
                </c:pt>
              </c:strCache>
            </c:strRef>
          </c:tx>
          <c:spPr>
            <a:solidFill>
              <a:schemeClr val="accent5"/>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Ene-Abr. 2016</c:v>
                </c:pt>
              </c:strCache>
            </c:strRef>
          </c:cat>
          <c:val>
            <c:numRef>
              <c:f>'VII.3.CBSS-Benef'!$B$8:$L$8</c:f>
              <c:numCache>
                <c:formatCode>_(* #,##0_);_(* \(#,##0\);_(* "-"??_);_(@_)</c:formatCode>
                <c:ptCount val="11"/>
                <c:pt idx="5">
                  <c:v>1</c:v>
                </c:pt>
                <c:pt idx="6">
                  <c:v>2</c:v>
                </c:pt>
                <c:pt idx="7">
                  <c:v>1</c:v>
                </c:pt>
                <c:pt idx="8">
                  <c:v>14</c:v>
                </c:pt>
                <c:pt idx="9">
                  <c:v>8</c:v>
                </c:pt>
                <c:pt idx="10">
                  <c:v>0</c:v>
                </c:pt>
              </c:numCache>
            </c:numRef>
          </c:val>
        </c:ser>
        <c:ser>
          <c:idx val="5"/>
          <c:order val="5"/>
          <c:tx>
            <c:strRef>
              <c:f>'VII.3.CBSS-Benef'!$A$9</c:f>
              <c:strCache>
                <c:ptCount val="1"/>
                <c:pt idx="0">
                  <c:v>N/D</c:v>
                </c:pt>
              </c:strCache>
            </c:strRef>
          </c:tx>
          <c:spPr>
            <a:solidFill>
              <a:schemeClr val="accent6"/>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Ene-Abr. 2016</c:v>
                </c:pt>
              </c:strCache>
            </c:strRef>
          </c:cat>
          <c:val>
            <c:numRef>
              <c:f>'VII.3.CBSS-Benef'!$B$9:$L$9</c:f>
              <c:numCache>
                <c:formatCode>_(* #,##0_);_(* \(#,##0\);_(* "-"??_);_(@_)</c:formatCode>
                <c:ptCount val="11"/>
                <c:pt idx="9">
                  <c:v>2</c:v>
                </c:pt>
                <c:pt idx="10">
                  <c:v>2</c:v>
                </c:pt>
              </c:numCache>
            </c:numRef>
          </c:val>
        </c:ser>
        <c:dLbls>
          <c:showLegendKey val="0"/>
          <c:showVal val="0"/>
          <c:showCatName val="0"/>
          <c:showSerName val="0"/>
          <c:showPercent val="0"/>
          <c:showBubbleSize val="0"/>
        </c:dLbls>
        <c:gapWidth val="72"/>
        <c:overlap val="100"/>
        <c:axId val="474319816"/>
        <c:axId val="474320208"/>
      </c:barChart>
      <c:catAx>
        <c:axId val="474319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ES"/>
          </a:p>
        </c:txPr>
        <c:crossAx val="474320208"/>
        <c:crosses val="autoZero"/>
        <c:auto val="1"/>
        <c:lblAlgn val="ctr"/>
        <c:lblOffset val="100"/>
        <c:noMultiLvlLbl val="0"/>
      </c:catAx>
      <c:valAx>
        <c:axId val="47432020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4319816"/>
        <c:crosses val="autoZero"/>
        <c:crossBetween val="between"/>
      </c:valAx>
      <c:spPr>
        <a:noFill/>
        <a:ln>
          <a:noFill/>
        </a:ln>
        <a:effectLst/>
      </c:spPr>
    </c:plotArea>
    <c:legend>
      <c:legendPos val="b"/>
      <c:layout>
        <c:manualLayout>
          <c:xMode val="edge"/>
          <c:yMode val="edge"/>
          <c:x val="6.3868459696128047E-2"/>
          <c:y val="6.5205933866332333E-2"/>
          <c:w val="0.87871945445868427"/>
          <c:h val="3.7433953940006551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5.7574844699524196E-2"/>
          <c:y val="0.13607884845746351"/>
          <c:w val="0.90708517477586037"/>
          <c:h val="0.67808552914442377"/>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'VII.4.CBSS-Tramit.'!$A$4:$A$14</c:f>
              <c:strCache>
                <c:ptCount val="11"/>
                <c:pt idx="0">
                  <c:v>2006</c:v>
                </c:pt>
                <c:pt idx="1">
                  <c:v>2007</c:v>
                </c:pt>
                <c:pt idx="2">
                  <c:v>2008</c:v>
                </c:pt>
                <c:pt idx="3">
                  <c:v>2009</c:v>
                </c:pt>
                <c:pt idx="4">
                  <c:v>2010</c:v>
                </c:pt>
                <c:pt idx="5">
                  <c:v>2011</c:v>
                </c:pt>
                <c:pt idx="6">
                  <c:v>2012</c:v>
                </c:pt>
                <c:pt idx="7">
                  <c:v>2013</c:v>
                </c:pt>
                <c:pt idx="8">
                  <c:v>2014</c:v>
                </c:pt>
                <c:pt idx="9">
                  <c:v>2015</c:v>
                </c:pt>
                <c:pt idx="10">
                  <c:v>Ene-Abr. 2016</c:v>
                </c:pt>
              </c:strCache>
            </c:strRef>
          </c:cat>
          <c:val>
            <c:numRef>
              <c:f>'VII.4.CBSS-Tramit.'!$B$4:$B$14</c:f>
              <c:numCache>
                <c:formatCode>_(* #,##0_);_(* \(#,##0\);_(* "-"??_);_(@_)</c:formatCode>
                <c:ptCount val="11"/>
                <c:pt idx="0">
                  <c:v>2</c:v>
                </c:pt>
                <c:pt idx="1">
                  <c:v>7</c:v>
                </c:pt>
                <c:pt idx="2">
                  <c:v>32</c:v>
                </c:pt>
                <c:pt idx="3">
                  <c:v>56</c:v>
                </c:pt>
                <c:pt idx="4">
                  <c:v>209</c:v>
                </c:pt>
                <c:pt idx="5">
                  <c:v>134</c:v>
                </c:pt>
                <c:pt idx="6">
                  <c:v>224</c:v>
                </c:pt>
                <c:pt idx="7">
                  <c:v>135</c:v>
                </c:pt>
                <c:pt idx="8">
                  <c:v>151</c:v>
                </c:pt>
                <c:pt idx="9">
                  <c:v>164</c:v>
                </c:pt>
                <c:pt idx="10">
                  <c:v>69</c:v>
                </c:pt>
              </c:numCache>
            </c:numRef>
          </c:val>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4179326048179638E-2"/>
                  <c:y val="0"/>
                </c:manualLayout>
              </c:layout>
              <c:spPr/>
              <c:txPr>
                <a:bodyPr/>
                <a:lstStyle/>
                <a:p>
                  <a:pPr>
                    <a:defRPr sz="1600" b="1">
                      <a:solidFill>
                        <a:schemeClr val="bg1"/>
                      </a:solidFil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chemeClr val="bg1"/>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'VII.4.CBSS-Tramit.'!$A$4:$A$14</c:f>
              <c:strCache>
                <c:ptCount val="11"/>
                <c:pt idx="0">
                  <c:v>2006</c:v>
                </c:pt>
                <c:pt idx="1">
                  <c:v>2007</c:v>
                </c:pt>
                <c:pt idx="2">
                  <c:v>2008</c:v>
                </c:pt>
                <c:pt idx="3">
                  <c:v>2009</c:v>
                </c:pt>
                <c:pt idx="4">
                  <c:v>2010</c:v>
                </c:pt>
                <c:pt idx="5">
                  <c:v>2011</c:v>
                </c:pt>
                <c:pt idx="6">
                  <c:v>2012</c:v>
                </c:pt>
                <c:pt idx="7">
                  <c:v>2013</c:v>
                </c:pt>
                <c:pt idx="8">
                  <c:v>2014</c:v>
                </c:pt>
                <c:pt idx="9">
                  <c:v>2015</c:v>
                </c:pt>
                <c:pt idx="10">
                  <c:v>Ene-Abr. 2016</c:v>
                </c:pt>
              </c:strCache>
            </c:strRef>
          </c:cat>
          <c:val>
            <c:numRef>
              <c:f>'VII.4.CBSS-Tramit.'!$C$4:$C$14</c:f>
              <c:numCache>
                <c:formatCode>_(* #,##0_);_(* \(#,##0\);_(* "-"??_);_(@_)</c:formatCode>
                <c:ptCount val="11"/>
                <c:pt idx="0">
                  <c:v>0</c:v>
                </c:pt>
                <c:pt idx="1">
                  <c:v>1</c:v>
                </c:pt>
                <c:pt idx="2">
                  <c:v>5</c:v>
                </c:pt>
                <c:pt idx="3">
                  <c:v>3</c:v>
                </c:pt>
                <c:pt idx="4">
                  <c:v>31</c:v>
                </c:pt>
                <c:pt idx="5">
                  <c:v>15</c:v>
                </c:pt>
                <c:pt idx="6">
                  <c:v>34</c:v>
                </c:pt>
                <c:pt idx="7">
                  <c:v>16</c:v>
                </c:pt>
                <c:pt idx="8">
                  <c:v>14</c:v>
                </c:pt>
                <c:pt idx="9">
                  <c:v>19</c:v>
                </c:pt>
                <c:pt idx="10">
                  <c:v>7</c:v>
                </c:pt>
              </c:numCache>
            </c:numRef>
          </c:val>
        </c:ser>
        <c:dLbls>
          <c:showLegendKey val="0"/>
          <c:showVal val="0"/>
          <c:showCatName val="0"/>
          <c:showSerName val="0"/>
          <c:showPercent val="0"/>
          <c:showBubbleSize val="0"/>
        </c:dLbls>
        <c:gapWidth val="69"/>
        <c:overlap val="62"/>
        <c:axId val="474320992"/>
        <c:axId val="474321384"/>
      </c:barChart>
      <c:catAx>
        <c:axId val="474320992"/>
        <c:scaling>
          <c:orientation val="minMax"/>
        </c:scaling>
        <c:delete val="0"/>
        <c:axPos val="b"/>
        <c:numFmt formatCode="General" sourceLinked="0"/>
        <c:majorTickMark val="none"/>
        <c:minorTickMark val="none"/>
        <c:tickLblPos val="nextTo"/>
        <c:txPr>
          <a:bodyPr/>
          <a:lstStyle/>
          <a:p>
            <a:pPr>
              <a:defRPr sz="1200"/>
            </a:pPr>
            <a:endParaRPr lang="es-ES"/>
          </a:p>
        </c:txPr>
        <c:crossAx val="474321384"/>
        <c:crosses val="autoZero"/>
        <c:auto val="1"/>
        <c:lblAlgn val="ctr"/>
        <c:lblOffset val="100"/>
        <c:noMultiLvlLbl val="0"/>
      </c:catAx>
      <c:valAx>
        <c:axId val="474321384"/>
        <c:scaling>
          <c:orientation val="minMax"/>
        </c:scaling>
        <c:delete val="1"/>
        <c:axPos val="l"/>
        <c:numFmt formatCode="_(* #,##0_);_(* \(#,##0\);_(* &quot;-&quot;??_);_(@_)" sourceLinked="1"/>
        <c:majorTickMark val="none"/>
        <c:minorTickMark val="none"/>
        <c:tickLblPos val="nextTo"/>
        <c:crossAx val="474320992"/>
        <c:crosses val="autoZero"/>
        <c:crossBetween val="between"/>
      </c:valAx>
    </c:plotArea>
    <c:legend>
      <c:legendPos val="t"/>
      <c:layout>
        <c:manualLayout>
          <c:xMode val="edge"/>
          <c:yMode val="edge"/>
          <c:x val="0.31086492372452534"/>
          <c:y val="2.6592630659184959E-2"/>
          <c:w val="0.41929098475693016"/>
          <c:h val="6.73266083615162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3.2001846698660873E-2"/>
          <c:y val="0.15935236849232284"/>
          <c:w val="0.94390303158662681"/>
          <c:h val="0.68024207945860915"/>
        </c:manualLayout>
      </c:layout>
      <c:barChart>
        <c:barDir val="col"/>
        <c:grouping val="clustered"/>
        <c:varyColors val="0"/>
        <c:ser>
          <c:idx val="0"/>
          <c:order val="0"/>
          <c:tx>
            <c:strRef>
              <c:f>'VII.5.CBSS-Rel.Concl. '!$B$3</c:f>
              <c:strCache>
                <c:ptCount val="1"/>
                <c:pt idx="0">
                  <c:v>Respuesta a España FORM DO ES 01</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Ene-Abr.2016</c:v>
                </c:pt>
              </c:strCache>
            </c:strRef>
          </c:cat>
          <c:val>
            <c:numRef>
              <c:f>'VII.5.CBSS-Rel.Concl. '!$B$4:$B$14</c:f>
              <c:numCache>
                <c:formatCode>_(* #,##0_);_(* \(#,##0\);_(* "-"??_);_(@_)</c:formatCode>
                <c:ptCount val="11"/>
                <c:pt idx="0">
                  <c:v>1</c:v>
                </c:pt>
                <c:pt idx="1">
                  <c:v>1</c:v>
                </c:pt>
                <c:pt idx="2">
                  <c:v>0</c:v>
                </c:pt>
                <c:pt idx="3">
                  <c:v>13</c:v>
                </c:pt>
                <c:pt idx="4">
                  <c:v>60</c:v>
                </c:pt>
                <c:pt idx="5">
                  <c:v>36</c:v>
                </c:pt>
                <c:pt idx="6">
                  <c:v>72</c:v>
                </c:pt>
                <c:pt idx="7">
                  <c:v>28</c:v>
                </c:pt>
                <c:pt idx="8">
                  <c:v>31</c:v>
                </c:pt>
                <c:pt idx="9">
                  <c:v>31</c:v>
                </c:pt>
                <c:pt idx="10">
                  <c:v>0</c:v>
                </c:pt>
              </c:numCache>
            </c:numRef>
          </c:val>
        </c:ser>
        <c:ser>
          <c:idx val="1"/>
          <c:order val="1"/>
          <c:tx>
            <c:strRef>
              <c:f>'VII.5.CBSS-Rel.Concl. '!$D$3</c:f>
              <c:strCache>
                <c:ptCount val="1"/>
                <c:pt idx="0">
                  <c:v>En Espera de Documentos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Ene-Abr.2016</c:v>
                </c:pt>
              </c:strCache>
            </c:strRef>
          </c:cat>
          <c:val>
            <c:numRef>
              <c:f>'VII.5.CBSS-Rel.Concl. '!$D$4:$D$14</c:f>
              <c:numCache>
                <c:formatCode>_(* #,##0_);_(* \(#,##0\);_(* "-"??_);_(@_)</c:formatCode>
                <c:ptCount val="11"/>
                <c:pt idx="0">
                  <c:v>1</c:v>
                </c:pt>
                <c:pt idx="1">
                  <c:v>2</c:v>
                </c:pt>
                <c:pt idx="2">
                  <c:v>12</c:v>
                </c:pt>
                <c:pt idx="3">
                  <c:v>26</c:v>
                </c:pt>
                <c:pt idx="4">
                  <c:v>62</c:v>
                </c:pt>
                <c:pt idx="5">
                  <c:v>47</c:v>
                </c:pt>
                <c:pt idx="6">
                  <c:v>50</c:v>
                </c:pt>
                <c:pt idx="7">
                  <c:v>51</c:v>
                </c:pt>
                <c:pt idx="8">
                  <c:v>44</c:v>
                </c:pt>
                <c:pt idx="9">
                  <c:v>20</c:v>
                </c:pt>
                <c:pt idx="10">
                  <c:v>8</c:v>
                </c:pt>
              </c:numCache>
            </c:numRef>
          </c:val>
        </c:ser>
        <c:ser>
          <c:idx val="2"/>
          <c:order val="2"/>
          <c:tx>
            <c:strRef>
              <c:f>'VII.5.CBSS-Rel.Concl. '!$C$3</c:f>
              <c:strCache>
                <c:ptCount val="1"/>
                <c:pt idx="0">
                  <c:v>Solicitud de Pensión desde RD FORM DO ES 02  </c:v>
                </c:pt>
              </c:strCache>
            </c:strRef>
          </c:tx>
          <c:invertIfNegative val="0"/>
          <c:dLbls>
            <c:spPr>
              <a:noFill/>
              <a:ln>
                <a:noFill/>
              </a:ln>
              <a:effectLst/>
            </c:spPr>
            <c:txPr>
              <a:bodyPr wrap="square" lIns="38100" tIns="19050" rIns="38100" bIns="19050" anchor="ctr">
                <a:spAutoFit/>
              </a:bodyPr>
              <a:lstStyle/>
              <a:p>
                <a:pPr>
                  <a:defRPr sz="1800" b="1">
                    <a:solidFill>
                      <a:srgbClr val="00B05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Ene-Abr.2016</c:v>
                </c:pt>
              </c:strCache>
            </c:strRef>
          </c:cat>
          <c:val>
            <c:numRef>
              <c:f>'VII.5.CBSS-Rel.Concl. '!$C$4:$C$14</c:f>
              <c:numCache>
                <c:formatCode>_(* #,##0_);_(* \(#,##0\);_(* "-"??_);_(@_)</c:formatCode>
                <c:ptCount val="11"/>
                <c:pt idx="0">
                  <c:v>0</c:v>
                </c:pt>
                <c:pt idx="1">
                  <c:v>0</c:v>
                </c:pt>
                <c:pt idx="2">
                  <c:v>3</c:v>
                </c:pt>
                <c:pt idx="3">
                  <c:v>5</c:v>
                </c:pt>
                <c:pt idx="4">
                  <c:v>18</c:v>
                </c:pt>
                <c:pt idx="5">
                  <c:v>7</c:v>
                </c:pt>
                <c:pt idx="6">
                  <c:v>25</c:v>
                </c:pt>
                <c:pt idx="7">
                  <c:v>17</c:v>
                </c:pt>
                <c:pt idx="8">
                  <c:v>24</c:v>
                </c:pt>
                <c:pt idx="9">
                  <c:v>36</c:v>
                </c:pt>
                <c:pt idx="10">
                  <c:v>28</c:v>
                </c:pt>
              </c:numCache>
            </c:numRef>
          </c:val>
        </c:ser>
        <c:dLbls>
          <c:showLegendKey val="0"/>
          <c:showVal val="0"/>
          <c:showCatName val="0"/>
          <c:showSerName val="0"/>
          <c:showPercent val="0"/>
          <c:showBubbleSize val="0"/>
        </c:dLbls>
        <c:gapWidth val="34"/>
        <c:overlap val="13"/>
        <c:axId val="474322168"/>
        <c:axId val="474322560"/>
      </c:barChart>
      <c:catAx>
        <c:axId val="474322168"/>
        <c:scaling>
          <c:orientation val="minMax"/>
        </c:scaling>
        <c:delete val="0"/>
        <c:axPos val="b"/>
        <c:numFmt formatCode="General" sourceLinked="0"/>
        <c:majorTickMark val="none"/>
        <c:minorTickMark val="none"/>
        <c:tickLblPos val="nextTo"/>
        <c:txPr>
          <a:bodyPr/>
          <a:lstStyle/>
          <a:p>
            <a:pPr>
              <a:defRPr sz="1600"/>
            </a:pPr>
            <a:endParaRPr lang="es-ES"/>
          </a:p>
        </c:txPr>
        <c:crossAx val="474322560"/>
        <c:crosses val="autoZero"/>
        <c:auto val="1"/>
        <c:lblAlgn val="ctr"/>
        <c:lblOffset val="100"/>
        <c:noMultiLvlLbl val="0"/>
      </c:catAx>
      <c:valAx>
        <c:axId val="474322560"/>
        <c:scaling>
          <c:orientation val="minMax"/>
        </c:scaling>
        <c:delete val="1"/>
        <c:axPos val="l"/>
        <c:numFmt formatCode="_(* #,##0_);_(* \(#,##0\);_(* &quot;-&quot;??_);_(@_)" sourceLinked="1"/>
        <c:majorTickMark val="none"/>
        <c:minorTickMark val="none"/>
        <c:tickLblPos val="nextTo"/>
        <c:crossAx val="474322168"/>
        <c:crosses val="autoZero"/>
        <c:crossBetween val="between"/>
      </c:valAx>
    </c:plotArea>
    <c:legend>
      <c:legendPos val="t"/>
      <c:layout>
        <c:manualLayout>
          <c:xMode val="edge"/>
          <c:yMode val="edge"/>
          <c:x val="9.5052719512910125E-2"/>
          <c:y val="6.1221273194272757E-2"/>
          <c:w val="0.82287633556442774"/>
          <c:h val="5.474851337705356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35203876517E-2"/>
          <c:y val="0.12499302125577007"/>
          <c:w val="0.96137760958493024"/>
          <c:h val="0.65454146977698902"/>
        </c:manualLayout>
      </c:layout>
      <c:barChart>
        <c:barDir val="col"/>
        <c:grouping val="clustered"/>
        <c:varyColors val="0"/>
        <c:ser>
          <c:idx val="0"/>
          <c:order val="0"/>
          <c:tx>
            <c:strRef>
              <c:f>'VII.6.CBSS-Cert.'!$B$3</c:f>
              <c:strCache>
                <c:ptCount val="1"/>
                <c:pt idx="0">
                  <c:v>DIDA (TSS,IDSS,CGRD)</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'VII.6.CBSS-Cert.'!$A$4:$A$14</c:f>
              <c:strCache>
                <c:ptCount val="11"/>
                <c:pt idx="0">
                  <c:v>2006</c:v>
                </c:pt>
                <c:pt idx="1">
                  <c:v>2007</c:v>
                </c:pt>
                <c:pt idx="2">
                  <c:v>2008</c:v>
                </c:pt>
                <c:pt idx="3">
                  <c:v>2009</c:v>
                </c:pt>
                <c:pt idx="4">
                  <c:v>2010</c:v>
                </c:pt>
                <c:pt idx="5">
                  <c:v>2011</c:v>
                </c:pt>
                <c:pt idx="6">
                  <c:v>2012</c:v>
                </c:pt>
                <c:pt idx="7">
                  <c:v>2013</c:v>
                </c:pt>
                <c:pt idx="8">
                  <c:v>2014</c:v>
                </c:pt>
                <c:pt idx="9">
                  <c:v>2015</c:v>
                </c:pt>
                <c:pt idx="10">
                  <c:v>Ene-Abr.2016</c:v>
                </c:pt>
              </c:strCache>
            </c:strRef>
          </c:cat>
          <c:val>
            <c:numRef>
              <c:f>'VII.6.CBSS-Cert.'!$B$4:$B$14</c:f>
              <c:numCache>
                <c:formatCode>_(* #,##0_);_(* \(#,##0\);_(* "-"??_);_(@_)</c:formatCode>
                <c:ptCount val="11"/>
                <c:pt idx="0">
                  <c:v>0</c:v>
                </c:pt>
                <c:pt idx="1">
                  <c:v>2</c:v>
                </c:pt>
                <c:pt idx="2">
                  <c:v>10</c:v>
                </c:pt>
                <c:pt idx="3">
                  <c:v>8</c:v>
                </c:pt>
                <c:pt idx="4">
                  <c:v>37</c:v>
                </c:pt>
                <c:pt idx="5">
                  <c:v>27</c:v>
                </c:pt>
                <c:pt idx="6">
                  <c:v>34</c:v>
                </c:pt>
                <c:pt idx="7">
                  <c:v>17</c:v>
                </c:pt>
                <c:pt idx="8">
                  <c:v>25</c:v>
                </c:pt>
                <c:pt idx="9">
                  <c:v>15</c:v>
                </c:pt>
                <c:pt idx="10">
                  <c:v>12</c:v>
                </c:pt>
              </c:numCache>
            </c:numRef>
          </c:val>
        </c:ser>
        <c:ser>
          <c:idx val="1"/>
          <c:order val="1"/>
          <c:tx>
            <c:strRef>
              <c:f>'VII.6.CBSS-Cert.'!$C$3</c:f>
              <c:strCache>
                <c:ptCount val="1"/>
                <c:pt idx="0">
                  <c:v>Descentralizadas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'VII.6.CBSS-Cert.'!$A$4:$A$14</c:f>
              <c:strCache>
                <c:ptCount val="11"/>
                <c:pt idx="0">
                  <c:v>2006</c:v>
                </c:pt>
                <c:pt idx="1">
                  <c:v>2007</c:v>
                </c:pt>
                <c:pt idx="2">
                  <c:v>2008</c:v>
                </c:pt>
                <c:pt idx="3">
                  <c:v>2009</c:v>
                </c:pt>
                <c:pt idx="4">
                  <c:v>2010</c:v>
                </c:pt>
                <c:pt idx="5">
                  <c:v>2011</c:v>
                </c:pt>
                <c:pt idx="6">
                  <c:v>2012</c:v>
                </c:pt>
                <c:pt idx="7">
                  <c:v>2013</c:v>
                </c:pt>
                <c:pt idx="8">
                  <c:v>2014</c:v>
                </c:pt>
                <c:pt idx="9">
                  <c:v>2015</c:v>
                </c:pt>
                <c:pt idx="10">
                  <c:v>Ene-Abr.2016</c:v>
                </c:pt>
              </c:strCache>
            </c:strRef>
          </c:cat>
          <c:val>
            <c:numRef>
              <c:f>'VII.6.CBSS-Cert.'!$C$4:$C$14</c:f>
              <c:numCache>
                <c:formatCode>_(* #,##0_);_(* \(#,##0\);_(* "-"??_);_(@_)</c:formatCode>
                <c:ptCount val="11"/>
                <c:pt idx="0">
                  <c:v>0</c:v>
                </c:pt>
                <c:pt idx="1">
                  <c:v>0</c:v>
                </c:pt>
                <c:pt idx="2">
                  <c:v>1</c:v>
                </c:pt>
                <c:pt idx="3">
                  <c:v>1</c:v>
                </c:pt>
                <c:pt idx="4">
                  <c:v>0</c:v>
                </c:pt>
                <c:pt idx="5">
                  <c:v>2</c:v>
                </c:pt>
                <c:pt idx="6">
                  <c:v>10</c:v>
                </c:pt>
                <c:pt idx="7">
                  <c:v>4</c:v>
                </c:pt>
                <c:pt idx="8">
                  <c:v>12</c:v>
                </c:pt>
                <c:pt idx="9">
                  <c:v>22</c:v>
                </c:pt>
                <c:pt idx="10">
                  <c:v>1</c:v>
                </c:pt>
              </c:numCache>
            </c:numRef>
          </c:val>
        </c:ser>
        <c:dLbls>
          <c:showLegendKey val="0"/>
          <c:showVal val="0"/>
          <c:showCatName val="0"/>
          <c:showSerName val="0"/>
          <c:showPercent val="0"/>
          <c:showBubbleSize val="0"/>
        </c:dLbls>
        <c:gapWidth val="34"/>
        <c:overlap val="13"/>
        <c:axId val="474323344"/>
        <c:axId val="474323736"/>
      </c:barChart>
      <c:catAx>
        <c:axId val="474323344"/>
        <c:scaling>
          <c:orientation val="minMax"/>
        </c:scaling>
        <c:delete val="0"/>
        <c:axPos val="b"/>
        <c:numFmt formatCode="General" sourceLinked="0"/>
        <c:majorTickMark val="none"/>
        <c:minorTickMark val="none"/>
        <c:tickLblPos val="nextTo"/>
        <c:txPr>
          <a:bodyPr/>
          <a:lstStyle/>
          <a:p>
            <a:pPr>
              <a:defRPr sz="1600"/>
            </a:pPr>
            <a:endParaRPr lang="es-ES"/>
          </a:p>
        </c:txPr>
        <c:crossAx val="474323736"/>
        <c:crosses val="autoZero"/>
        <c:auto val="1"/>
        <c:lblAlgn val="ctr"/>
        <c:lblOffset val="100"/>
        <c:noMultiLvlLbl val="0"/>
      </c:catAx>
      <c:valAx>
        <c:axId val="474323736"/>
        <c:scaling>
          <c:orientation val="minMax"/>
        </c:scaling>
        <c:delete val="1"/>
        <c:axPos val="l"/>
        <c:numFmt formatCode="_(* #,##0_);_(* \(#,##0\);_(* &quot;-&quot;??_);_(@_)" sourceLinked="1"/>
        <c:majorTickMark val="none"/>
        <c:minorTickMark val="none"/>
        <c:tickLblPos val="nextTo"/>
        <c:crossAx val="474323344"/>
        <c:crosses val="autoZero"/>
        <c:crossBetween val="between"/>
      </c:valAx>
    </c:plotArea>
    <c:legend>
      <c:legendPos val="t"/>
      <c:layout>
        <c:manualLayout>
          <c:xMode val="edge"/>
          <c:yMode val="edge"/>
          <c:x val="0.29171239366666674"/>
          <c:y val="3.4523550737549327E-2"/>
          <c:w val="0.40522481324449827"/>
          <c:h val="5.5738404626633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0.14762197063106855"/>
          <c:w val="0.96137760958493024"/>
          <c:h val="0.65454146977698902"/>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VII.7.CBSS.Sex!$A$4:$A$13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VII.7.CBSS.Sex!$B$4:$B$13</c:f>
              <c:numCache>
                <c:formatCode>_(* #,##0_);_(* \(#,##0\);_(* "-"??_);_(@_)</c:formatCode>
                <c:ptCount val="10"/>
                <c:pt idx="0">
                  <c:v>2</c:v>
                </c:pt>
                <c:pt idx="1">
                  <c:v>3</c:v>
                </c:pt>
                <c:pt idx="2">
                  <c:v>12</c:v>
                </c:pt>
                <c:pt idx="3">
                  <c:v>21</c:v>
                </c:pt>
                <c:pt idx="4">
                  <c:v>84</c:v>
                </c:pt>
                <c:pt idx="5">
                  <c:v>47</c:v>
                </c:pt>
                <c:pt idx="6">
                  <c:v>106</c:v>
                </c:pt>
                <c:pt idx="7">
                  <c:v>62</c:v>
                </c:pt>
                <c:pt idx="8">
                  <c:v>81</c:v>
                </c:pt>
                <c:pt idx="9">
                  <c:v>70</c:v>
                </c:pt>
              </c:numCache>
            </c:numRef>
          </c:val>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VII.7.CBSS.Sex!$A$4:$A$13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VII.7.CBSS.Sex!$C$4:$C$13</c:f>
              <c:numCache>
                <c:formatCode>_(* #,##0_);_(* \(#,##0\);_(* "-"??_);_(@_)</c:formatCode>
                <c:ptCount val="10"/>
                <c:pt idx="1">
                  <c:v>4</c:v>
                </c:pt>
                <c:pt idx="2">
                  <c:v>20</c:v>
                </c:pt>
                <c:pt idx="3">
                  <c:v>35</c:v>
                </c:pt>
                <c:pt idx="4">
                  <c:v>125</c:v>
                </c:pt>
                <c:pt idx="5">
                  <c:v>87</c:v>
                </c:pt>
                <c:pt idx="6">
                  <c:v>118</c:v>
                </c:pt>
                <c:pt idx="7">
                  <c:v>73</c:v>
                </c:pt>
                <c:pt idx="8">
                  <c:v>70</c:v>
                </c:pt>
                <c:pt idx="9">
                  <c:v>94</c:v>
                </c:pt>
              </c:numCache>
            </c:numRef>
          </c:val>
        </c:ser>
        <c:dLbls>
          <c:showLegendKey val="0"/>
          <c:showVal val="0"/>
          <c:showCatName val="0"/>
          <c:showSerName val="0"/>
          <c:showPercent val="0"/>
          <c:showBubbleSize val="0"/>
        </c:dLbls>
        <c:gapWidth val="34"/>
        <c:overlap val="13"/>
        <c:axId val="474324520"/>
        <c:axId val="474324912"/>
      </c:barChart>
      <c:catAx>
        <c:axId val="474324520"/>
        <c:scaling>
          <c:orientation val="minMax"/>
        </c:scaling>
        <c:delete val="0"/>
        <c:axPos val="b"/>
        <c:numFmt formatCode="General" sourceLinked="0"/>
        <c:majorTickMark val="none"/>
        <c:minorTickMark val="none"/>
        <c:tickLblPos val="nextTo"/>
        <c:txPr>
          <a:bodyPr/>
          <a:lstStyle/>
          <a:p>
            <a:pPr>
              <a:defRPr sz="1200"/>
            </a:pPr>
            <a:endParaRPr lang="es-ES"/>
          </a:p>
        </c:txPr>
        <c:crossAx val="474324912"/>
        <c:crosses val="autoZero"/>
        <c:auto val="1"/>
        <c:lblAlgn val="ctr"/>
        <c:lblOffset val="100"/>
        <c:noMultiLvlLbl val="0"/>
      </c:catAx>
      <c:valAx>
        <c:axId val="474324912"/>
        <c:scaling>
          <c:orientation val="minMax"/>
        </c:scaling>
        <c:delete val="1"/>
        <c:axPos val="l"/>
        <c:numFmt formatCode="_(* #,##0_);_(* \(#,##0\);_(* &quot;-&quot;??_);_(@_)" sourceLinked="1"/>
        <c:majorTickMark val="none"/>
        <c:minorTickMark val="none"/>
        <c:tickLblPos val="nextTo"/>
        <c:crossAx val="474324520"/>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Estadísticas De Mercado De Trabajo</a:t>
            </a:r>
          </a:p>
          <a:p>
            <a:pPr>
              <a:defRPr sz="1600"/>
            </a:pPr>
            <a:r>
              <a:rPr lang="es-DO" sz="1600"/>
              <a:t>Distribución de la Población Ocupada Formal por Rama de Actividad</a:t>
            </a:r>
          </a:p>
        </c:rich>
      </c:tx>
      <c:layout>
        <c:manualLayout>
          <c:xMode val="edge"/>
          <c:yMode val="edge"/>
          <c:x val="0.22668655604900598"/>
          <c:y val="4.5791243848829766E-3"/>
        </c:manualLayout>
      </c:layout>
      <c:overlay val="1"/>
    </c:title>
    <c:autoTitleDeleted val="0"/>
    <c:plotArea>
      <c:layout>
        <c:manualLayout>
          <c:layoutTarget val="inner"/>
          <c:xMode val="edge"/>
          <c:yMode val="edge"/>
          <c:x val="9.9534098030133796E-3"/>
          <c:y val="0.25303051499645207"/>
          <c:w val="0.96662691710423365"/>
          <c:h val="0.60050294650428937"/>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formal'!$B$4:$O$4</c:f>
              <c:numCache>
                <c:formatCode>_(* #,##0_);_(* \(#,##0\);_(* "-"??_);_(@_)</c:formatCode>
                <c:ptCount val="11"/>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numCache>
            </c:numRef>
          </c:val>
          <c:smooth val="0"/>
        </c:ser>
        <c:ser>
          <c:idx val="1"/>
          <c:order val="1"/>
          <c:tx>
            <c:strRef>
              <c:f>'VIII.1 Ocup. formal'!$A$5</c:f>
              <c:strCache>
                <c:ptCount val="1"/>
                <c:pt idx="0">
                  <c:v> Explotación de Minas y Canteras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formal'!$B$5:$O$5</c:f>
              <c:numCache>
                <c:formatCode>_(* #,##0_);_(* \(#,##0\);_(* "-"??_);_(@_)</c:formatCode>
                <c:ptCount val="11"/>
                <c:pt idx="0">
                  <c:v>5240.5</c:v>
                </c:pt>
                <c:pt idx="1">
                  <c:v>3875</c:v>
                </c:pt>
                <c:pt idx="2">
                  <c:v>5460.5</c:v>
                </c:pt>
                <c:pt idx="3">
                  <c:v>7849</c:v>
                </c:pt>
                <c:pt idx="4">
                  <c:v>7092</c:v>
                </c:pt>
                <c:pt idx="5">
                  <c:v>9592</c:v>
                </c:pt>
                <c:pt idx="6">
                  <c:v>15545</c:v>
                </c:pt>
                <c:pt idx="7">
                  <c:v>12905</c:v>
                </c:pt>
                <c:pt idx="8">
                  <c:v>9756</c:v>
                </c:pt>
                <c:pt idx="9" formatCode="#,##0_);\(#,##0\)">
                  <c:v>5755</c:v>
                </c:pt>
                <c:pt idx="10" formatCode="#,##0_);\(#,##0\)">
                  <c:v>8303</c:v>
                </c:pt>
              </c:numCache>
            </c:numRef>
          </c:val>
          <c:smooth val="0"/>
        </c:ser>
        <c:ser>
          <c:idx val="2"/>
          <c:order val="2"/>
          <c:tx>
            <c:strRef>
              <c:f>'VIII.1 Ocup. formal'!$A$6</c:f>
              <c:strCache>
                <c:ptCount val="1"/>
                <c:pt idx="0">
                  <c:v> Industrias Manufactureras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formal'!$B$6:$O$6</c:f>
              <c:numCache>
                <c:formatCode>_(* #,##0_);_(* \(#,##0\);_(* "-"??_);_(@_)</c:formatCode>
                <c:ptCount val="11"/>
                <c:pt idx="0">
                  <c:v>356009</c:v>
                </c:pt>
                <c:pt idx="1">
                  <c:v>367230.5</c:v>
                </c:pt>
                <c:pt idx="2">
                  <c:v>381709.5</c:v>
                </c:pt>
                <c:pt idx="3">
                  <c:v>322067</c:v>
                </c:pt>
                <c:pt idx="4">
                  <c:v>267702</c:v>
                </c:pt>
                <c:pt idx="5">
                  <c:v>281199</c:v>
                </c:pt>
                <c:pt idx="6">
                  <c:v>277208</c:v>
                </c:pt>
                <c:pt idx="7">
                  <c:v>292404</c:v>
                </c:pt>
                <c:pt idx="8">
                  <c:v>292394</c:v>
                </c:pt>
                <c:pt idx="9" formatCode="#,##0_);\(#,##0\)">
                  <c:v>288770</c:v>
                </c:pt>
                <c:pt idx="10" formatCode="#,##0_);\(#,##0\)">
                  <c:v>301731</c:v>
                </c:pt>
              </c:numCache>
            </c:numRef>
          </c:val>
          <c:smooth val="0"/>
        </c:ser>
        <c:ser>
          <c:idx val="3"/>
          <c:order val="3"/>
          <c:tx>
            <c:strRef>
              <c:f>'VIII.1 Ocup. formal'!$A$7</c:f>
              <c:strCache>
                <c:ptCount val="1"/>
                <c:pt idx="0">
                  <c:v> Electricidad, Gas y Agua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formal'!$B$7:$O$7</c:f>
              <c:numCache>
                <c:formatCode>_(* #,##0_);_(* \(#,##0\);_(* "-"??_);_(@_)</c:formatCode>
                <c:ptCount val="11"/>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numCache>
            </c:numRef>
          </c:val>
          <c:smooth val="0"/>
        </c:ser>
        <c:ser>
          <c:idx val="4"/>
          <c:order val="4"/>
          <c:tx>
            <c:strRef>
              <c:f>'VIII.1 Ocup. formal'!$A$8</c:f>
              <c:strCache>
                <c:ptCount val="1"/>
                <c:pt idx="0">
                  <c:v> Construcción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formal'!$B$8:$O$8</c:f>
              <c:numCache>
                <c:formatCode>_(* #,##0_);_(* \(#,##0\);_(* "-"??_);_(@_)</c:formatCode>
                <c:ptCount val="11"/>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numCache>
            </c:numRef>
          </c:val>
          <c:smooth val="0"/>
        </c:ser>
        <c:ser>
          <c:idx val="5"/>
          <c:order val="5"/>
          <c:tx>
            <c:strRef>
              <c:f>'VIII.1 Ocup. formal'!$A$9</c:f>
              <c:strCache>
                <c:ptCount val="1"/>
                <c:pt idx="0">
                  <c:v> Comercio al por Mayor y Menor </c:v>
                </c:pt>
              </c:strCache>
            </c:strRef>
          </c:tx>
          <c:marker>
            <c:symbol val="none"/>
          </c:marker>
          <c:dPt>
            <c:idx val="2"/>
            <c:bubble3D val="0"/>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formal'!$B$9:$O$9</c:f>
              <c:numCache>
                <c:formatCode>_(* #,##0_);_(* \(#,##0\);_(* "-"??_);_(@_)</c:formatCode>
                <c:ptCount val="11"/>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numCache>
            </c:numRef>
          </c:val>
          <c:smooth val="0"/>
        </c:ser>
        <c:ser>
          <c:idx val="6"/>
          <c:order val="6"/>
          <c:tx>
            <c:strRef>
              <c:f>'VIII.1 Ocup. formal'!$A$10</c:f>
              <c:strCache>
                <c:ptCount val="1"/>
                <c:pt idx="0">
                  <c:v> Hoteles, Bares y Restaurantes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formal'!$B$10:$O$10</c:f>
              <c:numCache>
                <c:formatCode>_(* #,##0_);_(* \(#,##0\);_(* "-"??_);_(@_)</c:formatCode>
                <c:ptCount val="11"/>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numCache>
            </c:numRef>
          </c:val>
          <c:smooth val="0"/>
        </c:ser>
        <c:ser>
          <c:idx val="7"/>
          <c:order val="7"/>
          <c:tx>
            <c:strRef>
              <c:f>'VIII.1 Ocup. formal'!$A$11</c:f>
              <c:strCache>
                <c:ptCount val="1"/>
                <c:pt idx="0">
                  <c:v> Transporte y Comunicaciones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formal'!$B$11:$O$11</c:f>
              <c:numCache>
                <c:formatCode>_(* #,##0_);_(* \(#,##0\);_(* "-"??_);_(@_)</c:formatCode>
                <c:ptCount val="11"/>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numCache>
            </c:numRef>
          </c:val>
          <c:smooth val="0"/>
        </c:ser>
        <c:ser>
          <c:idx val="8"/>
          <c:order val="8"/>
          <c:tx>
            <c:strRef>
              <c:f>'VIII.1 Ocup. formal'!$A$12</c:f>
              <c:strCache>
                <c:ptCount val="1"/>
                <c:pt idx="0">
                  <c:v> Intermediación Financiera y Seguros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formal'!$B$12:$O$12</c:f>
              <c:numCache>
                <c:formatCode>_(* #,##0_);_(* \(#,##0\);_(* "-"??_);_(@_)</c:formatCode>
                <c:ptCount val="11"/>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numCache>
            </c:numRef>
          </c:val>
          <c:smooth val="0"/>
        </c:ser>
        <c:ser>
          <c:idx val="9"/>
          <c:order val="9"/>
          <c:tx>
            <c:strRef>
              <c:f>'VIII.1 Ocup. formal'!$A$13</c:f>
              <c:strCache>
                <c:ptCount val="1"/>
                <c:pt idx="0">
                  <c:v> Administración Pública y Defensa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formal'!$B$13:$O$13</c:f>
              <c:numCache>
                <c:formatCode>_(* #,##0_);_(* \(#,##0\);_(* "-"??_);_(@_)</c:formatCode>
                <c:ptCount val="11"/>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numCache>
            </c:numRef>
          </c:val>
          <c:smooth val="0"/>
        </c:ser>
        <c:ser>
          <c:idx val="10"/>
          <c:order val="10"/>
          <c:tx>
            <c:strRef>
              <c:f>'VIII.1 Ocup. formal'!$A$14</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formal'!$B$14:$O$14</c:f>
              <c:numCache>
                <c:formatCode>_(* #,##0_);_(* \(#,##0\);_(* "-"??_);_(@_)</c:formatCode>
                <c:ptCount val="11"/>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numCache>
            </c:numRef>
          </c:val>
          <c:smooth val="0"/>
        </c:ser>
        <c:dLbls>
          <c:showLegendKey val="0"/>
          <c:showVal val="0"/>
          <c:showCatName val="0"/>
          <c:showSerName val="0"/>
          <c:showPercent val="0"/>
          <c:showBubbleSize val="0"/>
        </c:dLbls>
        <c:smooth val="0"/>
        <c:axId val="474325696"/>
        <c:axId val="474326088"/>
      </c:lineChart>
      <c:catAx>
        <c:axId val="474325696"/>
        <c:scaling>
          <c:orientation val="minMax"/>
        </c:scaling>
        <c:delete val="0"/>
        <c:axPos val="b"/>
        <c:numFmt formatCode="General" sourceLinked="1"/>
        <c:majorTickMark val="none"/>
        <c:minorTickMark val="none"/>
        <c:tickLblPos val="nextTo"/>
        <c:txPr>
          <a:bodyPr/>
          <a:lstStyle/>
          <a:p>
            <a:pPr>
              <a:defRPr lang="en-US" sz="1050"/>
            </a:pPr>
            <a:endParaRPr lang="es-ES"/>
          </a:p>
        </c:txPr>
        <c:crossAx val="474326088"/>
        <c:crosses val="autoZero"/>
        <c:auto val="1"/>
        <c:lblAlgn val="ctr"/>
        <c:lblOffset val="100"/>
        <c:noMultiLvlLbl val="0"/>
      </c:catAx>
      <c:valAx>
        <c:axId val="474326088"/>
        <c:scaling>
          <c:orientation val="minMax"/>
        </c:scaling>
        <c:delete val="1"/>
        <c:axPos val="l"/>
        <c:numFmt formatCode="_(* #,##0_);_(* \(#,##0\);_(* &quot;-&quot;??_);_(@_)" sourceLinked="1"/>
        <c:majorTickMark val="out"/>
        <c:minorTickMark val="none"/>
        <c:tickLblPos val="nextTo"/>
        <c:crossAx val="474325696"/>
        <c:crosses val="autoZero"/>
        <c:crossBetween val="between"/>
      </c:valAx>
      <c:spPr>
        <a:ln>
          <a:noFill/>
        </a:ln>
      </c:spPr>
    </c:plotArea>
    <c:legend>
      <c:legendPos val="b"/>
      <c:layout>
        <c:manualLayout>
          <c:xMode val="edge"/>
          <c:yMode val="edge"/>
          <c:x val="3.4131269923439504E-2"/>
          <c:y val="0.1271085605828973"/>
          <c:w val="0.84787038298413386"/>
          <c:h val="9.9768123236856826E-2"/>
        </c:manualLayout>
      </c:layout>
      <c:overlay val="0"/>
      <c:spPr>
        <a:ln>
          <a:solidFill>
            <a:schemeClr val="bg1"/>
          </a:solidFill>
        </a:ln>
      </c:spPr>
      <c:txPr>
        <a:bodyPr/>
        <a:lstStyle/>
        <a:p>
          <a:pPr>
            <a:defRPr lang="en-US" sz="1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2.202019444567916E-2"/>
          <c:y val="0.21902324818676586"/>
          <c:w val="0.86918077041966368"/>
          <c:h val="0.54721883369704682"/>
        </c:manualLayout>
      </c:layout>
      <c:lineChart>
        <c:grouping val="standard"/>
        <c:varyColors val="0"/>
        <c:ser>
          <c:idx val="0"/>
          <c:order val="0"/>
          <c:tx>
            <c:strRef>
              <c:f>'VIII.2 Pob. econ.'!$B$3</c:f>
              <c:strCache>
                <c:ptCount val="1"/>
                <c:pt idx="0">
                  <c:v>Población Total</c:v>
                </c:pt>
              </c:strCache>
            </c:strRef>
          </c:tx>
          <c:dLbls>
            <c:dLbl>
              <c:idx val="8"/>
              <c:layout>
                <c:manualLayout>
                  <c:x val="0.15841617333645047"/>
                  <c:y val="-3.0639378467674467E-2"/>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10,028,012</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rgbClr val="00206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econ.'!$B$4:$B$17</c:f>
              <c:numCache>
                <c:formatCode>#,##0</c:formatCode>
                <c:ptCount val="11"/>
                <c:pt idx="0">
                  <c:v>8968144</c:v>
                </c:pt>
                <c:pt idx="1">
                  <c:v>9072308</c:v>
                </c:pt>
                <c:pt idx="2">
                  <c:v>9175265</c:v>
                </c:pt>
                <c:pt idx="3">
                  <c:v>9277181</c:v>
                </c:pt>
                <c:pt idx="4">
                  <c:v>9378455</c:v>
                </c:pt>
                <c:pt idx="5">
                  <c:v>9478612</c:v>
                </c:pt>
                <c:pt idx="6">
                  <c:v>9579983</c:v>
                </c:pt>
                <c:pt idx="7">
                  <c:v>9680534</c:v>
                </c:pt>
                <c:pt idx="8">
                  <c:v>9780743</c:v>
                </c:pt>
                <c:pt idx="9">
                  <c:v>9880505</c:v>
                </c:pt>
                <c:pt idx="10">
                  <c:v>10028012</c:v>
                </c:pt>
              </c:numCache>
            </c:numRef>
          </c:val>
          <c:smooth val="0"/>
        </c:ser>
        <c:ser>
          <c:idx val="1"/>
          <c:order val="1"/>
          <c:tx>
            <c:strRef>
              <c:f>'VIII.2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0.1633545934424038"/>
                  <c:y val="-1.4149732047316784E-2"/>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8,699,672</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chemeClr val="accent3">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econ.'!$C$4:$C$17</c:f>
              <c:numCache>
                <c:formatCode>#,##0</c:formatCode>
                <c:ptCount val="11"/>
                <c:pt idx="0">
                  <c:v>7144758</c:v>
                </c:pt>
                <c:pt idx="1">
                  <c:v>7320436</c:v>
                </c:pt>
                <c:pt idx="2">
                  <c:v>7484808</c:v>
                </c:pt>
                <c:pt idx="3">
                  <c:v>7663945</c:v>
                </c:pt>
                <c:pt idx="4">
                  <c:v>7848901</c:v>
                </c:pt>
                <c:pt idx="5">
                  <c:v>7967202</c:v>
                </c:pt>
                <c:pt idx="6">
                  <c:v>8144337</c:v>
                </c:pt>
                <c:pt idx="7">
                  <c:v>8276419</c:v>
                </c:pt>
                <c:pt idx="8">
                  <c:v>8422139</c:v>
                </c:pt>
                <c:pt idx="9">
                  <c:v>8571213</c:v>
                </c:pt>
                <c:pt idx="10">
                  <c:v>8699672</c:v>
                </c:pt>
              </c:numCache>
            </c:numRef>
          </c:val>
          <c:smooth val="0"/>
        </c:ser>
        <c:ser>
          <c:idx val="2"/>
          <c:order val="2"/>
          <c:tx>
            <c:strRef>
              <c:f>'VIII.2 Pob. econ.'!$D$3</c:f>
              <c:strCache>
                <c:ptCount val="1"/>
                <c:pt idx="0">
                  <c:v>Población  Económicamente Activa (PEA)</c:v>
                </c:pt>
              </c:strCache>
            </c:strRef>
          </c:tx>
          <c:dLbls>
            <c:dLbl>
              <c:idx val="8"/>
              <c:layout>
                <c:manualLayout>
                  <c:x val="0.16009915691344884"/>
                  <c:y val="-3.3212486339371849E-2"/>
                </c:manualLayout>
              </c:layout>
              <c:tx>
                <c:rich>
                  <a:bodyPr/>
                  <a:lstStyle/>
                  <a:p>
                    <a:r>
                      <a:rPr lang="en-US" sz="1050" b="1">
                        <a:solidFill>
                          <a:srgbClr val="00B050"/>
                        </a:solidFill>
                      </a:rPr>
                      <a:t>PEA </a:t>
                    </a:r>
                  </a:p>
                  <a:p>
                    <a:r>
                      <a:rPr lang="en-US" sz="1050" b="1">
                        <a:solidFill>
                          <a:srgbClr val="00B050"/>
                        </a:solidFill>
                      </a:rPr>
                      <a:t>5,012,107</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B05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econ.'!$D$4:$D$17</c:f>
              <c:numCache>
                <c:formatCode>#,##0</c:formatCode>
                <c:ptCount val="11"/>
                <c:pt idx="0">
                  <c:v>3992211</c:v>
                </c:pt>
                <c:pt idx="1">
                  <c:v>4100433</c:v>
                </c:pt>
                <c:pt idx="2">
                  <c:v>4202277</c:v>
                </c:pt>
                <c:pt idx="3">
                  <c:v>4256447</c:v>
                </c:pt>
                <c:pt idx="4">
                  <c:v>4221883</c:v>
                </c:pt>
                <c:pt idx="5">
                  <c:v>4378866</c:v>
                </c:pt>
                <c:pt idx="6">
                  <c:v>4580813</c:v>
                </c:pt>
                <c:pt idx="7">
                  <c:v>4677824</c:v>
                </c:pt>
                <c:pt idx="8">
                  <c:v>4728655</c:v>
                </c:pt>
                <c:pt idx="9">
                  <c:v>4913588</c:v>
                </c:pt>
                <c:pt idx="10">
                  <c:v>5012107</c:v>
                </c:pt>
              </c:numCache>
            </c:numRef>
          </c:val>
          <c:smooth val="0"/>
        </c:ser>
        <c:ser>
          <c:idx val="3"/>
          <c:order val="3"/>
          <c:tx>
            <c:strRef>
              <c:f>'VIII.2 Pob. econ.'!$E$3</c:f>
              <c:strCache>
                <c:ptCount val="1"/>
                <c:pt idx="0">
                  <c:v>Ocupada</c:v>
                </c:pt>
              </c:strCache>
            </c:strRef>
          </c:tx>
          <c:dLbls>
            <c:dLbl>
              <c:idx val="8"/>
              <c:layout>
                <c:manualLayout>
                  <c:x val="0.16417352103576782"/>
                  <c:y val="-7.6413210411699645E-3"/>
                </c:manualLayout>
              </c:layout>
              <c:tx>
                <c:rich>
                  <a:bodyPr/>
                  <a:lstStyle/>
                  <a:p>
                    <a:r>
                      <a:rPr lang="en-US" sz="1050" b="1">
                        <a:solidFill>
                          <a:srgbClr val="7030A0"/>
                        </a:solidFill>
                      </a:rPr>
                      <a:t>Población Ocupada</a:t>
                    </a:r>
                  </a:p>
                  <a:p>
                    <a:r>
                      <a:rPr lang="en-US" sz="1050" b="1">
                        <a:solidFill>
                          <a:srgbClr val="7030A0"/>
                        </a:solidFill>
                      </a:rPr>
                      <a:t>4,309,050</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7030A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econ.'!$E$4:$E$17</c:f>
              <c:numCache>
                <c:formatCode>#,##0</c:formatCode>
                <c:ptCount val="11"/>
                <c:pt idx="0">
                  <c:v>3276373</c:v>
                </c:pt>
                <c:pt idx="1">
                  <c:v>3435086</c:v>
                </c:pt>
                <c:pt idx="2">
                  <c:v>3548304</c:v>
                </c:pt>
                <c:pt idx="3">
                  <c:v>3653946</c:v>
                </c:pt>
                <c:pt idx="4">
                  <c:v>3593988</c:v>
                </c:pt>
                <c:pt idx="5">
                  <c:v>3753529</c:v>
                </c:pt>
                <c:pt idx="6">
                  <c:v>3912405</c:v>
                </c:pt>
                <c:pt idx="7">
                  <c:v>3990748</c:v>
                </c:pt>
                <c:pt idx="8">
                  <c:v>4018420</c:v>
                </c:pt>
                <c:pt idx="9">
                  <c:v>4199885</c:v>
                </c:pt>
                <c:pt idx="10">
                  <c:v>4309050</c:v>
                </c:pt>
              </c:numCache>
            </c:numRef>
          </c:val>
          <c:smooth val="0"/>
        </c:ser>
        <c:ser>
          <c:idx val="4"/>
          <c:order val="4"/>
          <c:tx>
            <c:strRef>
              <c:f>'VIII.2 Pob. econ.'!$F$3</c:f>
              <c:strCache>
                <c:ptCount val="1"/>
                <c:pt idx="0">
                  <c:v>Ocupada Formal</c:v>
                </c:pt>
              </c:strCache>
            </c:strRef>
          </c:tx>
          <c:dLbls>
            <c:dLbl>
              <c:idx val="8"/>
              <c:layout>
                <c:manualLayout>
                  <c:x val="0.15313945995907227"/>
                  <c:y val="2.7889258491899136E-2"/>
                </c:manualLayout>
              </c:layout>
              <c:tx>
                <c:rich>
                  <a:bodyPr/>
                  <a:lstStyle/>
                  <a:p>
                    <a:r>
                      <a:rPr lang="en-US" sz="1050" b="1">
                        <a:solidFill>
                          <a:srgbClr val="0070C0"/>
                        </a:solidFill>
                      </a:rPr>
                      <a:t>Ocupada Formal</a:t>
                    </a:r>
                  </a:p>
                  <a:p>
                    <a:r>
                      <a:rPr lang="en-US" sz="1050" b="1">
                        <a:solidFill>
                          <a:srgbClr val="0070C0"/>
                        </a:solidFill>
                      </a:rPr>
                      <a:t>1,965,498</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70C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econ.'!$F$4:$F$17</c:f>
              <c:numCache>
                <c:formatCode>#,##0</c:formatCode>
                <c:ptCount val="11"/>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numCache>
            </c:numRef>
          </c:val>
          <c:smooth val="0"/>
        </c:ser>
        <c:ser>
          <c:idx val="5"/>
          <c:order val="5"/>
          <c:tx>
            <c:strRef>
              <c:f>'VIII.2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0.15784019256589493"/>
                  <c:y val="-1.5377743341568386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2,343,552</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chemeClr val="accent2">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econ.'!$G$4:$G$17</c:f>
              <c:numCache>
                <c:formatCode>#,##0</c:formatCode>
                <c:ptCount val="11"/>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numCache>
            </c:numRef>
          </c:val>
          <c:smooth val="0"/>
        </c:ser>
        <c:dLbls>
          <c:showLegendKey val="0"/>
          <c:showVal val="0"/>
          <c:showCatName val="0"/>
          <c:showSerName val="0"/>
          <c:showPercent val="0"/>
          <c:showBubbleSize val="0"/>
        </c:dLbls>
        <c:marker val="1"/>
        <c:smooth val="0"/>
        <c:axId val="474326872"/>
        <c:axId val="474327264"/>
      </c:lineChart>
      <c:catAx>
        <c:axId val="474326872"/>
        <c:scaling>
          <c:orientation val="minMax"/>
        </c:scaling>
        <c:delete val="0"/>
        <c:axPos val="b"/>
        <c:numFmt formatCode="General" sourceLinked="1"/>
        <c:majorTickMark val="none"/>
        <c:minorTickMark val="none"/>
        <c:tickLblPos val="nextTo"/>
        <c:txPr>
          <a:bodyPr/>
          <a:lstStyle/>
          <a:p>
            <a:pPr>
              <a:defRPr lang="en-US" sz="1200"/>
            </a:pPr>
            <a:endParaRPr lang="es-ES"/>
          </a:p>
        </c:txPr>
        <c:crossAx val="474327264"/>
        <c:crosses val="autoZero"/>
        <c:auto val="1"/>
        <c:lblAlgn val="ctr"/>
        <c:lblOffset val="100"/>
        <c:noMultiLvlLbl val="0"/>
      </c:catAx>
      <c:valAx>
        <c:axId val="474327264"/>
        <c:scaling>
          <c:orientation val="minMax"/>
          <c:max val="10000000"/>
          <c:min val="0"/>
        </c:scaling>
        <c:delete val="1"/>
        <c:axPos val="l"/>
        <c:numFmt formatCode="#,##0" sourceLinked="1"/>
        <c:majorTickMark val="out"/>
        <c:minorTickMark val="none"/>
        <c:tickLblPos val="nextTo"/>
        <c:crossAx val="474326872"/>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4.4144730192768815E-2"/>
          <c:y val="0.28329493599329397"/>
          <c:w val="0.91078210341280552"/>
          <c:h val="0.58441962707628947"/>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Abr.15</c:v>
                </c:pt>
                <c:pt idx="1">
                  <c:v>May.15</c:v>
                </c:pt>
                <c:pt idx="2">
                  <c:v>Jun.15</c:v>
                </c:pt>
                <c:pt idx="3">
                  <c:v>Jul.15</c:v>
                </c:pt>
                <c:pt idx="4">
                  <c:v>Ago.15</c:v>
                </c:pt>
                <c:pt idx="5">
                  <c:v>Sep.15</c:v>
                </c:pt>
                <c:pt idx="6">
                  <c:v>Oct.15</c:v>
                </c:pt>
                <c:pt idx="7">
                  <c:v>Nov.15</c:v>
                </c:pt>
                <c:pt idx="8">
                  <c:v>Dic.15</c:v>
                </c:pt>
                <c:pt idx="9">
                  <c:v>Ene.16</c:v>
                </c:pt>
                <c:pt idx="10">
                  <c:v>Feb.16</c:v>
                </c:pt>
                <c:pt idx="11">
                  <c:v>Mar.16</c:v>
                </c:pt>
                <c:pt idx="12">
                  <c:v>Abr.16</c:v>
                </c:pt>
              </c:strCache>
            </c:strRef>
          </c:cat>
          <c:val>
            <c:numRef>
              <c:f>'III.2.3. Afil. SFS RC Mensual'!$B$4:$B$16</c:f>
              <c:numCache>
                <c:formatCode>#,##0</c:formatCode>
                <c:ptCount val="13"/>
                <c:pt idx="0">
                  <c:v>1461443</c:v>
                </c:pt>
                <c:pt idx="1">
                  <c:v>1477288</c:v>
                </c:pt>
                <c:pt idx="2">
                  <c:v>1485480</c:v>
                </c:pt>
                <c:pt idx="3">
                  <c:v>1488733</c:v>
                </c:pt>
                <c:pt idx="4">
                  <c:v>1494881</c:v>
                </c:pt>
                <c:pt idx="5">
                  <c:v>1486725</c:v>
                </c:pt>
                <c:pt idx="6">
                  <c:v>1507727</c:v>
                </c:pt>
                <c:pt idx="7">
                  <c:v>1516835</c:v>
                </c:pt>
                <c:pt idx="8">
                  <c:v>1513634</c:v>
                </c:pt>
                <c:pt idx="9">
                  <c:v>1519938</c:v>
                </c:pt>
                <c:pt idx="10">
                  <c:v>1524338</c:v>
                </c:pt>
                <c:pt idx="11">
                  <c:v>1572762</c:v>
                </c:pt>
                <c:pt idx="12">
                  <c:v>1578127</c:v>
                </c:pt>
              </c:numCache>
            </c:numRef>
          </c:val>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Abr.15</c:v>
                </c:pt>
                <c:pt idx="1">
                  <c:v>May.15</c:v>
                </c:pt>
                <c:pt idx="2">
                  <c:v>Jun.15</c:v>
                </c:pt>
                <c:pt idx="3">
                  <c:v>Jul.15</c:v>
                </c:pt>
                <c:pt idx="4">
                  <c:v>Ago.15</c:v>
                </c:pt>
                <c:pt idx="5">
                  <c:v>Sep.15</c:v>
                </c:pt>
                <c:pt idx="6">
                  <c:v>Oct.15</c:v>
                </c:pt>
                <c:pt idx="7">
                  <c:v>Nov.15</c:v>
                </c:pt>
                <c:pt idx="8">
                  <c:v>Dic.15</c:v>
                </c:pt>
                <c:pt idx="9">
                  <c:v>Ene.16</c:v>
                </c:pt>
                <c:pt idx="10">
                  <c:v>Feb.16</c:v>
                </c:pt>
                <c:pt idx="11">
                  <c:v>Mar.16</c:v>
                </c:pt>
                <c:pt idx="12">
                  <c:v>Abr.16</c:v>
                </c:pt>
              </c:strCache>
            </c:strRef>
          </c:cat>
          <c:val>
            <c:numRef>
              <c:f>'III.2.3. Afil. SFS RC Mensual'!$C$4:$C$16</c:f>
              <c:numCache>
                <c:formatCode>#,##0</c:formatCode>
                <c:ptCount val="13"/>
                <c:pt idx="0">
                  <c:v>1778444</c:v>
                </c:pt>
                <c:pt idx="1">
                  <c:v>1792702</c:v>
                </c:pt>
                <c:pt idx="2">
                  <c:v>1799501</c:v>
                </c:pt>
                <c:pt idx="3">
                  <c:v>1799441</c:v>
                </c:pt>
                <c:pt idx="4">
                  <c:v>1809200</c:v>
                </c:pt>
                <c:pt idx="5">
                  <c:v>1811197</c:v>
                </c:pt>
                <c:pt idx="6">
                  <c:v>1828003</c:v>
                </c:pt>
                <c:pt idx="7">
                  <c:v>1835864</c:v>
                </c:pt>
                <c:pt idx="8">
                  <c:v>1826204</c:v>
                </c:pt>
                <c:pt idx="9">
                  <c:v>1843930</c:v>
                </c:pt>
                <c:pt idx="10">
                  <c:v>1851093</c:v>
                </c:pt>
                <c:pt idx="11">
                  <c:v>1887119</c:v>
                </c:pt>
                <c:pt idx="12">
                  <c:v>1895653</c:v>
                </c:pt>
              </c:numCache>
            </c:numRef>
          </c:val>
        </c:ser>
        <c:dLbls>
          <c:showLegendKey val="0"/>
          <c:showVal val="0"/>
          <c:showCatName val="0"/>
          <c:showSerName val="0"/>
          <c:showPercent val="0"/>
          <c:showBubbleSize val="0"/>
        </c:dLbls>
        <c:gapWidth val="17"/>
        <c:axId val="405886280"/>
        <c:axId val="405886672"/>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2.5114155702623876E-3"/>
                  <c:y val="8.566979138798688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835616776967906E-3"/>
                  <c:y val="-1.71339582775973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57077851311938E-3"/>
                  <c:y val="5.14018748327921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6045059245188461E-3"/>
                  <c:y val="3.1774410515572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92694628279844E-3"/>
                  <c:y val="1.54204275367803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2785389256559689E-4"/>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084173812053818E-17"/>
                  <c:y val="8.566979138798688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1392694628279844E-3"/>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2785389256559689E-4"/>
                  <c:y val="1.19937707943181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2557077851311938E-3"/>
                  <c:y val="1.5420562449837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2785389256559689E-4"/>
                  <c:y val="-1.7198152663794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rgbClr val="FFFF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Abr.15</c:v>
                </c:pt>
                <c:pt idx="1">
                  <c:v>May.15</c:v>
                </c:pt>
                <c:pt idx="2">
                  <c:v>Jun.15</c:v>
                </c:pt>
                <c:pt idx="3">
                  <c:v>Jul.15</c:v>
                </c:pt>
                <c:pt idx="4">
                  <c:v>Ago.15</c:v>
                </c:pt>
                <c:pt idx="5">
                  <c:v>Sep.15</c:v>
                </c:pt>
                <c:pt idx="6">
                  <c:v>Oct.15</c:v>
                </c:pt>
                <c:pt idx="7">
                  <c:v>Nov.15</c:v>
                </c:pt>
                <c:pt idx="8">
                  <c:v>Dic.15</c:v>
                </c:pt>
                <c:pt idx="9">
                  <c:v>Ene.16</c:v>
                </c:pt>
                <c:pt idx="10">
                  <c:v>Feb.16</c:v>
                </c:pt>
                <c:pt idx="11">
                  <c:v>Mar.16</c:v>
                </c:pt>
                <c:pt idx="12">
                  <c:v>Abr.16</c:v>
                </c:pt>
              </c:strCache>
            </c:strRef>
          </c:cat>
          <c:val>
            <c:numRef>
              <c:f>'III.2.3. Afil. SFS RC Mensual'!$G$4:$G$16</c:f>
              <c:numCache>
                <c:formatCode>0.00</c:formatCode>
                <c:ptCount val="13"/>
                <c:pt idx="0">
                  <c:v>1.2169095886736603</c:v>
                </c:pt>
                <c:pt idx="1">
                  <c:v>1.2135088080320153</c:v>
                </c:pt>
                <c:pt idx="2">
                  <c:v>1.211393623609877</c:v>
                </c:pt>
                <c:pt idx="3">
                  <c:v>1.2087063294761384</c:v>
                </c:pt>
                <c:pt idx="4">
                  <c:v>1.2102635594405173</c:v>
                </c:pt>
                <c:pt idx="5">
                  <c:v>1.2182461450503623</c:v>
                </c:pt>
                <c:pt idx="6">
                  <c:v>1.2124230712854516</c:v>
                </c:pt>
                <c:pt idx="7">
                  <c:v>1.210325447395399</c:v>
                </c:pt>
                <c:pt idx="8">
                  <c:v>1.2065030251698892</c:v>
                </c:pt>
                <c:pt idx="9">
                  <c:v>1.2131613263172576</c:v>
                </c:pt>
                <c:pt idx="10">
                  <c:v>1.2143586264988473</c:v>
                </c:pt>
                <c:pt idx="11">
                  <c:v>1.1998757599687684</c:v>
                </c:pt>
                <c:pt idx="12">
                  <c:v>1.2012043390677682</c:v>
                </c:pt>
              </c:numCache>
            </c:numRef>
          </c:val>
          <c:smooth val="0"/>
        </c:ser>
        <c:dLbls>
          <c:showLegendKey val="0"/>
          <c:showVal val="0"/>
          <c:showCatName val="0"/>
          <c:showSerName val="0"/>
          <c:showPercent val="0"/>
          <c:showBubbleSize val="0"/>
        </c:dLbls>
        <c:marker val="1"/>
        <c:smooth val="0"/>
        <c:axId val="405887456"/>
        <c:axId val="405887064"/>
      </c:lineChart>
      <c:catAx>
        <c:axId val="405886280"/>
        <c:scaling>
          <c:orientation val="minMax"/>
        </c:scaling>
        <c:delete val="0"/>
        <c:axPos val="b"/>
        <c:numFmt formatCode="General" sourceLinked="1"/>
        <c:majorTickMark val="none"/>
        <c:minorTickMark val="none"/>
        <c:tickLblPos val="nextTo"/>
        <c:txPr>
          <a:bodyPr/>
          <a:lstStyle/>
          <a:p>
            <a:pPr>
              <a:defRPr sz="1600"/>
            </a:pPr>
            <a:endParaRPr lang="es-ES"/>
          </a:p>
        </c:txPr>
        <c:crossAx val="405886672"/>
        <c:crosses val="autoZero"/>
        <c:auto val="1"/>
        <c:lblAlgn val="ctr"/>
        <c:lblOffset val="100"/>
        <c:noMultiLvlLbl val="0"/>
      </c:catAx>
      <c:valAx>
        <c:axId val="405886672"/>
        <c:scaling>
          <c:orientation val="minMax"/>
        </c:scaling>
        <c:delete val="0"/>
        <c:axPos val="l"/>
        <c:numFmt formatCode="#,##0" sourceLinked="1"/>
        <c:majorTickMark val="none"/>
        <c:minorTickMark val="none"/>
        <c:tickLblPos val="nextTo"/>
        <c:spPr>
          <a:ln w="9525">
            <a:noFill/>
          </a:ln>
        </c:spPr>
        <c:crossAx val="405886280"/>
        <c:crosses val="autoZero"/>
        <c:crossBetween val="between"/>
      </c:valAx>
      <c:valAx>
        <c:axId val="405887064"/>
        <c:scaling>
          <c:orientation val="minMax"/>
        </c:scaling>
        <c:delete val="0"/>
        <c:axPos val="r"/>
        <c:numFmt formatCode="0.00" sourceLinked="1"/>
        <c:majorTickMark val="out"/>
        <c:minorTickMark val="none"/>
        <c:tickLblPos val="nextTo"/>
        <c:crossAx val="405887456"/>
        <c:crosses val="max"/>
        <c:crossBetween val="between"/>
      </c:valAx>
      <c:catAx>
        <c:axId val="405887456"/>
        <c:scaling>
          <c:orientation val="minMax"/>
        </c:scaling>
        <c:delete val="1"/>
        <c:axPos val="b"/>
        <c:numFmt formatCode="General" sourceLinked="1"/>
        <c:majorTickMark val="out"/>
        <c:minorTickMark val="none"/>
        <c:tickLblPos val="nextTo"/>
        <c:crossAx val="405887064"/>
        <c:crosses val="autoZero"/>
        <c:auto val="1"/>
        <c:lblAlgn val="ctr"/>
        <c:lblOffset val="100"/>
        <c:noMultiLvlLbl val="0"/>
      </c:catAx>
    </c:plotArea>
    <c:legend>
      <c:legendPos val="t"/>
      <c:layout>
        <c:manualLayout>
          <c:xMode val="edge"/>
          <c:yMode val="edge"/>
          <c:x val="0.20774855156721728"/>
          <c:y val="6.3388899714315813E-2"/>
          <c:w val="0.57158552783923933"/>
          <c:h val="3.7466734890858104E-2"/>
        </c:manualLayout>
      </c:layout>
      <c:overlay val="0"/>
      <c:txPr>
        <a:bodyPr/>
        <a:lstStyle/>
        <a:p>
          <a:pPr>
            <a:defRPr sz="1800"/>
          </a:pPr>
          <a:endParaRPr lang="es-E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5.8128989587396616E-2"/>
          <c:y val="0.18580740739139903"/>
          <c:w val="0.88081952636893446"/>
          <c:h val="0.6782097822604479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Abr.2016</c:v>
                </c:pt>
              </c:strCache>
            </c:strRef>
          </c:cat>
          <c:val>
            <c:numRef>
              <c:f>'III.2.4.Cob.Afil. SFS RC Anual'!$B$4:$B$13</c:f>
              <c:numCache>
                <c:formatCode>#,##0</c:formatCode>
                <c:ptCount val="10"/>
                <c:pt idx="0">
                  <c:v>1005990</c:v>
                </c:pt>
                <c:pt idx="1">
                  <c:v>992746</c:v>
                </c:pt>
                <c:pt idx="2">
                  <c:v>1084705</c:v>
                </c:pt>
                <c:pt idx="3">
                  <c:v>1183463</c:v>
                </c:pt>
                <c:pt idx="4">
                  <c:v>1224959</c:v>
                </c:pt>
                <c:pt idx="5">
                  <c:v>1270865</c:v>
                </c:pt>
                <c:pt idx="6">
                  <c:v>1353109</c:v>
                </c:pt>
                <c:pt idx="7">
                  <c:v>1451773</c:v>
                </c:pt>
                <c:pt idx="8">
                  <c:v>1544927</c:v>
                </c:pt>
                <c:pt idx="9">
                  <c:v>1613308</c:v>
                </c:pt>
              </c:numCache>
            </c:numRef>
          </c:val>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b="1">
                    <a:solidFill>
                      <a:schemeClr val="accent1">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Abr.2016</c:v>
                </c:pt>
              </c:strCache>
            </c:strRef>
          </c:cat>
          <c:val>
            <c:numRef>
              <c:f>'III.2.4.Cob.Afil. SFS RC Anual'!$C$4:$C$13</c:f>
              <c:numCache>
                <c:formatCode>#,##0</c:formatCode>
                <c:ptCount val="10"/>
                <c:pt idx="0">
                  <c:v>593477</c:v>
                </c:pt>
                <c:pt idx="1">
                  <c:v>736925</c:v>
                </c:pt>
                <c:pt idx="2">
                  <c:v>1011527</c:v>
                </c:pt>
                <c:pt idx="3">
                  <c:v>1234529</c:v>
                </c:pt>
                <c:pt idx="4">
                  <c:v>1361984</c:v>
                </c:pt>
                <c:pt idx="5">
                  <c:v>1476870</c:v>
                </c:pt>
                <c:pt idx="6">
                  <c:v>1612217</c:v>
                </c:pt>
                <c:pt idx="7">
                  <c:v>1773174</c:v>
                </c:pt>
                <c:pt idx="8">
                  <c:v>1862134</c:v>
                </c:pt>
                <c:pt idx="9">
                  <c:v>1947575</c:v>
                </c:pt>
              </c:numCache>
            </c:numRef>
          </c:val>
        </c:ser>
        <c:dLbls>
          <c:showLegendKey val="0"/>
          <c:showVal val="0"/>
          <c:showCatName val="0"/>
          <c:showSerName val="0"/>
          <c:showPercent val="0"/>
          <c:showBubbleSize val="0"/>
        </c:dLbls>
        <c:gapWidth val="54"/>
        <c:overlap val="-6"/>
        <c:axId val="405888240"/>
        <c:axId val="405888632"/>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8"/>
              <c:layout>
                <c:manualLayout>
                  <c:x val="-1.4577258548055692E-2"/>
                  <c:y val="-4.04681827734798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Abr.2016</c:v>
                </c:pt>
              </c:strCache>
            </c:strRef>
          </c:cat>
          <c:val>
            <c:numRef>
              <c:f>'III.2.4.Cob.Afil. SFS RC Anual'!$G$4:$G$13</c:f>
              <c:numCache>
                <c:formatCode>0.00</c:formatCode>
                <c:ptCount val="10"/>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1.2071935427085219</c:v>
                </c:pt>
              </c:numCache>
            </c:numRef>
          </c:val>
          <c:smooth val="0"/>
        </c:ser>
        <c:dLbls>
          <c:showLegendKey val="0"/>
          <c:showVal val="0"/>
          <c:showCatName val="0"/>
          <c:showSerName val="0"/>
          <c:showPercent val="0"/>
          <c:showBubbleSize val="0"/>
        </c:dLbls>
        <c:marker val="1"/>
        <c:smooth val="0"/>
        <c:axId val="405889416"/>
        <c:axId val="405889024"/>
      </c:lineChart>
      <c:catAx>
        <c:axId val="405888240"/>
        <c:scaling>
          <c:orientation val="minMax"/>
        </c:scaling>
        <c:delete val="0"/>
        <c:axPos val="b"/>
        <c:numFmt formatCode="General" sourceLinked="0"/>
        <c:majorTickMark val="none"/>
        <c:minorTickMark val="none"/>
        <c:tickLblPos val="nextTo"/>
        <c:txPr>
          <a:bodyPr/>
          <a:lstStyle/>
          <a:p>
            <a:pPr>
              <a:defRPr sz="1600"/>
            </a:pPr>
            <a:endParaRPr lang="es-ES"/>
          </a:p>
        </c:txPr>
        <c:crossAx val="405888632"/>
        <c:crosses val="autoZero"/>
        <c:auto val="1"/>
        <c:lblAlgn val="ctr"/>
        <c:lblOffset val="100"/>
        <c:noMultiLvlLbl val="0"/>
      </c:catAx>
      <c:valAx>
        <c:axId val="405888632"/>
        <c:scaling>
          <c:orientation val="minMax"/>
        </c:scaling>
        <c:delete val="0"/>
        <c:axPos val="l"/>
        <c:numFmt formatCode="#,##0" sourceLinked="1"/>
        <c:majorTickMark val="none"/>
        <c:minorTickMark val="none"/>
        <c:tickLblPos val="nextTo"/>
        <c:crossAx val="405888240"/>
        <c:crosses val="autoZero"/>
        <c:crossBetween val="between"/>
      </c:valAx>
      <c:valAx>
        <c:axId val="405889024"/>
        <c:scaling>
          <c:orientation val="minMax"/>
          <c:max val="2"/>
        </c:scaling>
        <c:delete val="0"/>
        <c:axPos val="r"/>
        <c:numFmt formatCode="0.00" sourceLinked="1"/>
        <c:majorTickMark val="out"/>
        <c:minorTickMark val="none"/>
        <c:tickLblPos val="nextTo"/>
        <c:txPr>
          <a:bodyPr/>
          <a:lstStyle/>
          <a:p>
            <a:pPr>
              <a:defRPr sz="1200"/>
            </a:pPr>
            <a:endParaRPr lang="es-ES"/>
          </a:p>
        </c:txPr>
        <c:crossAx val="405889416"/>
        <c:crosses val="max"/>
        <c:crossBetween val="between"/>
      </c:valAx>
      <c:catAx>
        <c:axId val="405889416"/>
        <c:scaling>
          <c:orientation val="minMax"/>
        </c:scaling>
        <c:delete val="1"/>
        <c:axPos val="b"/>
        <c:numFmt formatCode="General" sourceLinked="1"/>
        <c:majorTickMark val="out"/>
        <c:minorTickMark val="none"/>
        <c:tickLblPos val="nextTo"/>
        <c:crossAx val="405889024"/>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38622547496831189"/>
          <c:y val="1.1000001154855764E-2"/>
        </c:manualLayout>
      </c:layout>
      <c:overlay val="0"/>
      <c:spPr>
        <a:ln>
          <a:noFill/>
        </a:ln>
      </c:spPr>
    </c:title>
    <c:autoTitleDeleted val="0"/>
    <c:plotArea>
      <c:layout>
        <c:manualLayout>
          <c:layoutTarget val="inner"/>
          <c:xMode val="edge"/>
          <c:yMode val="edge"/>
          <c:x val="5.1056332813831526E-2"/>
          <c:y val="0.186236374516453"/>
          <c:w val="0.88182633247248265"/>
          <c:h val="0.67126001669910129"/>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Abr.15</c:v>
                </c:pt>
                <c:pt idx="1">
                  <c:v>May.15</c:v>
                </c:pt>
                <c:pt idx="2">
                  <c:v>Jun.15</c:v>
                </c:pt>
                <c:pt idx="3">
                  <c:v>Jul.15</c:v>
                </c:pt>
                <c:pt idx="4">
                  <c:v>Ago.15</c:v>
                </c:pt>
                <c:pt idx="5">
                  <c:v>Sep.15</c:v>
                </c:pt>
                <c:pt idx="6">
                  <c:v>Oct.15</c:v>
                </c:pt>
                <c:pt idx="7">
                  <c:v>Nov.15</c:v>
                </c:pt>
                <c:pt idx="8">
                  <c:v>Dic.15</c:v>
                </c:pt>
                <c:pt idx="9">
                  <c:v>Ene.16</c:v>
                </c:pt>
                <c:pt idx="10">
                  <c:v>Feb.16</c:v>
                </c:pt>
                <c:pt idx="11">
                  <c:v>Mar.16</c:v>
                </c:pt>
                <c:pt idx="12">
                  <c:v>Abr.16</c:v>
                </c:pt>
              </c:strCache>
            </c:strRef>
          </c:cat>
          <c:val>
            <c:numRef>
              <c:f>' III.2.5.Cob.Afil.SFSRC Mens'!$B$4:$B$16</c:f>
              <c:numCache>
                <c:formatCode>#,##0</c:formatCode>
                <c:ptCount val="13"/>
                <c:pt idx="0">
                  <c:v>1507945</c:v>
                </c:pt>
                <c:pt idx="1">
                  <c:v>1511271</c:v>
                </c:pt>
                <c:pt idx="2">
                  <c:v>1516017</c:v>
                </c:pt>
                <c:pt idx="3">
                  <c:v>1521859</c:v>
                </c:pt>
                <c:pt idx="4">
                  <c:v>1529646</c:v>
                </c:pt>
                <c:pt idx="5">
                  <c:v>1520902</c:v>
                </c:pt>
                <c:pt idx="6">
                  <c:v>1551732</c:v>
                </c:pt>
                <c:pt idx="7">
                  <c:v>1548000</c:v>
                </c:pt>
                <c:pt idx="8">
                  <c:v>1544927</c:v>
                </c:pt>
                <c:pt idx="9">
                  <c:v>1563494</c:v>
                </c:pt>
                <c:pt idx="10">
                  <c:v>1562515</c:v>
                </c:pt>
                <c:pt idx="11">
                  <c:v>1619765</c:v>
                </c:pt>
                <c:pt idx="12">
                  <c:v>1613308</c:v>
                </c:pt>
              </c:numCache>
            </c:numRef>
          </c:val>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Abr.15</c:v>
                </c:pt>
                <c:pt idx="1">
                  <c:v>May.15</c:v>
                </c:pt>
                <c:pt idx="2">
                  <c:v>Jun.15</c:v>
                </c:pt>
                <c:pt idx="3">
                  <c:v>Jul.15</c:v>
                </c:pt>
                <c:pt idx="4">
                  <c:v>Ago.15</c:v>
                </c:pt>
                <c:pt idx="5">
                  <c:v>Sep.15</c:v>
                </c:pt>
                <c:pt idx="6">
                  <c:v>Oct.15</c:v>
                </c:pt>
                <c:pt idx="7">
                  <c:v>Nov.15</c:v>
                </c:pt>
                <c:pt idx="8">
                  <c:v>Dic.15</c:v>
                </c:pt>
                <c:pt idx="9">
                  <c:v>Ene.16</c:v>
                </c:pt>
                <c:pt idx="10">
                  <c:v>Feb.16</c:v>
                </c:pt>
                <c:pt idx="11">
                  <c:v>Mar.16</c:v>
                </c:pt>
                <c:pt idx="12">
                  <c:v>Abr.16</c:v>
                </c:pt>
              </c:strCache>
            </c:strRef>
          </c:cat>
          <c:val>
            <c:numRef>
              <c:f>' III.2.5.Cob.Afil.SFSRC Mens'!$C$4:$C$16</c:f>
              <c:numCache>
                <c:formatCode>#,##0</c:formatCode>
                <c:ptCount val="13"/>
                <c:pt idx="0">
                  <c:v>1822106</c:v>
                </c:pt>
                <c:pt idx="1">
                  <c:v>1837354</c:v>
                </c:pt>
                <c:pt idx="2">
                  <c:v>1843989</c:v>
                </c:pt>
                <c:pt idx="3">
                  <c:v>1843786</c:v>
                </c:pt>
                <c:pt idx="4">
                  <c:v>1856437</c:v>
                </c:pt>
                <c:pt idx="5">
                  <c:v>1853985</c:v>
                </c:pt>
                <c:pt idx="6">
                  <c:v>1877660</c:v>
                </c:pt>
                <c:pt idx="7">
                  <c:v>1887291</c:v>
                </c:pt>
                <c:pt idx="8">
                  <c:v>1862134</c:v>
                </c:pt>
                <c:pt idx="9">
                  <c:v>1913095</c:v>
                </c:pt>
                <c:pt idx="10">
                  <c:v>1893114</c:v>
                </c:pt>
                <c:pt idx="11">
                  <c:v>1961106</c:v>
                </c:pt>
                <c:pt idx="12">
                  <c:v>1947575</c:v>
                </c:pt>
              </c:numCache>
            </c:numRef>
          </c:val>
        </c:ser>
        <c:dLbls>
          <c:showLegendKey val="0"/>
          <c:showVal val="0"/>
          <c:showCatName val="0"/>
          <c:showSerName val="0"/>
          <c:showPercent val="0"/>
          <c:showBubbleSize val="0"/>
        </c:dLbls>
        <c:gapWidth val="30"/>
        <c:overlap val="-5"/>
        <c:axId val="405890200"/>
        <c:axId val="405890592"/>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Abr.15</c:v>
                </c:pt>
                <c:pt idx="1">
                  <c:v>May.15</c:v>
                </c:pt>
                <c:pt idx="2">
                  <c:v>Jun.15</c:v>
                </c:pt>
                <c:pt idx="3">
                  <c:v>Jul.15</c:v>
                </c:pt>
                <c:pt idx="4">
                  <c:v>Ago.15</c:v>
                </c:pt>
                <c:pt idx="5">
                  <c:v>Sep.15</c:v>
                </c:pt>
                <c:pt idx="6">
                  <c:v>Oct.15</c:v>
                </c:pt>
                <c:pt idx="7">
                  <c:v>Nov.15</c:v>
                </c:pt>
                <c:pt idx="8">
                  <c:v>Dic.15</c:v>
                </c:pt>
                <c:pt idx="9">
                  <c:v>Ene.16</c:v>
                </c:pt>
                <c:pt idx="10">
                  <c:v>Feb.16</c:v>
                </c:pt>
                <c:pt idx="11">
                  <c:v>Mar.16</c:v>
                </c:pt>
                <c:pt idx="12">
                  <c:v>Abr.16</c:v>
                </c:pt>
              </c:strCache>
            </c:strRef>
          </c:cat>
          <c:val>
            <c:numRef>
              <c:f>' III.2.5.Cob.Afil.SFSRC Mens'!$G$4:$G$16</c:f>
              <c:numCache>
                <c:formatCode>0.00</c:formatCode>
                <c:ptCount val="13"/>
                <c:pt idx="0">
                  <c:v>1.2083371741011775</c:v>
                </c:pt>
                <c:pt idx="1">
                  <c:v>1.215767390494491</c:v>
                </c:pt>
                <c:pt idx="2">
                  <c:v>1.2163379434399482</c:v>
                </c:pt>
                <c:pt idx="3">
                  <c:v>1.2115353656284846</c:v>
                </c:pt>
                <c:pt idx="4">
                  <c:v>1.2136383189313082</c:v>
                </c:pt>
                <c:pt idx="5">
                  <c:v>1.2190035912899055</c:v>
                </c:pt>
                <c:pt idx="6">
                  <c:v>1.2100414246790039</c:v>
                </c:pt>
                <c:pt idx="7">
                  <c:v>1.2191802325581396</c:v>
                </c:pt>
                <c:pt idx="8">
                  <c:v>1.2053216753930769</c:v>
                </c:pt>
                <c:pt idx="9">
                  <c:v>1.2236023931016045</c:v>
                </c:pt>
                <c:pt idx="10">
                  <c:v>1.2115813288192434</c:v>
                </c:pt>
                <c:pt idx="11">
                  <c:v>1.2107348905551114</c:v>
                </c:pt>
                <c:pt idx="12">
                  <c:v>1.2071935427085219</c:v>
                </c:pt>
              </c:numCache>
            </c:numRef>
          </c:val>
          <c:smooth val="0"/>
        </c:ser>
        <c:dLbls>
          <c:showLegendKey val="0"/>
          <c:showVal val="0"/>
          <c:showCatName val="0"/>
          <c:showSerName val="0"/>
          <c:showPercent val="0"/>
          <c:showBubbleSize val="0"/>
        </c:dLbls>
        <c:marker val="1"/>
        <c:smooth val="0"/>
        <c:axId val="405891376"/>
        <c:axId val="405890984"/>
      </c:lineChart>
      <c:catAx>
        <c:axId val="405890200"/>
        <c:scaling>
          <c:orientation val="minMax"/>
        </c:scaling>
        <c:delete val="0"/>
        <c:axPos val="b"/>
        <c:numFmt formatCode="General" sourceLinked="1"/>
        <c:majorTickMark val="none"/>
        <c:minorTickMark val="none"/>
        <c:tickLblPos val="nextTo"/>
        <c:txPr>
          <a:bodyPr/>
          <a:lstStyle/>
          <a:p>
            <a:pPr>
              <a:defRPr sz="2000"/>
            </a:pPr>
            <a:endParaRPr lang="es-ES"/>
          </a:p>
        </c:txPr>
        <c:crossAx val="405890592"/>
        <c:crosses val="autoZero"/>
        <c:auto val="1"/>
        <c:lblAlgn val="ctr"/>
        <c:lblOffset val="100"/>
        <c:noMultiLvlLbl val="1"/>
      </c:catAx>
      <c:valAx>
        <c:axId val="405890592"/>
        <c:scaling>
          <c:orientation val="minMax"/>
        </c:scaling>
        <c:delete val="0"/>
        <c:axPos val="l"/>
        <c:numFmt formatCode="#,##0" sourceLinked="1"/>
        <c:majorTickMark val="none"/>
        <c:minorTickMark val="none"/>
        <c:tickLblPos val="nextTo"/>
        <c:spPr>
          <a:ln w="9525">
            <a:noFill/>
          </a:ln>
        </c:spPr>
        <c:crossAx val="405890200"/>
        <c:crosses val="autoZero"/>
        <c:crossBetween val="between"/>
      </c:valAx>
      <c:valAx>
        <c:axId val="405890984"/>
        <c:scaling>
          <c:orientation val="minMax"/>
          <c:max val="1.4"/>
        </c:scaling>
        <c:delete val="0"/>
        <c:axPos val="r"/>
        <c:numFmt formatCode="0.00" sourceLinked="1"/>
        <c:majorTickMark val="out"/>
        <c:minorTickMark val="none"/>
        <c:tickLblPos val="nextTo"/>
        <c:crossAx val="405891376"/>
        <c:crosses val="max"/>
        <c:crossBetween val="between"/>
      </c:valAx>
      <c:catAx>
        <c:axId val="405891376"/>
        <c:scaling>
          <c:orientation val="minMax"/>
        </c:scaling>
        <c:delete val="1"/>
        <c:axPos val="b"/>
        <c:numFmt formatCode="General" sourceLinked="1"/>
        <c:majorTickMark val="out"/>
        <c:minorTickMark val="none"/>
        <c:tickLblPos val="nextTo"/>
        <c:crossAx val="405890984"/>
        <c:crosses val="autoZero"/>
        <c:auto val="1"/>
        <c:lblAlgn val="ctr"/>
        <c:lblOffset val="100"/>
        <c:noMultiLvlLbl val="1"/>
      </c:catAx>
    </c:plotArea>
    <c:legend>
      <c:legendPos val="t"/>
      <c:layout>
        <c:manualLayout>
          <c:xMode val="edge"/>
          <c:yMode val="edge"/>
          <c:x val="8.6536859855206941E-2"/>
          <c:y val="8.2190729708745455E-2"/>
          <c:w val="0.84298511138872934"/>
          <c:h val="4.902594604870647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9091729872246757"/>
          <c:y val="6.2946270406929973E-3"/>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0205483524093395E-2"/>
          <c:y val="0.16321624722581607"/>
          <c:w val="0.9306194811621803"/>
          <c:h val="0.61978098933520431"/>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ser>
        <c:ser>
          <c:idx val="30"/>
          <c:order val="30"/>
          <c:tx>
            <c:strRef>
              <c:f>'III.2.6.Afil. SFS RC X sex.tipo'!$A$36</c:f>
              <c:strCache>
                <c:ptCount val="1"/>
                <c:pt idx="0">
                  <c:v>Abr.16</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72405243277107E-3"/>
                  <c:y val="-4.5908074032720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450765422332753E-2"/>
                  <c:y val="-4.59639280309091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sex.tipo'!$B$36:$D$36,'III.2.6.Afil. SFS RC X sex.tipo'!$F$36:$H$36)</c:f>
              <c:numCache>
                <c:formatCode>#,##0</c:formatCode>
                <c:ptCount val="6"/>
                <c:pt idx="0">
                  <c:v>910093</c:v>
                </c:pt>
                <c:pt idx="1">
                  <c:v>783780</c:v>
                </c:pt>
                <c:pt idx="2">
                  <c:v>56748</c:v>
                </c:pt>
                <c:pt idx="3">
                  <c:v>668034</c:v>
                </c:pt>
                <c:pt idx="4">
                  <c:v>930855</c:v>
                </c:pt>
                <c:pt idx="5">
                  <c:v>124270</c:v>
                </c:pt>
              </c:numCache>
            </c:numRef>
          </c:val>
        </c:ser>
        <c:dLbls>
          <c:showLegendKey val="0"/>
          <c:showVal val="0"/>
          <c:showCatName val="0"/>
          <c:showSerName val="0"/>
          <c:showPercent val="0"/>
          <c:showBubbleSize val="0"/>
        </c:dLbls>
        <c:gapWidth val="75"/>
        <c:shape val="cylinder"/>
        <c:axId val="405891768"/>
        <c:axId val="405892160"/>
        <c:axId val="0"/>
      </c:bar3DChart>
      <c:catAx>
        <c:axId val="405891768"/>
        <c:scaling>
          <c:orientation val="minMax"/>
        </c:scaling>
        <c:delete val="0"/>
        <c:axPos val="b"/>
        <c:numFmt formatCode="General" sourceLinked="0"/>
        <c:majorTickMark val="none"/>
        <c:minorTickMark val="none"/>
        <c:tickLblPos val="nextTo"/>
        <c:txPr>
          <a:bodyPr/>
          <a:lstStyle/>
          <a:p>
            <a:pPr>
              <a:defRPr sz="1600" b="1"/>
            </a:pPr>
            <a:endParaRPr lang="es-ES"/>
          </a:p>
        </c:txPr>
        <c:crossAx val="405892160"/>
        <c:crosses val="autoZero"/>
        <c:auto val="1"/>
        <c:lblAlgn val="ctr"/>
        <c:lblOffset val="100"/>
        <c:noMultiLvlLbl val="0"/>
      </c:catAx>
      <c:valAx>
        <c:axId val="405892160"/>
        <c:scaling>
          <c:orientation val="minMax"/>
        </c:scaling>
        <c:delete val="1"/>
        <c:axPos val="l"/>
        <c:numFmt formatCode="#,##0" sourceLinked="1"/>
        <c:majorTickMark val="none"/>
        <c:minorTickMark val="none"/>
        <c:tickLblPos val="nextTo"/>
        <c:crossAx val="405891768"/>
        <c:crosses val="autoZero"/>
        <c:crossBetween val="between"/>
      </c:valAx>
    </c:plotArea>
    <c:legend>
      <c:legendPos val="t"/>
      <c:layout>
        <c:manualLayout>
          <c:xMode val="edge"/>
          <c:yMode val="edge"/>
          <c:x val="0.12339451755308141"/>
          <c:y val="5.3989032679680984E-2"/>
          <c:w val="0.72955046299995185"/>
          <c:h val="5.5306089462610689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Afiliación del Seguro Familiar de Salud del Régimen Subsidiado por Tipo</a:t>
            </a:r>
          </a:p>
        </c:rich>
      </c:tx>
      <c:layout>
        <c:manualLayout>
          <c:xMode val="edge"/>
          <c:yMode val="edge"/>
          <c:x val="0.29766888263690827"/>
          <c:y val="7.9340400496555104E-3"/>
        </c:manualLayout>
      </c:layout>
      <c:overlay val="0"/>
    </c:title>
    <c:autoTitleDeleted val="0"/>
    <c:plotArea>
      <c:layout>
        <c:manualLayout>
          <c:layoutTarget val="inner"/>
          <c:xMode val="edge"/>
          <c:yMode val="edge"/>
          <c:x val="7.2150977936048521E-2"/>
          <c:y val="0.15158097560427097"/>
          <c:w val="0.83932735226389676"/>
          <c:h val="0.69189636219259032"/>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'III.3.2. Afil anual SFS RS '!$D$4:$D$15</c:f>
              <c:numCache>
                <c:formatCode>_(* #,##0_);_(* \(#,##0\);_(* "-"??_);_(@_)</c:formatCode>
                <c:ptCount val="12"/>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1143739</c:v>
                </c:pt>
              </c:numCache>
            </c:numRef>
          </c:val>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'III.3.2. Afil anual SFS RS '!$C$4:$C$15</c:f>
              <c:numCache>
                <c:formatCode>_(* #,##0_);_(* \(#,##0\);_(* "-"??_);_(@_)</c:formatCode>
                <c:ptCount val="12"/>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2155008</c:v>
                </c:pt>
              </c:numCache>
            </c:numRef>
          </c:val>
        </c:ser>
        <c:dLbls>
          <c:showLegendKey val="0"/>
          <c:showVal val="0"/>
          <c:showCatName val="0"/>
          <c:showSerName val="0"/>
          <c:showPercent val="0"/>
          <c:showBubbleSize val="0"/>
        </c:dLbls>
        <c:gapWidth val="42"/>
        <c:overlap val="30"/>
        <c:axId val="405892944"/>
        <c:axId val="405893336"/>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chemeClr val="accent6">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'III.3.2. Afil anual SFS RS '!$H$4:$H$15</c:f>
              <c:numCache>
                <c:formatCode>_(* #,##0.00_);_(* \(#,##0.00\);_(* "-"??_);_(@_)</c:formatCode>
                <c:ptCount val="12"/>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0.5307353847410311</c:v>
                </c:pt>
              </c:numCache>
            </c:numRef>
          </c:val>
          <c:smooth val="0"/>
        </c:ser>
        <c:dLbls>
          <c:showLegendKey val="0"/>
          <c:showVal val="0"/>
          <c:showCatName val="0"/>
          <c:showSerName val="0"/>
          <c:showPercent val="0"/>
          <c:showBubbleSize val="0"/>
        </c:dLbls>
        <c:marker val="1"/>
        <c:smooth val="0"/>
        <c:axId val="405894120"/>
        <c:axId val="405893728"/>
      </c:lineChart>
      <c:catAx>
        <c:axId val="405892944"/>
        <c:scaling>
          <c:orientation val="minMax"/>
        </c:scaling>
        <c:delete val="0"/>
        <c:axPos val="b"/>
        <c:numFmt formatCode="General" sourceLinked="0"/>
        <c:majorTickMark val="none"/>
        <c:minorTickMark val="none"/>
        <c:tickLblPos val="nextTo"/>
        <c:txPr>
          <a:bodyPr/>
          <a:lstStyle/>
          <a:p>
            <a:pPr>
              <a:defRPr sz="1400"/>
            </a:pPr>
            <a:endParaRPr lang="es-ES"/>
          </a:p>
        </c:txPr>
        <c:crossAx val="405893336"/>
        <c:crosses val="autoZero"/>
        <c:auto val="1"/>
        <c:lblAlgn val="ctr"/>
        <c:lblOffset val="100"/>
        <c:noMultiLvlLbl val="0"/>
      </c:catAx>
      <c:valAx>
        <c:axId val="405893336"/>
        <c:scaling>
          <c:orientation val="minMax"/>
        </c:scaling>
        <c:delete val="0"/>
        <c:axPos val="l"/>
        <c:numFmt formatCode="_(* #,##0_);_(* \(#,##0\);_(* &quot;-&quot;??_);_(@_)" sourceLinked="1"/>
        <c:majorTickMark val="none"/>
        <c:minorTickMark val="none"/>
        <c:tickLblPos val="nextTo"/>
        <c:crossAx val="405892944"/>
        <c:crosses val="autoZero"/>
        <c:crossBetween val="between"/>
        <c:dispUnits>
          <c:builtInUnit val="thousands"/>
          <c:dispUnitsLbl>
            <c:layout>
              <c:manualLayout>
                <c:xMode val="edge"/>
                <c:yMode val="edge"/>
                <c:x val="2.9636341629642195E-3"/>
                <c:y val="0.49999979161390445"/>
              </c:manualLayout>
            </c:layout>
            <c:txPr>
              <a:bodyPr/>
              <a:lstStyle/>
              <a:p>
                <a:pPr>
                  <a:defRPr sz="1600"/>
                </a:pPr>
                <a:endParaRPr lang="es-ES"/>
              </a:p>
            </c:txPr>
          </c:dispUnitsLbl>
        </c:dispUnits>
      </c:valAx>
      <c:valAx>
        <c:axId val="405893728"/>
        <c:scaling>
          <c:orientation val="minMax"/>
          <c:max val="2"/>
        </c:scaling>
        <c:delete val="0"/>
        <c:axPos val="r"/>
        <c:numFmt formatCode="_(* #,##0.00_);_(* \(#,##0.00\);_(* &quot;-&quot;??_);_(@_)" sourceLinked="1"/>
        <c:majorTickMark val="out"/>
        <c:minorTickMark val="none"/>
        <c:tickLblPos val="nextTo"/>
        <c:crossAx val="405894120"/>
        <c:crosses val="max"/>
        <c:crossBetween val="between"/>
      </c:valAx>
      <c:catAx>
        <c:axId val="405894120"/>
        <c:scaling>
          <c:orientation val="minMax"/>
        </c:scaling>
        <c:delete val="1"/>
        <c:axPos val="b"/>
        <c:numFmt formatCode="General" sourceLinked="1"/>
        <c:majorTickMark val="out"/>
        <c:minorTickMark val="none"/>
        <c:tickLblPos val="nextTo"/>
        <c:crossAx val="405893728"/>
        <c:crosses val="autoZero"/>
        <c:auto val="1"/>
        <c:lblAlgn val="ctr"/>
        <c:lblOffset val="100"/>
        <c:noMultiLvlLbl val="0"/>
      </c:catAx>
    </c:plotArea>
    <c:legend>
      <c:legendPos val="t"/>
      <c:layout>
        <c:manualLayout>
          <c:xMode val="edge"/>
          <c:yMode val="edge"/>
          <c:x val="0.32420649376923394"/>
          <c:y val="6.2082250629853057E-2"/>
          <c:w val="0.36424851554520032"/>
          <c:h val="4.501844739663078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1196160244463402"/>
          <c:w val="0.8798449558478626"/>
          <c:h val="0.64150729644464588"/>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Abr.15</c:v>
                </c:pt>
                <c:pt idx="1">
                  <c:v>May.15</c:v>
                </c:pt>
                <c:pt idx="2">
                  <c:v>Jun.15</c:v>
                </c:pt>
                <c:pt idx="3">
                  <c:v>Jul.15</c:v>
                </c:pt>
                <c:pt idx="4">
                  <c:v>Ago.15</c:v>
                </c:pt>
                <c:pt idx="5">
                  <c:v>Sep.15</c:v>
                </c:pt>
                <c:pt idx="6">
                  <c:v>Oct.15</c:v>
                </c:pt>
                <c:pt idx="7">
                  <c:v>Nov.15</c:v>
                </c:pt>
                <c:pt idx="8">
                  <c:v>Dic.15</c:v>
                </c:pt>
                <c:pt idx="9">
                  <c:v>Ene.16</c:v>
                </c:pt>
                <c:pt idx="10">
                  <c:v>Feb.16</c:v>
                </c:pt>
                <c:pt idx="11">
                  <c:v>Mar.16</c:v>
                </c:pt>
                <c:pt idx="12">
                  <c:v>Abr.16</c:v>
                </c:pt>
              </c:strCache>
            </c:strRef>
          </c:cat>
          <c:val>
            <c:numRef>
              <c:f>' III.3.3.Afil.mensual SFS RS '!$B$4:$B$16</c:f>
              <c:numCache>
                <c:formatCode>_(* #,##0_);_(* \(#,##0\);_(* "-"??_);_(@_)</c:formatCode>
                <c:ptCount val="13"/>
                <c:pt idx="0">
                  <c:v>1811780</c:v>
                </c:pt>
                <c:pt idx="1">
                  <c:v>1806574</c:v>
                </c:pt>
                <c:pt idx="2">
                  <c:v>1832898</c:v>
                </c:pt>
                <c:pt idx="3">
                  <c:v>1847595</c:v>
                </c:pt>
                <c:pt idx="4">
                  <c:v>1855392</c:v>
                </c:pt>
                <c:pt idx="5">
                  <c:v>1966061</c:v>
                </c:pt>
                <c:pt idx="6">
                  <c:v>1962747</c:v>
                </c:pt>
                <c:pt idx="7">
                  <c:v>1993874</c:v>
                </c:pt>
                <c:pt idx="8">
                  <c:v>2164705</c:v>
                </c:pt>
                <c:pt idx="9">
                  <c:v>2155809</c:v>
                </c:pt>
                <c:pt idx="10">
                  <c:v>2129754</c:v>
                </c:pt>
                <c:pt idx="11">
                  <c:v>2136638</c:v>
                </c:pt>
                <c:pt idx="12">
                  <c:v>2155008</c:v>
                </c:pt>
              </c:numCache>
            </c:numRef>
          </c:val>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Abr.15</c:v>
                </c:pt>
                <c:pt idx="1">
                  <c:v>May.15</c:v>
                </c:pt>
                <c:pt idx="2">
                  <c:v>Jun.15</c:v>
                </c:pt>
                <c:pt idx="3">
                  <c:v>Jul.15</c:v>
                </c:pt>
                <c:pt idx="4">
                  <c:v>Ago.15</c:v>
                </c:pt>
                <c:pt idx="5">
                  <c:v>Sep.15</c:v>
                </c:pt>
                <c:pt idx="6">
                  <c:v>Oct.15</c:v>
                </c:pt>
                <c:pt idx="7">
                  <c:v>Nov.15</c:v>
                </c:pt>
                <c:pt idx="8">
                  <c:v>Dic.15</c:v>
                </c:pt>
                <c:pt idx="9">
                  <c:v>Ene.16</c:v>
                </c:pt>
                <c:pt idx="10">
                  <c:v>Feb.16</c:v>
                </c:pt>
                <c:pt idx="11">
                  <c:v>Mar.16</c:v>
                </c:pt>
                <c:pt idx="12">
                  <c:v>Abr.16</c:v>
                </c:pt>
              </c:strCache>
            </c:strRef>
          </c:cat>
          <c:val>
            <c:numRef>
              <c:f>' III.3.3.Afil.mensual SFS RS '!$C$4:$C$16</c:f>
              <c:numCache>
                <c:formatCode>_(* #,##0_);_(* \(#,##0\);_(* "-"??_);_(@_)</c:formatCode>
                <c:ptCount val="13"/>
                <c:pt idx="0">
                  <c:v>1221857</c:v>
                </c:pt>
                <c:pt idx="1">
                  <c:v>1211157</c:v>
                </c:pt>
                <c:pt idx="2">
                  <c:v>1210455</c:v>
                </c:pt>
                <c:pt idx="3">
                  <c:v>1215547</c:v>
                </c:pt>
                <c:pt idx="4">
                  <c:v>1220552</c:v>
                </c:pt>
                <c:pt idx="5">
                  <c:v>1109948</c:v>
                </c:pt>
                <c:pt idx="6">
                  <c:v>1118089</c:v>
                </c:pt>
                <c:pt idx="7">
                  <c:v>1113802</c:v>
                </c:pt>
                <c:pt idx="8">
                  <c:v>1152700</c:v>
                </c:pt>
                <c:pt idx="9">
                  <c:v>1157100</c:v>
                </c:pt>
                <c:pt idx="10">
                  <c:v>1142222</c:v>
                </c:pt>
                <c:pt idx="11">
                  <c:v>1140371</c:v>
                </c:pt>
                <c:pt idx="12">
                  <c:v>1143739</c:v>
                </c:pt>
              </c:numCache>
            </c:numRef>
          </c:val>
        </c:ser>
        <c:dLbls>
          <c:showLegendKey val="0"/>
          <c:showVal val="0"/>
          <c:showCatName val="0"/>
          <c:showSerName val="0"/>
          <c:showPercent val="0"/>
          <c:showBubbleSize val="0"/>
        </c:dLbls>
        <c:gapWidth val="13"/>
        <c:axId val="405894904"/>
        <c:axId val="40589529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Abr.15</c:v>
                </c:pt>
                <c:pt idx="1">
                  <c:v>May.15</c:v>
                </c:pt>
                <c:pt idx="2">
                  <c:v>Jun.15</c:v>
                </c:pt>
                <c:pt idx="3">
                  <c:v>Jul.15</c:v>
                </c:pt>
                <c:pt idx="4">
                  <c:v>Ago.15</c:v>
                </c:pt>
                <c:pt idx="5">
                  <c:v>Sep.15</c:v>
                </c:pt>
                <c:pt idx="6">
                  <c:v>Oct.15</c:v>
                </c:pt>
                <c:pt idx="7">
                  <c:v>Nov.15</c:v>
                </c:pt>
                <c:pt idx="8">
                  <c:v>Dic.15</c:v>
                </c:pt>
                <c:pt idx="9">
                  <c:v>Ene.16</c:v>
                </c:pt>
                <c:pt idx="10">
                  <c:v>Feb.16</c:v>
                </c:pt>
                <c:pt idx="11">
                  <c:v>Mar.16</c:v>
                </c:pt>
                <c:pt idx="12">
                  <c:v>Abr.16</c:v>
                </c:pt>
              </c:strCache>
            </c:strRef>
          </c:cat>
          <c:val>
            <c:numRef>
              <c:f>' III.3.3.Afil.mensual SFS RS '!$E$4:$E$16</c:f>
              <c:numCache>
                <c:formatCode>0.00</c:formatCode>
                <c:ptCount val="13"/>
                <c:pt idx="0">
                  <c:v>0.67439589795670551</c:v>
                </c:pt>
                <c:pt idx="1">
                  <c:v>0.67041648999708836</c:v>
                </c:pt>
                <c:pt idx="2">
                  <c:v>0.66040499798679464</c:v>
                </c:pt>
                <c:pt idx="3">
                  <c:v>0.65790771245862867</c:v>
                </c:pt>
                <c:pt idx="4">
                  <c:v>0.65784049947396561</c:v>
                </c:pt>
                <c:pt idx="5">
                  <c:v>0.56455420254000255</c:v>
                </c:pt>
                <c:pt idx="6">
                  <c:v>0.569655182252221</c:v>
                </c:pt>
                <c:pt idx="7">
                  <c:v>0.55861202864373571</c:v>
                </c:pt>
                <c:pt idx="8">
                  <c:v>0.53249749965930693</c:v>
                </c:pt>
                <c:pt idx="9">
                  <c:v>0.5367358611082893</c:v>
                </c:pt>
                <c:pt idx="10">
                  <c:v>0.53631640086132015</c:v>
                </c:pt>
                <c:pt idx="11">
                  <c:v>0.53372213730168616</c:v>
                </c:pt>
                <c:pt idx="12">
                  <c:v>0.5307353847410311</c:v>
                </c:pt>
              </c:numCache>
            </c:numRef>
          </c:val>
          <c:smooth val="0"/>
        </c:ser>
        <c:dLbls>
          <c:showLegendKey val="0"/>
          <c:showVal val="0"/>
          <c:showCatName val="0"/>
          <c:showSerName val="0"/>
          <c:showPercent val="0"/>
          <c:showBubbleSize val="0"/>
        </c:dLbls>
        <c:marker val="1"/>
        <c:smooth val="0"/>
        <c:axId val="405896080"/>
        <c:axId val="405895688"/>
      </c:lineChart>
      <c:catAx>
        <c:axId val="405894904"/>
        <c:scaling>
          <c:orientation val="minMax"/>
        </c:scaling>
        <c:delete val="0"/>
        <c:axPos val="b"/>
        <c:numFmt formatCode="General" sourceLinked="0"/>
        <c:majorTickMark val="none"/>
        <c:minorTickMark val="none"/>
        <c:tickLblPos val="nextTo"/>
        <c:crossAx val="405895296"/>
        <c:crosses val="autoZero"/>
        <c:auto val="1"/>
        <c:lblAlgn val="ctr"/>
        <c:lblOffset val="100"/>
        <c:noMultiLvlLbl val="0"/>
      </c:catAx>
      <c:valAx>
        <c:axId val="405895296"/>
        <c:scaling>
          <c:orientation val="minMax"/>
        </c:scaling>
        <c:delete val="0"/>
        <c:axPos val="l"/>
        <c:numFmt formatCode="_(* #,##0_);_(* \(#,##0\);_(* &quot;-&quot;??_);_(@_)" sourceLinked="1"/>
        <c:majorTickMark val="none"/>
        <c:minorTickMark val="none"/>
        <c:tickLblPos val="nextTo"/>
        <c:crossAx val="405894904"/>
        <c:crosses val="autoZero"/>
        <c:crossBetween val="between"/>
        <c:dispUnits>
          <c:builtInUnit val="thousands"/>
          <c:dispUnitsLbl>
            <c:layout>
              <c:manualLayout>
                <c:xMode val="edge"/>
                <c:yMode val="edge"/>
                <c:x val="1.0828647374547067E-3"/>
                <c:y val="0.47195036563477277"/>
              </c:manualLayout>
            </c:layout>
          </c:dispUnitsLbl>
        </c:dispUnits>
      </c:valAx>
      <c:valAx>
        <c:axId val="405895688"/>
        <c:scaling>
          <c:orientation val="minMax"/>
          <c:max val="2"/>
        </c:scaling>
        <c:delete val="0"/>
        <c:axPos val="r"/>
        <c:numFmt formatCode="0.00" sourceLinked="1"/>
        <c:majorTickMark val="out"/>
        <c:minorTickMark val="none"/>
        <c:tickLblPos val="nextTo"/>
        <c:crossAx val="405896080"/>
        <c:crosses val="max"/>
        <c:crossBetween val="between"/>
      </c:valAx>
      <c:catAx>
        <c:axId val="405896080"/>
        <c:scaling>
          <c:orientation val="minMax"/>
        </c:scaling>
        <c:delete val="1"/>
        <c:axPos val="b"/>
        <c:numFmt formatCode="General" sourceLinked="1"/>
        <c:majorTickMark val="out"/>
        <c:minorTickMark val="none"/>
        <c:tickLblPos val="nextTo"/>
        <c:crossAx val="405895688"/>
        <c:crosses val="autoZero"/>
        <c:auto val="1"/>
        <c:lblAlgn val="ctr"/>
        <c:lblOffset val="100"/>
        <c:noMultiLvlLbl val="0"/>
      </c:catAx>
    </c:plotArea>
    <c:legend>
      <c:legendPos val="t"/>
      <c:layout>
        <c:manualLayout>
          <c:xMode val="edge"/>
          <c:yMode val="edge"/>
          <c:x val="0.29223026848067796"/>
          <c:y val="7.5263245704103102E-2"/>
          <c:w val="0.43535437340299893"/>
          <c:h val="4.5519911367861814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al Seguro Familiar de Salud del Régimen Subsidiado por Tipo</a:t>
            </a:r>
          </a:p>
        </c:rich>
      </c:tx>
      <c:layout>
        <c:manualLayout>
          <c:xMode val="edge"/>
          <c:yMode val="edge"/>
          <c:x val="0.27738726594006841"/>
          <c:y val="2.9088082875841793E-2"/>
        </c:manualLayout>
      </c:layout>
      <c:overlay val="0"/>
    </c:title>
    <c:autoTitleDeleted val="0"/>
    <c:plotArea>
      <c:layout>
        <c:manualLayout>
          <c:layoutTarget val="inner"/>
          <c:xMode val="edge"/>
          <c:yMode val="edge"/>
          <c:x val="7.9276253419256967E-2"/>
          <c:y val="0.15089320639604492"/>
          <c:w val="0.87372801257662214"/>
          <c:h val="0.68415029010058692"/>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'III.3.4.Cob.Afil anual SFS RS'!$B$4:$B$15</c:f>
              <c:numCache>
                <c:formatCode>_(* #,##0_);_(* \(#,##0\);_(* "-"??_);_(@_)</c:formatCode>
                <c:ptCount val="12"/>
                <c:pt idx="0">
                  <c:v>0</c:v>
                </c:pt>
                <c:pt idx="1">
                  <c:v>254831</c:v>
                </c:pt>
                <c:pt idx="2">
                  <c:v>473647</c:v>
                </c:pt>
                <c:pt idx="3">
                  <c:v>489949</c:v>
                </c:pt>
                <c:pt idx="4">
                  <c:v>575190</c:v>
                </c:pt>
                <c:pt idx="5">
                  <c:v>880620</c:v>
                </c:pt>
                <c:pt idx="6">
                  <c:v>885431</c:v>
                </c:pt>
                <c:pt idx="7">
                  <c:v>1170009</c:v>
                </c:pt>
                <c:pt idx="8">
                  <c:v>1467184</c:v>
                </c:pt>
                <c:pt idx="9">
                  <c:v>1795214</c:v>
                </c:pt>
                <c:pt idx="10">
                  <c:v>1993874</c:v>
                </c:pt>
                <c:pt idx="11">
                  <c:v>2136638</c:v>
                </c:pt>
              </c:numCache>
            </c:numRef>
          </c:val>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'III.3.4.Cob.Afil anual SFS RS'!$C$4:$C$15</c:f>
              <c:numCache>
                <c:formatCode>_(* #,##0_);_(* \(#,##0\);_(* "-"??_);_(@_)</c:formatCode>
                <c:ptCount val="12"/>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1140563</c:v>
                </c:pt>
              </c:numCache>
            </c:numRef>
          </c:val>
        </c:ser>
        <c:dLbls>
          <c:showLegendKey val="0"/>
          <c:showVal val="0"/>
          <c:showCatName val="0"/>
          <c:showSerName val="0"/>
          <c:showPercent val="0"/>
          <c:showBubbleSize val="0"/>
        </c:dLbls>
        <c:gapWidth val="23"/>
        <c:axId val="405897256"/>
        <c:axId val="40589764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100">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'III.3.4.Cob.Afil anual SFS RS'!$E$4:$E$15</c:f>
              <c:numCache>
                <c:formatCode>0.00</c:formatCode>
                <c:ptCount val="12"/>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0.53381199810169055</c:v>
                </c:pt>
              </c:numCache>
            </c:numRef>
          </c:val>
          <c:smooth val="0"/>
        </c:ser>
        <c:dLbls>
          <c:showLegendKey val="0"/>
          <c:showVal val="0"/>
          <c:showCatName val="0"/>
          <c:showSerName val="0"/>
          <c:showPercent val="0"/>
          <c:showBubbleSize val="0"/>
        </c:dLbls>
        <c:marker val="1"/>
        <c:smooth val="0"/>
        <c:axId val="405898432"/>
        <c:axId val="405898040"/>
      </c:lineChart>
      <c:catAx>
        <c:axId val="405897256"/>
        <c:scaling>
          <c:orientation val="minMax"/>
        </c:scaling>
        <c:delete val="0"/>
        <c:axPos val="b"/>
        <c:numFmt formatCode="General" sourceLinked="0"/>
        <c:majorTickMark val="none"/>
        <c:minorTickMark val="none"/>
        <c:tickLblPos val="nextTo"/>
        <c:txPr>
          <a:bodyPr/>
          <a:lstStyle/>
          <a:p>
            <a:pPr>
              <a:defRPr sz="1400"/>
            </a:pPr>
            <a:endParaRPr lang="es-ES"/>
          </a:p>
        </c:txPr>
        <c:crossAx val="405897648"/>
        <c:crosses val="autoZero"/>
        <c:auto val="1"/>
        <c:lblAlgn val="ctr"/>
        <c:lblOffset val="100"/>
        <c:noMultiLvlLbl val="0"/>
      </c:catAx>
      <c:valAx>
        <c:axId val="405897648"/>
        <c:scaling>
          <c:orientation val="minMax"/>
        </c:scaling>
        <c:delete val="0"/>
        <c:axPos val="l"/>
        <c:numFmt formatCode="_(* #,##0_);_(* \(#,##0\);_(* &quot;-&quot;??_);_(@_)" sourceLinked="1"/>
        <c:majorTickMark val="none"/>
        <c:minorTickMark val="none"/>
        <c:tickLblPos val="nextTo"/>
        <c:crossAx val="405897256"/>
        <c:crosses val="autoZero"/>
        <c:crossBetween val="between"/>
        <c:dispUnits>
          <c:builtInUnit val="thousands"/>
          <c:dispUnitsLbl>
            <c:layout>
              <c:manualLayout>
                <c:xMode val="edge"/>
                <c:yMode val="edge"/>
                <c:x val="1.2951194514390361E-2"/>
                <c:y val="0.3400211644775884"/>
              </c:manualLayout>
            </c:layout>
            <c:txPr>
              <a:bodyPr/>
              <a:lstStyle/>
              <a:p>
                <a:pPr>
                  <a:defRPr sz="1200"/>
                </a:pPr>
                <a:endParaRPr lang="es-ES"/>
              </a:p>
            </c:txPr>
          </c:dispUnitsLbl>
        </c:dispUnits>
      </c:valAx>
      <c:valAx>
        <c:axId val="405898040"/>
        <c:scaling>
          <c:orientation val="minMax"/>
          <c:max val="2"/>
        </c:scaling>
        <c:delete val="0"/>
        <c:axPos val="r"/>
        <c:numFmt formatCode="0.00" sourceLinked="1"/>
        <c:majorTickMark val="out"/>
        <c:minorTickMark val="none"/>
        <c:tickLblPos val="nextTo"/>
        <c:crossAx val="405898432"/>
        <c:crosses val="max"/>
        <c:crossBetween val="between"/>
      </c:valAx>
      <c:catAx>
        <c:axId val="405898432"/>
        <c:scaling>
          <c:orientation val="minMax"/>
        </c:scaling>
        <c:delete val="1"/>
        <c:axPos val="b"/>
        <c:numFmt formatCode="General" sourceLinked="1"/>
        <c:majorTickMark val="out"/>
        <c:minorTickMark val="none"/>
        <c:tickLblPos val="nextTo"/>
        <c:crossAx val="405898040"/>
        <c:crosses val="autoZero"/>
        <c:auto val="1"/>
        <c:lblAlgn val="ctr"/>
        <c:lblOffset val="100"/>
        <c:noMultiLvlLbl val="0"/>
      </c:catAx>
    </c:plotArea>
    <c:legend>
      <c:legendPos val="t"/>
      <c:layout>
        <c:manualLayout>
          <c:xMode val="edge"/>
          <c:yMode val="edge"/>
          <c:x val="0.29313770503428255"/>
          <c:y val="9.2476870434776925E-2"/>
          <c:w val="0.4962387002413492"/>
          <c:h val="4.3833106933633174E-2"/>
        </c:manualLayout>
      </c:layout>
      <c:overlay val="0"/>
      <c:txPr>
        <a:bodyPr/>
        <a:lstStyle/>
        <a:p>
          <a:pPr>
            <a:defRPr sz="105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Mensual  SFS del  RS por Tipo</a:t>
            </a:r>
          </a:p>
        </c:rich>
      </c:tx>
      <c:layout>
        <c:manualLayout>
          <c:xMode val="edge"/>
          <c:yMode val="edge"/>
          <c:x val="0.31255480083526921"/>
          <c:y val="2.5776960782343251E-2"/>
        </c:manualLayout>
      </c:layout>
      <c:overlay val="0"/>
    </c:title>
    <c:autoTitleDeleted val="0"/>
    <c:plotArea>
      <c:layout>
        <c:manualLayout>
          <c:layoutTarget val="inner"/>
          <c:xMode val="edge"/>
          <c:yMode val="edge"/>
          <c:x val="5.9118191480688163E-2"/>
          <c:y val="0.18940400436286017"/>
          <c:w val="0.88874284453991548"/>
          <c:h val="0.66057157799022659"/>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Abr.15</c:v>
                </c:pt>
                <c:pt idx="1">
                  <c:v>May.15</c:v>
                </c:pt>
                <c:pt idx="2">
                  <c:v>Jun.15</c:v>
                </c:pt>
                <c:pt idx="3">
                  <c:v>Jul.15</c:v>
                </c:pt>
                <c:pt idx="4">
                  <c:v>Ago.15</c:v>
                </c:pt>
                <c:pt idx="5">
                  <c:v>Sep.15</c:v>
                </c:pt>
                <c:pt idx="6">
                  <c:v>Oct.15</c:v>
                </c:pt>
                <c:pt idx="7">
                  <c:v>Nov.15</c:v>
                </c:pt>
                <c:pt idx="8">
                  <c:v>Dic.15</c:v>
                </c:pt>
                <c:pt idx="9">
                  <c:v>Ene.16</c:v>
                </c:pt>
                <c:pt idx="10">
                  <c:v>Feb.16</c:v>
                </c:pt>
                <c:pt idx="11">
                  <c:v>Mar.16</c:v>
                </c:pt>
                <c:pt idx="12">
                  <c:v>Abr.16</c:v>
                </c:pt>
              </c:strCache>
            </c:strRef>
          </c:cat>
          <c:val>
            <c:numRef>
              <c:f>'III.3.5.Cob.Afil.mens.SFS RS '!$B$4:$B$16</c:f>
              <c:numCache>
                <c:formatCode>_(* #,##0_);_(* \(#,##0\);_(* "-"??_);_(@_)</c:formatCode>
                <c:ptCount val="13"/>
                <c:pt idx="0">
                  <c:v>1806581</c:v>
                </c:pt>
                <c:pt idx="1">
                  <c:v>1811780</c:v>
                </c:pt>
                <c:pt idx="2">
                  <c:v>1823787</c:v>
                </c:pt>
                <c:pt idx="3">
                  <c:v>1832898</c:v>
                </c:pt>
                <c:pt idx="4">
                  <c:v>1847595</c:v>
                </c:pt>
                <c:pt idx="5">
                  <c:v>1855392</c:v>
                </c:pt>
                <c:pt idx="6">
                  <c:v>1966061</c:v>
                </c:pt>
                <c:pt idx="7">
                  <c:v>1962747</c:v>
                </c:pt>
                <c:pt idx="8">
                  <c:v>1993874</c:v>
                </c:pt>
                <c:pt idx="9">
                  <c:v>2164705</c:v>
                </c:pt>
                <c:pt idx="10">
                  <c:v>2155809</c:v>
                </c:pt>
                <c:pt idx="11">
                  <c:v>2129754</c:v>
                </c:pt>
                <c:pt idx="12">
                  <c:v>2136638</c:v>
                </c:pt>
              </c:numCache>
            </c:numRef>
          </c:val>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solidFill>
                      <a:srgbClr val="A79E23"/>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Abr.15</c:v>
                </c:pt>
                <c:pt idx="1">
                  <c:v>May.15</c:v>
                </c:pt>
                <c:pt idx="2">
                  <c:v>Jun.15</c:v>
                </c:pt>
                <c:pt idx="3">
                  <c:v>Jul.15</c:v>
                </c:pt>
                <c:pt idx="4">
                  <c:v>Ago.15</c:v>
                </c:pt>
                <c:pt idx="5">
                  <c:v>Sep.15</c:v>
                </c:pt>
                <c:pt idx="6">
                  <c:v>Oct.15</c:v>
                </c:pt>
                <c:pt idx="7">
                  <c:v>Nov.15</c:v>
                </c:pt>
                <c:pt idx="8">
                  <c:v>Dic.15</c:v>
                </c:pt>
                <c:pt idx="9">
                  <c:v>Ene.16</c:v>
                </c:pt>
                <c:pt idx="10">
                  <c:v>Feb.16</c:v>
                </c:pt>
                <c:pt idx="11">
                  <c:v>Mar.16</c:v>
                </c:pt>
                <c:pt idx="12">
                  <c:v>Abr.16</c:v>
                </c:pt>
              </c:strCache>
            </c:strRef>
          </c:cat>
          <c:val>
            <c:numRef>
              <c:f>'III.3.5.Cob.Afil.mens.SFS RS '!$C$4:$C$16</c:f>
              <c:numCache>
                <c:formatCode>_(* #,##0_);_(* \(#,##0\);_(* "-"??_);_(@_)</c:formatCode>
                <c:ptCount val="13"/>
                <c:pt idx="0">
                  <c:v>1225984</c:v>
                </c:pt>
                <c:pt idx="1">
                  <c:v>1221857</c:v>
                </c:pt>
                <c:pt idx="2">
                  <c:v>1213761</c:v>
                </c:pt>
                <c:pt idx="3">
                  <c:v>1211174</c:v>
                </c:pt>
                <c:pt idx="4">
                  <c:v>1215547</c:v>
                </c:pt>
                <c:pt idx="5">
                  <c:v>1222537</c:v>
                </c:pt>
                <c:pt idx="6">
                  <c:v>1109948</c:v>
                </c:pt>
                <c:pt idx="7">
                  <c:v>1126925</c:v>
                </c:pt>
                <c:pt idx="8">
                  <c:v>1116683</c:v>
                </c:pt>
                <c:pt idx="9">
                  <c:v>1152700</c:v>
                </c:pt>
                <c:pt idx="10">
                  <c:v>1159613</c:v>
                </c:pt>
                <c:pt idx="11">
                  <c:v>1142222</c:v>
                </c:pt>
                <c:pt idx="12">
                  <c:v>1140563</c:v>
                </c:pt>
              </c:numCache>
            </c:numRef>
          </c:val>
        </c:ser>
        <c:dLbls>
          <c:showLegendKey val="0"/>
          <c:showVal val="0"/>
          <c:showCatName val="0"/>
          <c:showSerName val="0"/>
          <c:showPercent val="0"/>
          <c:showBubbleSize val="0"/>
        </c:dLbls>
        <c:gapWidth val="49"/>
        <c:overlap val="9"/>
        <c:axId val="405899608"/>
        <c:axId val="40590000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Abr.15</c:v>
                </c:pt>
                <c:pt idx="1">
                  <c:v>May.15</c:v>
                </c:pt>
                <c:pt idx="2">
                  <c:v>Jun.15</c:v>
                </c:pt>
                <c:pt idx="3">
                  <c:v>Jul.15</c:v>
                </c:pt>
                <c:pt idx="4">
                  <c:v>Ago.15</c:v>
                </c:pt>
                <c:pt idx="5">
                  <c:v>Sep.15</c:v>
                </c:pt>
                <c:pt idx="6">
                  <c:v>Oct.15</c:v>
                </c:pt>
                <c:pt idx="7">
                  <c:v>Nov.15</c:v>
                </c:pt>
                <c:pt idx="8">
                  <c:v>Dic.15</c:v>
                </c:pt>
                <c:pt idx="9">
                  <c:v>Ene.16</c:v>
                </c:pt>
                <c:pt idx="10">
                  <c:v>Feb.16</c:v>
                </c:pt>
                <c:pt idx="11">
                  <c:v>Mar.16</c:v>
                </c:pt>
                <c:pt idx="12">
                  <c:v>Abr.16</c:v>
                </c:pt>
              </c:strCache>
            </c:strRef>
          </c:cat>
          <c:val>
            <c:numRef>
              <c:f>'III.3.5.Cob.Afil.mens.SFS RS '!$E$4:$E$16</c:f>
              <c:numCache>
                <c:formatCode>0.00</c:formatCode>
                <c:ptCount val="13"/>
                <c:pt idx="0">
                  <c:v>0.67862110804885034</c:v>
                </c:pt>
                <c:pt idx="1">
                  <c:v>0.67439589795670551</c:v>
                </c:pt>
                <c:pt idx="2">
                  <c:v>0.66551686134400567</c:v>
                </c:pt>
                <c:pt idx="3">
                  <c:v>0.66079727295245017</c:v>
                </c:pt>
                <c:pt idx="4">
                  <c:v>0.65790771245862867</c:v>
                </c:pt>
                <c:pt idx="5">
                  <c:v>0.6589103542539797</c:v>
                </c:pt>
                <c:pt idx="6">
                  <c:v>0.56455420254000255</c:v>
                </c:pt>
                <c:pt idx="7">
                  <c:v>0.57415703603164336</c:v>
                </c:pt>
                <c:pt idx="8">
                  <c:v>0.57415703603164336</c:v>
                </c:pt>
                <c:pt idx="9">
                  <c:v>0.53249749965930693</c:v>
                </c:pt>
                <c:pt idx="10">
                  <c:v>0.53790154879212393</c:v>
                </c:pt>
                <c:pt idx="11">
                  <c:v>0.53631640086132015</c:v>
                </c:pt>
                <c:pt idx="12">
                  <c:v>0.53381199810169055</c:v>
                </c:pt>
              </c:numCache>
            </c:numRef>
          </c:val>
          <c:smooth val="1"/>
        </c:ser>
        <c:dLbls>
          <c:showLegendKey val="0"/>
          <c:showVal val="0"/>
          <c:showCatName val="0"/>
          <c:showSerName val="0"/>
          <c:showPercent val="0"/>
          <c:showBubbleSize val="0"/>
        </c:dLbls>
        <c:marker val="1"/>
        <c:smooth val="0"/>
        <c:axId val="405900784"/>
        <c:axId val="405900392"/>
      </c:lineChart>
      <c:catAx>
        <c:axId val="405899608"/>
        <c:scaling>
          <c:orientation val="minMax"/>
        </c:scaling>
        <c:delete val="0"/>
        <c:axPos val="b"/>
        <c:numFmt formatCode="General" sourceLinked="0"/>
        <c:majorTickMark val="none"/>
        <c:minorTickMark val="none"/>
        <c:tickLblPos val="nextTo"/>
        <c:txPr>
          <a:bodyPr/>
          <a:lstStyle/>
          <a:p>
            <a:pPr>
              <a:defRPr sz="1200"/>
            </a:pPr>
            <a:endParaRPr lang="es-ES"/>
          </a:p>
        </c:txPr>
        <c:crossAx val="405900000"/>
        <c:crosses val="autoZero"/>
        <c:auto val="1"/>
        <c:lblAlgn val="ctr"/>
        <c:lblOffset val="100"/>
        <c:noMultiLvlLbl val="0"/>
      </c:catAx>
      <c:valAx>
        <c:axId val="405900000"/>
        <c:scaling>
          <c:orientation val="minMax"/>
        </c:scaling>
        <c:delete val="0"/>
        <c:axPos val="l"/>
        <c:numFmt formatCode="_(* #,##0_);_(* \(#,##0\);_(* &quot;-&quot;??_);_(@_)" sourceLinked="1"/>
        <c:majorTickMark val="none"/>
        <c:minorTickMark val="none"/>
        <c:tickLblPos val="nextTo"/>
        <c:txPr>
          <a:bodyPr/>
          <a:lstStyle/>
          <a:p>
            <a:pPr>
              <a:defRPr sz="700"/>
            </a:pPr>
            <a:endParaRPr lang="es-ES"/>
          </a:p>
        </c:txPr>
        <c:crossAx val="405899608"/>
        <c:crosses val="autoZero"/>
        <c:crossBetween val="between"/>
        <c:dispUnits>
          <c:builtInUnit val="thousands"/>
          <c:dispUnitsLbl>
            <c:layout>
              <c:manualLayout>
                <c:xMode val="edge"/>
                <c:yMode val="edge"/>
                <c:x val="2.7319432390949276E-3"/>
                <c:y val="0.43891842524799957"/>
              </c:manualLayout>
            </c:layout>
          </c:dispUnitsLbl>
        </c:dispUnits>
      </c:valAx>
      <c:valAx>
        <c:axId val="405900392"/>
        <c:scaling>
          <c:orientation val="minMax"/>
          <c:max val="2"/>
        </c:scaling>
        <c:delete val="0"/>
        <c:axPos val="r"/>
        <c:numFmt formatCode="0.00" sourceLinked="1"/>
        <c:majorTickMark val="out"/>
        <c:minorTickMark val="none"/>
        <c:tickLblPos val="nextTo"/>
        <c:crossAx val="405900784"/>
        <c:crosses val="max"/>
        <c:crossBetween val="between"/>
      </c:valAx>
      <c:catAx>
        <c:axId val="405900784"/>
        <c:scaling>
          <c:orientation val="minMax"/>
        </c:scaling>
        <c:delete val="1"/>
        <c:axPos val="b"/>
        <c:numFmt formatCode="General" sourceLinked="1"/>
        <c:majorTickMark val="out"/>
        <c:minorTickMark val="none"/>
        <c:tickLblPos val="nextTo"/>
        <c:crossAx val="405900392"/>
        <c:crosses val="autoZero"/>
        <c:auto val="1"/>
        <c:lblAlgn val="ctr"/>
        <c:lblOffset val="100"/>
        <c:noMultiLvlLbl val="0"/>
      </c:catAx>
    </c:plotArea>
    <c:legend>
      <c:legendPos val="t"/>
      <c:layout>
        <c:manualLayout>
          <c:xMode val="edge"/>
          <c:yMode val="edge"/>
          <c:x val="0.12663825409139698"/>
          <c:y val="0.10012968111021521"/>
          <c:w val="0.74764552550085339"/>
          <c:h val="4.7811295559884504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Afiliados al Seguro Familiar de  Salud del Régimen Subsidiado por Sexo y Tipo de Afiliación</a:t>
            </a:r>
          </a:p>
        </c:rich>
      </c:tx>
      <c:layout>
        <c:manualLayout>
          <c:xMode val="edge"/>
          <c:yMode val="edge"/>
          <c:x val="0.18492111330610286"/>
          <c:y val="2.0117586047278164E-2"/>
        </c:manualLayout>
      </c:layout>
      <c:overlay val="0"/>
    </c:title>
    <c:autoTitleDeleted val="0"/>
    <c:view3D>
      <c:rotX val="0"/>
      <c:rotY val="0"/>
      <c:rAngAx val="0"/>
    </c:view3D>
    <c:floor>
      <c:thickness val="0"/>
    </c:floor>
    <c:sideWall>
      <c:thickness val="0"/>
    </c:sideWall>
    <c:backWall>
      <c:thickness val="0"/>
    </c:backWall>
    <c:plotArea>
      <c:layout>
        <c:manualLayout>
          <c:layoutTarget val="inner"/>
          <c:xMode val="edge"/>
          <c:yMode val="edge"/>
          <c:x val="3.2733745052244999E-4"/>
          <c:y val="0.18591076115485561"/>
          <c:w val="0.98145048639769739"/>
          <c:h val="0.58079184877896373"/>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'III.3.6.Afil.SFSRSsex tipo '!$B$5</c:f>
              <c:strCache>
                <c:ptCount val="1"/>
                <c:pt idx="0">
                  <c:v>Dic.07</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ser>
        <c:ser>
          <c:idx val="23"/>
          <c:order val="23"/>
          <c:tx>
            <c:strRef>
              <c:f>'III.3.6.Afil.SFSRSsex tipo '!$B$6</c:f>
              <c:strCache>
                <c:ptCount val="1"/>
                <c:pt idx="0">
                  <c:v>Dic.08</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ser>
        <c:ser>
          <c:idx val="24"/>
          <c:order val="24"/>
          <c:tx>
            <c:strRef>
              <c:f>'III.3.6.Afil.SFSRSsex tipo '!$B$7</c:f>
              <c:strCache>
                <c:ptCount val="1"/>
                <c:pt idx="0">
                  <c:v>Dic.09</c:v>
                </c:pt>
              </c:strCache>
            </c:strRef>
          </c:tx>
          <c:spPr>
            <a:solidFill>
              <a:srgbClr val="FFFF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ser>
        <c:ser>
          <c:idx val="25"/>
          <c:order val="25"/>
          <c:tx>
            <c:strRef>
              <c:f>'III.3.6.Afil.SFSRSsex tipo '!$B$8</c:f>
              <c:strCache>
                <c:ptCount val="1"/>
                <c:pt idx="0">
                  <c:v>Dic.10</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ser>
        <c:ser>
          <c:idx val="26"/>
          <c:order val="26"/>
          <c:tx>
            <c:strRef>
              <c:f>'III.3.6.Afil.SFSRSsex tipo '!$B$9</c:f>
              <c:strCache>
                <c:ptCount val="1"/>
                <c:pt idx="0">
                  <c:v>Dic.11</c:v>
                </c:pt>
              </c:strCache>
            </c:strRef>
          </c:tx>
          <c:spPr>
            <a:solidFill>
              <a:srgbClr val="92D05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ser>
        <c:ser>
          <c:idx val="27"/>
          <c:order val="27"/>
          <c:tx>
            <c:strRef>
              <c:f>'III.3.6.Afil.SFSRSsex tipo '!$B$10</c:f>
              <c:strCache>
                <c:ptCount val="1"/>
                <c:pt idx="0">
                  <c:v>Dic.12</c:v>
                </c:pt>
              </c:strCache>
            </c:strRef>
          </c:tx>
          <c:spPr>
            <a:solidFill>
              <a:srgbClr val="7030A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ser>
        <c:ser>
          <c:idx val="28"/>
          <c:order val="28"/>
          <c:tx>
            <c:strRef>
              <c:f>'III.3.6.Afil.SFSRSsex tipo '!$B$11</c:f>
              <c:strCache>
                <c:ptCount val="1"/>
                <c:pt idx="0">
                  <c:v>Dic.13</c:v>
                </c:pt>
              </c:strCache>
            </c:strRef>
          </c:tx>
          <c:spPr>
            <a:solidFill>
              <a:schemeClr val="bg2">
                <a:lumMod val="50000"/>
              </a:schemeClr>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ser>
        <c:ser>
          <c:idx val="29"/>
          <c:order val="29"/>
          <c:tx>
            <c:strRef>
              <c:f>'III.3.6.Afil.SFSRSsex tipo '!$B$12</c:f>
              <c:strCache>
                <c:ptCount val="1"/>
                <c:pt idx="0">
                  <c:v>Dic.14</c:v>
                </c:pt>
              </c:strCache>
            </c:strRef>
          </c:tx>
          <c:spPr>
            <a:solidFill>
              <a:srgbClr val="FF66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ser>
        <c:ser>
          <c:idx val="30"/>
          <c:order val="30"/>
          <c:tx>
            <c:strRef>
              <c:f>'III.3.6.Afil.SFSRSsex tipo '!$B$14</c:f>
              <c:strCache>
                <c:ptCount val="1"/>
                <c:pt idx="0">
                  <c:v>Abr.16</c:v>
                </c:pt>
              </c:strCache>
            </c:strRef>
          </c:tx>
          <c:spPr>
            <a:solidFill>
              <a:schemeClr val="bg1">
                <a:lumMod val="50000"/>
              </a:schemeClr>
            </a:solidFill>
          </c:spPr>
          <c:invertIfNegative val="0"/>
          <c:dLbls>
            <c:dLbl>
              <c:idx val="0"/>
              <c:layout>
                <c:manualLayout>
                  <c:x val="5.5574867310280614E-3"/>
                  <c:y val="1.4417322834645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2774852776668696E-4"/>
                  <c:y val="2.6009496896681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4869848007461086E-3"/>
                  <c:y val="-1.6052552316437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7499216387062892E-3"/>
                  <c:y val="-2.711655233321118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954752</c:v>
                </c:pt>
                <c:pt idx="1">
                  <c:v>600555</c:v>
                </c:pt>
                <c:pt idx="2">
                  <c:v>1200256</c:v>
                </c:pt>
                <c:pt idx="3">
                  <c:v>543184</c:v>
                </c:pt>
              </c:numCache>
            </c:numRef>
          </c:val>
        </c:ser>
        <c:dLbls>
          <c:showLegendKey val="0"/>
          <c:showVal val="0"/>
          <c:showCatName val="0"/>
          <c:showSerName val="0"/>
          <c:showPercent val="0"/>
          <c:showBubbleSize val="0"/>
        </c:dLbls>
        <c:gapWidth val="75"/>
        <c:shape val="cylinder"/>
        <c:axId val="405918264"/>
        <c:axId val="405918656"/>
        <c:axId val="0"/>
      </c:bar3DChart>
      <c:catAx>
        <c:axId val="405918264"/>
        <c:scaling>
          <c:orientation val="minMax"/>
        </c:scaling>
        <c:delete val="0"/>
        <c:axPos val="b"/>
        <c:numFmt formatCode="General" sourceLinked="0"/>
        <c:majorTickMark val="none"/>
        <c:minorTickMark val="none"/>
        <c:tickLblPos val="nextTo"/>
        <c:txPr>
          <a:bodyPr/>
          <a:lstStyle/>
          <a:p>
            <a:pPr>
              <a:defRPr sz="1800" b="1"/>
            </a:pPr>
            <a:endParaRPr lang="es-ES"/>
          </a:p>
        </c:txPr>
        <c:crossAx val="405918656"/>
        <c:crosses val="autoZero"/>
        <c:auto val="1"/>
        <c:lblAlgn val="ctr"/>
        <c:lblOffset val="100"/>
        <c:noMultiLvlLbl val="0"/>
      </c:catAx>
      <c:valAx>
        <c:axId val="405918656"/>
        <c:scaling>
          <c:orientation val="minMax"/>
        </c:scaling>
        <c:delete val="1"/>
        <c:axPos val="l"/>
        <c:numFmt formatCode="#,##0" sourceLinked="1"/>
        <c:majorTickMark val="none"/>
        <c:minorTickMark val="none"/>
        <c:tickLblPos val="nextTo"/>
        <c:crossAx val="405918264"/>
        <c:crosses val="autoZero"/>
        <c:crossBetween val="between"/>
      </c:valAx>
    </c:plotArea>
    <c:legend>
      <c:legendPos val="t"/>
      <c:layout>
        <c:manualLayout>
          <c:xMode val="edge"/>
          <c:yMode val="edge"/>
          <c:x val="0.14035456161388649"/>
          <c:y val="6.5179233528171593E-2"/>
          <c:w val="0.6856146523714306"/>
          <c:h val="4.0409157952271103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Empresas Afiliadas Activas al SDSS, por Cantidad de Empleados Registrados en TSS</a:t>
            </a:r>
          </a:p>
        </c:rich>
      </c:tx>
      <c:layout>
        <c:manualLayout>
          <c:xMode val="edge"/>
          <c:yMode val="edge"/>
          <c:x val="0.26043314857494709"/>
          <c:y val="1.6595610600551897E-2"/>
        </c:manualLayout>
      </c:layout>
      <c:overlay val="0"/>
    </c:title>
    <c:autoTitleDeleted val="0"/>
    <c:plotArea>
      <c:layout>
        <c:manualLayout>
          <c:layoutTarget val="inner"/>
          <c:xMode val="edge"/>
          <c:yMode val="edge"/>
          <c:x val="6.109208146137949E-2"/>
          <c:y val="0.19588607590885038"/>
          <c:w val="0.90490284082661654"/>
          <c:h val="0.6074655409340682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41791</c:v>
                </c:pt>
                <c:pt idx="1">
                  <c:v>12579</c:v>
                </c:pt>
                <c:pt idx="2">
                  <c:v>7836</c:v>
                </c:pt>
                <c:pt idx="3">
                  <c:v>5360</c:v>
                </c:pt>
                <c:pt idx="4">
                  <c:v>1791</c:v>
                </c:pt>
                <c:pt idx="5">
                  <c:v>1575</c:v>
                </c:pt>
                <c:pt idx="6">
                  <c:v>226</c:v>
                </c:pt>
                <c:pt idx="7">
                  <c:v>209</c:v>
                </c:pt>
                <c:pt idx="8">
                  <c:v>6</c:v>
                </c:pt>
              </c:numCache>
            </c:numRef>
          </c:val>
        </c:ser>
        <c:ser>
          <c:idx val="1"/>
          <c:order val="1"/>
          <c:tx>
            <c:strRef>
              <c:f>' II.4.Empr x No. de empl'!$C$4</c:f>
              <c:strCache>
                <c:ptCount val="1"/>
                <c:pt idx="0">
                  <c:v>Total empresas</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Ref>
          </c:val>
        </c:ser>
        <c:ser>
          <c:idx val="3"/>
          <c:order val="3"/>
          <c:tx>
            <c:strRef>
              <c:f>' II.4.Empr x No. de empl'!$E$4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c:formatCode>
                <c:ptCount val="9"/>
                <c:pt idx="0">
                  <c:v>106960</c:v>
                </c:pt>
                <c:pt idx="1">
                  <c:v>95329</c:v>
                </c:pt>
                <c:pt idx="2">
                  <c:v>113544</c:v>
                </c:pt>
                <c:pt idx="3">
                  <c:v>166465</c:v>
                </c:pt>
                <c:pt idx="4">
                  <c:v>125583</c:v>
                </c:pt>
                <c:pt idx="5">
                  <c:v>322778</c:v>
                </c:pt>
                <c:pt idx="6">
                  <c:v>158789</c:v>
                </c:pt>
                <c:pt idx="7">
                  <c:v>447759</c:v>
                </c:pt>
                <c:pt idx="8">
                  <c:v>299492</c:v>
                </c:pt>
              </c:numCache>
            </c:numRef>
          </c:val>
        </c:ser>
        <c:ser>
          <c:idx val="4"/>
          <c:order val="4"/>
          <c:tx>
            <c:strRef>
              <c:f>' II.4.Empr x No. de empl'!$F$4</c:f>
              <c:strCache>
                <c:ptCount val="1"/>
                <c:pt idx="0">
                  <c:v>Total Empleados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empl'!$F$5:$F$13</c:f>
            </c:numRef>
          </c:val>
        </c:ser>
        <c:dLbls>
          <c:showLegendKey val="0"/>
          <c:showVal val="0"/>
          <c:showCatName val="0"/>
          <c:showSerName val="0"/>
          <c:showPercent val="0"/>
          <c:showBubbleSize val="0"/>
        </c:dLbls>
        <c:gapWidth val="60"/>
        <c:overlap val="-7"/>
        <c:axId val="406435672"/>
        <c:axId val="406436064"/>
      </c:barChart>
      <c:lineChart>
        <c:grouping val="standard"/>
        <c:varyColors val="0"/>
        <c:ser>
          <c:idx val="2"/>
          <c:order val="2"/>
          <c:tx>
            <c:strRef>
              <c:f>' II.4.Empr x No. de empl'!$D$4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0.0%</c:formatCode>
                <c:ptCount val="9"/>
                <c:pt idx="0">
                  <c:v>0.58552954198366325</c:v>
                </c:pt>
                <c:pt idx="1">
                  <c:v>0.17624311714513891</c:v>
                </c:pt>
                <c:pt idx="2">
                  <c:v>0.10978941616577698</c:v>
                </c:pt>
                <c:pt idx="3">
                  <c:v>7.5098426575876037E-2</c:v>
                </c:pt>
                <c:pt idx="4">
                  <c:v>2.509352276070783E-2</c:v>
                </c:pt>
                <c:pt idx="5">
                  <c:v>2.2067168256903871E-2</c:v>
                </c:pt>
                <c:pt idx="6">
                  <c:v>3.1664635086096982E-3</c:v>
                </c:pt>
                <c:pt idx="7">
                  <c:v>2.9282782004399423E-3</c:v>
                </c:pt>
                <c:pt idx="8">
                  <c:v>8.4065402883443325E-5</c:v>
                </c:pt>
              </c:numCache>
            </c:numRef>
          </c:val>
          <c:smooth val="0"/>
        </c:ser>
        <c:dLbls>
          <c:showLegendKey val="0"/>
          <c:showVal val="0"/>
          <c:showCatName val="0"/>
          <c:showSerName val="0"/>
          <c:showPercent val="0"/>
          <c:showBubbleSize val="0"/>
        </c:dLbls>
        <c:marker val="1"/>
        <c:smooth val="0"/>
        <c:axId val="406436848"/>
        <c:axId val="406436456"/>
      </c:lineChart>
      <c:catAx>
        <c:axId val="406435672"/>
        <c:scaling>
          <c:orientation val="minMax"/>
        </c:scaling>
        <c:delete val="0"/>
        <c:axPos val="b"/>
        <c:numFmt formatCode="General" sourceLinked="0"/>
        <c:majorTickMark val="none"/>
        <c:minorTickMark val="none"/>
        <c:tickLblPos val="nextTo"/>
        <c:txPr>
          <a:bodyPr rot="-2700000" vert="horz"/>
          <a:lstStyle/>
          <a:p>
            <a:pPr>
              <a:defRPr sz="1600"/>
            </a:pPr>
            <a:endParaRPr lang="es-ES"/>
          </a:p>
        </c:txPr>
        <c:crossAx val="406436064"/>
        <c:crosses val="autoZero"/>
        <c:auto val="1"/>
        <c:lblAlgn val="ctr"/>
        <c:lblOffset val="100"/>
        <c:noMultiLvlLbl val="0"/>
      </c:catAx>
      <c:valAx>
        <c:axId val="406436064"/>
        <c:scaling>
          <c:orientation val="minMax"/>
        </c:scaling>
        <c:delete val="0"/>
        <c:axPos val="l"/>
        <c:numFmt formatCode="#,##0" sourceLinked="1"/>
        <c:majorTickMark val="none"/>
        <c:minorTickMark val="none"/>
        <c:tickLblPos val="nextTo"/>
        <c:crossAx val="406435672"/>
        <c:crosses val="autoZero"/>
        <c:crossBetween val="between"/>
      </c:valAx>
      <c:valAx>
        <c:axId val="406436456"/>
        <c:scaling>
          <c:orientation val="minMax"/>
        </c:scaling>
        <c:delete val="0"/>
        <c:axPos val="r"/>
        <c:numFmt formatCode="0.0%" sourceLinked="1"/>
        <c:majorTickMark val="out"/>
        <c:minorTickMark val="none"/>
        <c:tickLblPos val="nextTo"/>
        <c:txPr>
          <a:bodyPr/>
          <a:lstStyle/>
          <a:p>
            <a:pPr>
              <a:defRPr>
                <a:solidFill>
                  <a:schemeClr val="bg1"/>
                </a:solidFill>
              </a:defRPr>
            </a:pPr>
            <a:endParaRPr lang="es-ES"/>
          </a:p>
        </c:txPr>
        <c:crossAx val="406436848"/>
        <c:crosses val="max"/>
        <c:crossBetween val="between"/>
      </c:valAx>
      <c:catAx>
        <c:axId val="406436848"/>
        <c:scaling>
          <c:orientation val="minMax"/>
        </c:scaling>
        <c:delete val="1"/>
        <c:axPos val="b"/>
        <c:numFmt formatCode="General" sourceLinked="1"/>
        <c:majorTickMark val="out"/>
        <c:minorTickMark val="none"/>
        <c:tickLblPos val="nextTo"/>
        <c:crossAx val="406436456"/>
        <c:crosses val="autoZero"/>
        <c:auto val="1"/>
        <c:lblAlgn val="ctr"/>
        <c:lblOffset val="100"/>
        <c:noMultiLvlLbl val="0"/>
      </c:catAx>
    </c:plotArea>
    <c:legend>
      <c:legendPos val="t"/>
      <c:layout>
        <c:manualLayout>
          <c:xMode val="edge"/>
          <c:yMode val="edge"/>
          <c:x val="0.16147688825869669"/>
          <c:y val="6.100804371327416E-2"/>
          <c:w val="0.70417874364169186"/>
          <c:h val="4.9772984956477577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Comportamiento de la Afiliación al SFS del RS con Relación a la Población Pobre del País</a:t>
            </a:r>
            <a:r>
              <a:rPr lang="en-US" sz="1600" baseline="0"/>
              <a:t> Comité de Pobreza</a:t>
            </a:r>
            <a:endParaRPr lang="en-US" sz="1600"/>
          </a:p>
        </c:rich>
      </c:tx>
      <c:layout>
        <c:manualLayout>
          <c:xMode val="edge"/>
          <c:yMode val="edge"/>
          <c:x val="0.21321648486837025"/>
          <c:y val="3.2025932359901851E-2"/>
        </c:manualLayout>
      </c:layout>
      <c:overlay val="0"/>
    </c:title>
    <c:autoTitleDeleted val="0"/>
    <c:plotArea>
      <c:layout>
        <c:manualLayout>
          <c:layoutTarget val="inner"/>
          <c:xMode val="edge"/>
          <c:yMode val="edge"/>
          <c:x val="6.8523967948062578E-2"/>
          <c:y val="0.19534530920232598"/>
          <c:w val="0.89035363996511274"/>
          <c:h val="0.56190190832732767"/>
        </c:manualLayout>
      </c:layout>
      <c:barChart>
        <c:barDir val="col"/>
        <c:grouping val="clustered"/>
        <c:varyColors val="0"/>
        <c:ser>
          <c:idx val="1"/>
          <c:order val="0"/>
          <c:tx>
            <c:strRef>
              <c:f>'III.3.7. Afil. SFS RS Vs pob.'!$D$4</c:f>
              <c:strCache>
                <c:ptCount val="1"/>
                <c:pt idx="0">
                  <c:v>Población Pobre del País </c:v>
                </c:pt>
              </c:strCache>
            </c:strRef>
          </c:tx>
          <c:spPr>
            <a:solidFill>
              <a:srgbClr val="0070C0"/>
            </a:solidFill>
          </c:spPr>
          <c:invertIfNegative val="0"/>
          <c:dLbls>
            <c:dLbl>
              <c:idx val="10"/>
              <c:layout>
                <c:manualLayout>
                  <c:x val="1.0523272430504972E-2"/>
                  <c:y val="-4.20826609496101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9043074411965153E-3"/>
                  <c:y val="-3.456790006575120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'III.3.7. Afil. SFS RS Vs pob.'!$D$5:$D$16</c:f>
              <c:numCache>
                <c:formatCode>_(* #,##0_);_(* \(#,##0\);_(* "-"??_);_(@_)</c:formatCode>
                <c:ptCount val="12"/>
                <c:pt idx="0">
                  <c:v>4374809.6100000003</c:v>
                </c:pt>
                <c:pt idx="1">
                  <c:v>4315551.0144999996</c:v>
                </c:pt>
                <c:pt idx="2">
                  <c:v>4105669.2349999999</c:v>
                </c:pt>
                <c:pt idx="3">
                  <c:v>4085584.284</c:v>
                </c:pt>
                <c:pt idx="4">
                  <c:v>4261697.1419999981</c:v>
                </c:pt>
                <c:pt idx="5">
                  <c:v>4049951.4375000014</c:v>
                </c:pt>
                <c:pt idx="6">
                  <c:v>4141011.1549999998</c:v>
                </c:pt>
                <c:pt idx="7">
                  <c:v>4106329.4469999997</c:v>
                </c:pt>
                <c:pt idx="8">
                  <c:v>4148523.3279999997</c:v>
                </c:pt>
                <c:pt idx="9">
                  <c:v>4150896.3319999999</c:v>
                </c:pt>
                <c:pt idx="10">
                  <c:v>3221547.3330000001</c:v>
                </c:pt>
                <c:pt idx="11">
                  <c:v>3226658.6159999999</c:v>
                </c:pt>
              </c:numCache>
            </c:numRef>
          </c:val>
        </c:ser>
        <c:ser>
          <c:idx val="0"/>
          <c:order val="1"/>
          <c:tx>
            <c:strRef>
              <c:f>'III.3.7. Afil. SFS RS Vs pob.'!$B$4</c:f>
              <c:strCache>
                <c:ptCount val="1"/>
                <c:pt idx="0">
                  <c:v>Afiliación        SFS RS</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'III.3.7. Afil. SFS RS Vs pob.'!$B$5:$B$16</c:f>
              <c:numCache>
                <c:formatCode>_(* #,##0_);_(* \(#,##0\);_(* "-"??_);_(@_)</c:formatCode>
                <c:ptCount val="12"/>
                <c:pt idx="0">
                  <c:v>253374</c:v>
                </c:pt>
                <c:pt idx="1">
                  <c:v>514040</c:v>
                </c:pt>
                <c:pt idx="2">
                  <c:v>1081936</c:v>
                </c:pt>
                <c:pt idx="3">
                  <c:v>1224643</c:v>
                </c:pt>
                <c:pt idx="4">
                  <c:v>1404225</c:v>
                </c:pt>
                <c:pt idx="5">
                  <c:v>2013786</c:v>
                </c:pt>
                <c:pt idx="6">
                  <c:v>2003427</c:v>
                </c:pt>
                <c:pt idx="7">
                  <c:v>2303351</c:v>
                </c:pt>
                <c:pt idx="8">
                  <c:v>2751753</c:v>
                </c:pt>
                <c:pt idx="9">
                  <c:v>3015646</c:v>
                </c:pt>
                <c:pt idx="10">
                  <c:v>3317405</c:v>
                </c:pt>
                <c:pt idx="11">
                  <c:v>3298747</c:v>
                </c:pt>
              </c:numCache>
            </c:numRef>
          </c:val>
        </c:ser>
        <c:dLbls>
          <c:showLegendKey val="0"/>
          <c:showVal val="0"/>
          <c:showCatName val="0"/>
          <c:showSerName val="0"/>
          <c:showPercent val="0"/>
          <c:showBubbleSize val="0"/>
        </c:dLbls>
        <c:gapWidth val="26"/>
        <c:overlap val="23"/>
        <c:axId val="405919048"/>
        <c:axId val="405919832"/>
      </c:barChart>
      <c:lineChart>
        <c:grouping val="standard"/>
        <c:varyColors val="0"/>
        <c:ser>
          <c:idx val="2"/>
          <c:order val="2"/>
          <c:tx>
            <c:strRef>
              <c:f>'III.3.7. Afil. SFS RS Vs pob.'!$E$4</c:f>
              <c:strCache>
                <c:ptCount val="1"/>
                <c:pt idx="0">
                  <c:v>%  Afiliación Cubierta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2606236174260021E-2"/>
                  <c:y val="2.48808545366355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1796744222082293E-2"/>
                  <c:y val="4.8183945800891963E-2"/>
                </c:manualLayout>
              </c:layout>
              <c:spPr/>
              <c:txPr>
                <a:bodyPr/>
                <a:lstStyle/>
                <a:p>
                  <a:pPr>
                    <a:defRPr sz="1600" b="1">
                      <a:solidFill>
                        <a:srgbClr val="FFFF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1454301478849854E-2"/>
                  <c:y val="4.03892217660973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FFFF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'III.3.7. Afil. SFS RS Vs pob.'!$E$5:$E$16</c:f>
              <c:numCache>
                <c:formatCode>0.0%</c:formatCode>
                <c:ptCount val="12"/>
                <c:pt idx="0">
                  <c:v>5.791657753993093E-2</c:v>
                </c:pt>
                <c:pt idx="1">
                  <c:v>0.11911341061033819</c:v>
                </c:pt>
                <c:pt idx="2">
                  <c:v>0.26352244617679244</c:v>
                </c:pt>
                <c:pt idx="3">
                  <c:v>0.2997473347437617</c:v>
                </c:pt>
                <c:pt idx="4">
                  <c:v>0.32949901253212999</c:v>
                </c:pt>
                <c:pt idx="5">
                  <c:v>0.49723707335194417</c:v>
                </c:pt>
                <c:pt idx="6">
                  <c:v>0.48380140139950917</c:v>
                </c:pt>
                <c:pt idx="7">
                  <c:v>0.56092698594429169</c:v>
                </c:pt>
                <c:pt idx="8">
                  <c:v>0.6633090337054024</c:v>
                </c:pt>
                <c:pt idx="9">
                  <c:v>0.72650477362006061</c:v>
                </c:pt>
                <c:pt idx="10">
                  <c:v>1.0297551633086621</c:v>
                </c:pt>
                <c:pt idx="11">
                  <c:v>1.0223414970652724</c:v>
                </c:pt>
              </c:numCache>
            </c:numRef>
          </c:val>
          <c:smooth val="0"/>
        </c:ser>
        <c:dLbls>
          <c:showLegendKey val="0"/>
          <c:showVal val="0"/>
          <c:showCatName val="0"/>
          <c:showSerName val="0"/>
          <c:showPercent val="0"/>
          <c:showBubbleSize val="0"/>
        </c:dLbls>
        <c:marker val="1"/>
        <c:smooth val="0"/>
        <c:axId val="405920616"/>
        <c:axId val="405920224"/>
      </c:lineChart>
      <c:catAx>
        <c:axId val="405919048"/>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405919832"/>
        <c:crosses val="autoZero"/>
        <c:auto val="1"/>
        <c:lblAlgn val="ctr"/>
        <c:lblOffset val="100"/>
        <c:noMultiLvlLbl val="0"/>
      </c:catAx>
      <c:valAx>
        <c:axId val="405919832"/>
        <c:scaling>
          <c:orientation val="minMax"/>
          <c:max val="5000000"/>
        </c:scaling>
        <c:delete val="0"/>
        <c:axPos val="l"/>
        <c:numFmt formatCode="_(* #,##0_);_(* \(#,##0\);_(* &quot;-&quot;??_);_(@_)" sourceLinked="1"/>
        <c:majorTickMark val="none"/>
        <c:minorTickMark val="none"/>
        <c:tickLblPos val="nextTo"/>
        <c:crossAx val="405919048"/>
        <c:crosses val="autoZero"/>
        <c:crossBetween val="between"/>
      </c:valAx>
      <c:valAx>
        <c:axId val="405920224"/>
        <c:scaling>
          <c:orientation val="minMax"/>
          <c:max val="1.5"/>
        </c:scaling>
        <c:delete val="0"/>
        <c:axPos val="r"/>
        <c:numFmt formatCode="0.0%" sourceLinked="1"/>
        <c:majorTickMark val="out"/>
        <c:minorTickMark val="none"/>
        <c:tickLblPos val="nextTo"/>
        <c:txPr>
          <a:bodyPr/>
          <a:lstStyle/>
          <a:p>
            <a:pPr>
              <a:defRPr>
                <a:solidFill>
                  <a:schemeClr val="bg1"/>
                </a:solidFill>
              </a:defRPr>
            </a:pPr>
            <a:endParaRPr lang="es-ES"/>
          </a:p>
        </c:txPr>
        <c:crossAx val="405920616"/>
        <c:crosses val="max"/>
        <c:crossBetween val="between"/>
      </c:valAx>
      <c:catAx>
        <c:axId val="405920616"/>
        <c:scaling>
          <c:orientation val="minMax"/>
        </c:scaling>
        <c:delete val="1"/>
        <c:axPos val="b"/>
        <c:numFmt formatCode="General" sourceLinked="1"/>
        <c:majorTickMark val="out"/>
        <c:minorTickMark val="none"/>
        <c:tickLblPos val="nextTo"/>
        <c:crossAx val="405920224"/>
        <c:crosses val="autoZero"/>
        <c:auto val="1"/>
        <c:lblAlgn val="ctr"/>
        <c:lblOffset val="100"/>
        <c:noMultiLvlLbl val="0"/>
      </c:catAx>
    </c:plotArea>
    <c:legend>
      <c:legendPos val="t"/>
      <c:layout>
        <c:manualLayout>
          <c:xMode val="edge"/>
          <c:yMode val="edge"/>
          <c:x val="0.15376062110711308"/>
          <c:y val="7.900197208452385E-2"/>
          <c:w val="0.65557841533123584"/>
          <c:h val="4.9769826133397026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Régimen Especial Transitorio para la Salud de Pensionados Ley 1896-379</a:t>
            </a:r>
          </a:p>
          <a:p>
            <a:pPr>
              <a:defRPr sz="1600"/>
            </a:pPr>
            <a:r>
              <a:rPr lang="es-DO" sz="1600"/>
              <a:t>Afiliación Anual de Pensionados al SFS</a:t>
            </a:r>
          </a:p>
        </c:rich>
      </c:tx>
      <c:layout>
        <c:manualLayout>
          <c:xMode val="edge"/>
          <c:yMode val="edge"/>
          <c:x val="0.27451121834853554"/>
          <c:y val="4.7519115687954673E-2"/>
        </c:manualLayout>
      </c:layout>
      <c:overlay val="0"/>
    </c:title>
    <c:autoTitleDeleted val="0"/>
    <c:plotArea>
      <c:layout>
        <c:manualLayout>
          <c:layoutTarget val="inner"/>
          <c:xMode val="edge"/>
          <c:yMode val="edge"/>
          <c:x val="7.4026154596507659E-2"/>
          <c:y val="0.21186007084055089"/>
          <c:w val="0.88023231392021306"/>
          <c:h val="0.63268316149304415"/>
        </c:manualLayout>
      </c:layout>
      <c:barChart>
        <c:barDir val="col"/>
        <c:grouping val="clustered"/>
        <c:varyColors val="0"/>
        <c:ser>
          <c:idx val="0"/>
          <c:order val="0"/>
          <c:tx>
            <c:strRef>
              <c:f>' III.4.2.Afil. SFSP Anual.'!$B$3</c:f>
              <c:strCache>
                <c:ptCount val="1"/>
                <c:pt idx="0">
                  <c:v>Afiliación    Total</c:v>
                </c:pt>
              </c:strCache>
            </c:strRef>
          </c:tx>
          <c:spPr>
            <a:solidFill>
              <a:schemeClr val="accent3">
                <a:lumMod val="75000"/>
              </a:schemeClr>
            </a:solidFill>
          </c:spPr>
          <c:invertIfNegative val="0"/>
          <c:dLbls>
            <c:spPr>
              <a:noFill/>
              <a:ln>
                <a:noFill/>
              </a:ln>
              <a:effectLst/>
            </c:spPr>
            <c:txPr>
              <a:bodyPr/>
              <a:lstStyle/>
              <a:p>
                <a:pPr>
                  <a:defRPr sz="18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III.4.2.Afil. SFSP Anual.'!$A$4:$A$11</c:f>
              <c:strCache>
                <c:ptCount val="8"/>
                <c:pt idx="0">
                  <c:v>Dic. 2009</c:v>
                </c:pt>
                <c:pt idx="1">
                  <c:v>Dic. 2010</c:v>
                </c:pt>
                <c:pt idx="2">
                  <c:v>Dic. 2011</c:v>
                </c:pt>
                <c:pt idx="3">
                  <c:v>Dic. 2012</c:v>
                </c:pt>
                <c:pt idx="4">
                  <c:v>Dic. 2013</c:v>
                </c:pt>
                <c:pt idx="5">
                  <c:v>Dic. 2014</c:v>
                </c:pt>
                <c:pt idx="6">
                  <c:v>Dic. 2015</c:v>
                </c:pt>
                <c:pt idx="7">
                  <c:v>Abr.2016</c:v>
                </c:pt>
              </c:strCache>
            </c:strRef>
          </c:cat>
          <c:val>
            <c:numRef>
              <c:f>' III.4.2.Afil. SFSP Anual.'!$B$4:$B$11</c:f>
              <c:numCache>
                <c:formatCode>_(* #,##0_);_(* \(#,##0\);_(* "-"??_);_(@_)</c:formatCode>
                <c:ptCount val="8"/>
                <c:pt idx="0">
                  <c:v>21982</c:v>
                </c:pt>
                <c:pt idx="1">
                  <c:v>27354</c:v>
                </c:pt>
                <c:pt idx="2">
                  <c:v>29726</c:v>
                </c:pt>
                <c:pt idx="3">
                  <c:v>30703</c:v>
                </c:pt>
                <c:pt idx="4">
                  <c:v>27273</c:v>
                </c:pt>
                <c:pt idx="5">
                  <c:v>30370</c:v>
                </c:pt>
                <c:pt idx="6">
                  <c:v>30529</c:v>
                </c:pt>
                <c:pt idx="7">
                  <c:v>29780</c:v>
                </c:pt>
              </c:numCache>
            </c:numRef>
          </c:val>
        </c:ser>
        <c:dLbls>
          <c:showLegendKey val="0"/>
          <c:showVal val="0"/>
          <c:showCatName val="0"/>
          <c:showSerName val="0"/>
          <c:showPercent val="0"/>
          <c:showBubbleSize val="0"/>
        </c:dLbls>
        <c:gapWidth val="79"/>
        <c:overlap val="19"/>
        <c:axId val="405921400"/>
        <c:axId val="405921792"/>
      </c:barChart>
      <c:catAx>
        <c:axId val="405921400"/>
        <c:scaling>
          <c:orientation val="minMax"/>
        </c:scaling>
        <c:delete val="0"/>
        <c:axPos val="b"/>
        <c:numFmt formatCode="General" sourceLinked="0"/>
        <c:majorTickMark val="out"/>
        <c:minorTickMark val="none"/>
        <c:tickLblPos val="nextTo"/>
        <c:txPr>
          <a:bodyPr/>
          <a:lstStyle/>
          <a:p>
            <a:pPr>
              <a:defRPr sz="1400"/>
            </a:pPr>
            <a:endParaRPr lang="es-ES"/>
          </a:p>
        </c:txPr>
        <c:crossAx val="405921792"/>
        <c:crosses val="autoZero"/>
        <c:auto val="1"/>
        <c:lblAlgn val="ctr"/>
        <c:lblOffset val="100"/>
        <c:noMultiLvlLbl val="0"/>
      </c:catAx>
      <c:valAx>
        <c:axId val="405921792"/>
        <c:scaling>
          <c:orientation val="minMax"/>
        </c:scaling>
        <c:delete val="0"/>
        <c:axPos val="l"/>
        <c:numFmt formatCode="_(* #,##0_);_(* \(#,##0\);_(* &quot;-&quot;??_);_(@_)" sourceLinked="1"/>
        <c:majorTickMark val="out"/>
        <c:minorTickMark val="none"/>
        <c:tickLblPos val="nextTo"/>
        <c:crossAx val="40592140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5.6160015620857805E-3"/>
          <c:y val="0.214007418105429"/>
          <c:w val="0.97922542779502608"/>
          <c:h val="0.59434793958232524"/>
        </c:manualLayout>
      </c:layout>
      <c:barChart>
        <c:barDir val="col"/>
        <c:grouping val="clustered"/>
        <c:varyColors val="0"/>
        <c:ser>
          <c:idx val="0"/>
          <c:order val="0"/>
          <c:tx>
            <c:strRef>
              <c:f>' III.4.3.Afil.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Abr.15</c:v>
                </c:pt>
                <c:pt idx="1">
                  <c:v>May.15</c:v>
                </c:pt>
                <c:pt idx="2">
                  <c:v>Jun.15</c:v>
                </c:pt>
                <c:pt idx="3">
                  <c:v>Jul.15</c:v>
                </c:pt>
                <c:pt idx="4">
                  <c:v>Ago.15</c:v>
                </c:pt>
                <c:pt idx="5">
                  <c:v>Sep.15</c:v>
                </c:pt>
                <c:pt idx="6">
                  <c:v>Oct.15</c:v>
                </c:pt>
                <c:pt idx="7">
                  <c:v>Nov.15</c:v>
                </c:pt>
                <c:pt idx="8">
                  <c:v>Dic.15</c:v>
                </c:pt>
                <c:pt idx="9">
                  <c:v>Ene.16</c:v>
                </c:pt>
                <c:pt idx="10">
                  <c:v>Feb.16</c:v>
                </c:pt>
                <c:pt idx="11">
                  <c:v>Mar.16</c:v>
                </c:pt>
                <c:pt idx="12">
                  <c:v>Abr.16</c:v>
                </c:pt>
              </c:strCache>
            </c:strRef>
          </c:cat>
          <c:val>
            <c:numRef>
              <c:f>' III.4.3.Afil. SFSP Mensual'!$B$4:$B$16</c:f>
              <c:numCache>
                <c:formatCode>_(* #,##0_);_(* \(#,##0\);_(* "-"??_);_(@_)</c:formatCode>
                <c:ptCount val="13"/>
                <c:pt idx="0">
                  <c:v>30512</c:v>
                </c:pt>
                <c:pt idx="1">
                  <c:v>30543</c:v>
                </c:pt>
                <c:pt idx="2">
                  <c:v>30582</c:v>
                </c:pt>
                <c:pt idx="3">
                  <c:v>30486</c:v>
                </c:pt>
                <c:pt idx="4">
                  <c:v>30545</c:v>
                </c:pt>
                <c:pt idx="5">
                  <c:v>30468</c:v>
                </c:pt>
                <c:pt idx="6">
                  <c:v>30413</c:v>
                </c:pt>
                <c:pt idx="7">
                  <c:v>30479</c:v>
                </c:pt>
                <c:pt idx="8">
                  <c:v>30529</c:v>
                </c:pt>
                <c:pt idx="9">
                  <c:v>30514</c:v>
                </c:pt>
                <c:pt idx="10">
                  <c:v>30536</c:v>
                </c:pt>
                <c:pt idx="11">
                  <c:v>29872</c:v>
                </c:pt>
                <c:pt idx="12">
                  <c:v>29780</c:v>
                </c:pt>
              </c:numCache>
            </c:numRef>
          </c:val>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Abr.15</c:v>
                </c:pt>
                <c:pt idx="1">
                  <c:v>May.15</c:v>
                </c:pt>
                <c:pt idx="2">
                  <c:v>Jun.15</c:v>
                </c:pt>
                <c:pt idx="3">
                  <c:v>Jul.15</c:v>
                </c:pt>
                <c:pt idx="4">
                  <c:v>Ago.15</c:v>
                </c:pt>
                <c:pt idx="5">
                  <c:v>Sep.15</c:v>
                </c:pt>
                <c:pt idx="6">
                  <c:v>Oct.15</c:v>
                </c:pt>
                <c:pt idx="7">
                  <c:v>Nov.15</c:v>
                </c:pt>
                <c:pt idx="8">
                  <c:v>Dic.15</c:v>
                </c:pt>
                <c:pt idx="9">
                  <c:v>Ene.16</c:v>
                </c:pt>
                <c:pt idx="10">
                  <c:v>Feb.16</c:v>
                </c:pt>
                <c:pt idx="11">
                  <c:v>Mar.16</c:v>
                </c:pt>
                <c:pt idx="12">
                  <c:v>Abr.16</c:v>
                </c:pt>
              </c:strCache>
            </c:strRef>
          </c:cat>
          <c:val>
            <c:numRef>
              <c:f>' III.4.3.Afil. SFSP Mensual'!$C$4:$C$16</c:f>
              <c:numCache>
                <c:formatCode>_(* #,##0_);_(* \(#,##0\);_(* "-"??_);_(@_)</c:formatCode>
                <c:ptCount val="13"/>
                <c:pt idx="0">
                  <c:v>15135</c:v>
                </c:pt>
                <c:pt idx="1">
                  <c:v>15143</c:v>
                </c:pt>
                <c:pt idx="2">
                  <c:v>15129</c:v>
                </c:pt>
                <c:pt idx="3">
                  <c:v>15067</c:v>
                </c:pt>
                <c:pt idx="4">
                  <c:v>15041</c:v>
                </c:pt>
                <c:pt idx="5">
                  <c:v>15004</c:v>
                </c:pt>
                <c:pt idx="6">
                  <c:v>14956</c:v>
                </c:pt>
                <c:pt idx="7">
                  <c:v>15001</c:v>
                </c:pt>
                <c:pt idx="8">
                  <c:v>15026</c:v>
                </c:pt>
                <c:pt idx="9">
                  <c:v>15012</c:v>
                </c:pt>
                <c:pt idx="10">
                  <c:v>15041</c:v>
                </c:pt>
                <c:pt idx="11">
                  <c:v>14675</c:v>
                </c:pt>
                <c:pt idx="12">
                  <c:v>14657</c:v>
                </c:pt>
              </c:numCache>
            </c:numRef>
          </c:val>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Abr.15</c:v>
                </c:pt>
                <c:pt idx="1">
                  <c:v>May.15</c:v>
                </c:pt>
                <c:pt idx="2">
                  <c:v>Jun.15</c:v>
                </c:pt>
                <c:pt idx="3">
                  <c:v>Jul.15</c:v>
                </c:pt>
                <c:pt idx="4">
                  <c:v>Ago.15</c:v>
                </c:pt>
                <c:pt idx="5">
                  <c:v>Sep.15</c:v>
                </c:pt>
                <c:pt idx="6">
                  <c:v>Oct.15</c:v>
                </c:pt>
                <c:pt idx="7">
                  <c:v>Nov.15</c:v>
                </c:pt>
                <c:pt idx="8">
                  <c:v>Dic.15</c:v>
                </c:pt>
                <c:pt idx="9">
                  <c:v>Ene.16</c:v>
                </c:pt>
                <c:pt idx="10">
                  <c:v>Feb.16</c:v>
                </c:pt>
                <c:pt idx="11">
                  <c:v>Mar.16</c:v>
                </c:pt>
                <c:pt idx="12">
                  <c:v>Abr.16</c:v>
                </c:pt>
              </c:strCache>
            </c:strRef>
          </c:cat>
          <c:val>
            <c:numRef>
              <c:f>' III.4.3.Afil. SFSP Mensual'!$D$4:$D$16</c:f>
              <c:numCache>
                <c:formatCode>_(* #,##0_);_(* \(#,##0\);_(* "-"??_);_(@_)</c:formatCode>
                <c:ptCount val="13"/>
                <c:pt idx="0">
                  <c:v>10505</c:v>
                </c:pt>
                <c:pt idx="1">
                  <c:v>10492</c:v>
                </c:pt>
                <c:pt idx="2">
                  <c:v>10529</c:v>
                </c:pt>
                <c:pt idx="3">
                  <c:v>10479</c:v>
                </c:pt>
                <c:pt idx="4">
                  <c:v>10501</c:v>
                </c:pt>
                <c:pt idx="5">
                  <c:v>10464</c:v>
                </c:pt>
                <c:pt idx="6">
                  <c:v>10457</c:v>
                </c:pt>
                <c:pt idx="7">
                  <c:v>10469</c:v>
                </c:pt>
                <c:pt idx="8">
                  <c:v>10482</c:v>
                </c:pt>
                <c:pt idx="9">
                  <c:v>10479</c:v>
                </c:pt>
                <c:pt idx="10">
                  <c:v>10474</c:v>
                </c:pt>
                <c:pt idx="11">
                  <c:v>10223</c:v>
                </c:pt>
                <c:pt idx="12">
                  <c:v>10143</c:v>
                </c:pt>
              </c:numCache>
            </c:numRef>
          </c:val>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03524169374841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08700591821126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085253977154455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0611227870391561"/>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Abr.15</c:v>
                </c:pt>
                <c:pt idx="1">
                  <c:v>May.15</c:v>
                </c:pt>
                <c:pt idx="2">
                  <c:v>Jun.15</c:v>
                </c:pt>
                <c:pt idx="3">
                  <c:v>Jul.15</c:v>
                </c:pt>
                <c:pt idx="4">
                  <c:v>Ago.15</c:v>
                </c:pt>
                <c:pt idx="5">
                  <c:v>Sep.15</c:v>
                </c:pt>
                <c:pt idx="6">
                  <c:v>Oct.15</c:v>
                </c:pt>
                <c:pt idx="7">
                  <c:v>Nov.15</c:v>
                </c:pt>
                <c:pt idx="8">
                  <c:v>Dic.15</c:v>
                </c:pt>
                <c:pt idx="9">
                  <c:v>Ene.16</c:v>
                </c:pt>
                <c:pt idx="10">
                  <c:v>Feb.16</c:v>
                </c:pt>
                <c:pt idx="11">
                  <c:v>Mar.16</c:v>
                </c:pt>
                <c:pt idx="12">
                  <c:v>Abr.16</c:v>
                </c:pt>
              </c:strCache>
            </c:strRef>
          </c:cat>
          <c:val>
            <c:numRef>
              <c:f>' III.4.3.Afil. SFSP Mensual'!$E$4:$E$16</c:f>
              <c:numCache>
                <c:formatCode>_(* #,##0_);_(* \(#,##0\);_(* "-"??_);_(@_)</c:formatCode>
                <c:ptCount val="13"/>
                <c:pt idx="0">
                  <c:v>4872</c:v>
                </c:pt>
                <c:pt idx="1">
                  <c:v>4908</c:v>
                </c:pt>
                <c:pt idx="2">
                  <c:v>4924</c:v>
                </c:pt>
                <c:pt idx="3">
                  <c:v>4940</c:v>
                </c:pt>
                <c:pt idx="4">
                  <c:v>5003</c:v>
                </c:pt>
                <c:pt idx="5">
                  <c:v>5000</c:v>
                </c:pt>
                <c:pt idx="6">
                  <c:v>5000</c:v>
                </c:pt>
                <c:pt idx="7">
                  <c:v>5009</c:v>
                </c:pt>
                <c:pt idx="8">
                  <c:v>5021</c:v>
                </c:pt>
                <c:pt idx="9">
                  <c:v>5023</c:v>
                </c:pt>
                <c:pt idx="10">
                  <c:v>5021</c:v>
                </c:pt>
                <c:pt idx="11">
                  <c:v>4974</c:v>
                </c:pt>
                <c:pt idx="12">
                  <c:v>4980</c:v>
                </c:pt>
              </c:numCache>
            </c:numRef>
          </c:val>
        </c:ser>
        <c:dLbls>
          <c:showLegendKey val="0"/>
          <c:showVal val="0"/>
          <c:showCatName val="0"/>
          <c:showSerName val="0"/>
          <c:showPercent val="0"/>
          <c:showBubbleSize val="0"/>
        </c:dLbls>
        <c:gapWidth val="35"/>
        <c:overlap val="-25"/>
        <c:axId val="405922576"/>
        <c:axId val="405922968"/>
      </c:barChart>
      <c:catAx>
        <c:axId val="405922576"/>
        <c:scaling>
          <c:orientation val="minMax"/>
        </c:scaling>
        <c:delete val="0"/>
        <c:axPos val="b"/>
        <c:numFmt formatCode="General" sourceLinked="0"/>
        <c:majorTickMark val="none"/>
        <c:minorTickMark val="none"/>
        <c:tickLblPos val="nextTo"/>
        <c:txPr>
          <a:bodyPr/>
          <a:lstStyle/>
          <a:p>
            <a:pPr>
              <a:defRPr sz="1600"/>
            </a:pPr>
            <a:endParaRPr lang="es-ES"/>
          </a:p>
        </c:txPr>
        <c:crossAx val="405922968"/>
        <c:crosses val="autoZero"/>
        <c:auto val="1"/>
        <c:lblAlgn val="ctr"/>
        <c:lblOffset val="100"/>
        <c:noMultiLvlLbl val="0"/>
      </c:catAx>
      <c:valAx>
        <c:axId val="405922968"/>
        <c:scaling>
          <c:orientation val="minMax"/>
        </c:scaling>
        <c:delete val="1"/>
        <c:axPos val="l"/>
        <c:numFmt formatCode="_(* #,##0_);_(* \(#,##0\);_(* &quot;-&quot;??_);_(@_)" sourceLinked="1"/>
        <c:majorTickMark val="none"/>
        <c:minorTickMark val="none"/>
        <c:tickLblPos val="nextTo"/>
        <c:crossAx val="405922576"/>
        <c:crosses val="autoZero"/>
        <c:crossBetween val="between"/>
      </c:valAx>
    </c:plotArea>
    <c:legend>
      <c:legendPos val="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1.7248469228653637E-2"/>
          <c:y val="0.1308097267187909"/>
          <c:w val="0.96803248294387767"/>
          <c:h val="0.69681943752601216"/>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dPt>
          <c:dPt>
            <c:idx val="12"/>
            <c:invertIfNegative val="0"/>
            <c:bubble3D val="0"/>
          </c:dPt>
          <c:dLbls>
            <c:spPr>
              <a:noFill/>
              <a:ln>
                <a:noFill/>
              </a:ln>
              <a:effectLst/>
            </c:spPr>
            <c:txPr>
              <a:bodyPr/>
              <a:lstStyle/>
              <a:p>
                <a:pPr>
                  <a:defRPr sz="18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Mensual'!$A$4:$A$16</c:f>
              <c:strCache>
                <c:ptCount val="13"/>
                <c:pt idx="0">
                  <c:v>Abr.15</c:v>
                </c:pt>
                <c:pt idx="1">
                  <c:v>May.15</c:v>
                </c:pt>
                <c:pt idx="2">
                  <c:v>Jun.15</c:v>
                </c:pt>
                <c:pt idx="3">
                  <c:v>Jul.15</c:v>
                </c:pt>
                <c:pt idx="4">
                  <c:v>Ago.15</c:v>
                </c:pt>
                <c:pt idx="5">
                  <c:v>Sep.15</c:v>
                </c:pt>
                <c:pt idx="6">
                  <c:v>Oct.15</c:v>
                </c:pt>
                <c:pt idx="7">
                  <c:v>Nov.15</c:v>
                </c:pt>
                <c:pt idx="8">
                  <c:v>Dic.15</c:v>
                </c:pt>
                <c:pt idx="9">
                  <c:v>Ene.16</c:v>
                </c:pt>
                <c:pt idx="10">
                  <c:v>Feb.16</c:v>
                </c:pt>
                <c:pt idx="11">
                  <c:v>Mar.16</c:v>
                </c:pt>
                <c:pt idx="12">
                  <c:v>Abr.16</c:v>
                </c:pt>
              </c:strCache>
            </c:strRef>
          </c:cat>
          <c:val>
            <c:numRef>
              <c:f>' III.4.4.Cob.Afil. SFSP Mensual'!$B$4:$B$16</c:f>
              <c:numCache>
                <c:formatCode>_(* #,##0_);_(* \(#,##0\);_(* "-"_);_(@_)</c:formatCode>
                <c:ptCount val="13"/>
                <c:pt idx="0">
                  <c:v>30950</c:v>
                </c:pt>
                <c:pt idx="1">
                  <c:v>30599</c:v>
                </c:pt>
                <c:pt idx="2">
                  <c:v>30733</c:v>
                </c:pt>
                <c:pt idx="3">
                  <c:v>30690</c:v>
                </c:pt>
                <c:pt idx="4">
                  <c:v>30597</c:v>
                </c:pt>
                <c:pt idx="5">
                  <c:v>30640</c:v>
                </c:pt>
                <c:pt idx="6">
                  <c:v>30504</c:v>
                </c:pt>
                <c:pt idx="7">
                  <c:v>30522</c:v>
                </c:pt>
                <c:pt idx="8">
                  <c:v>30529</c:v>
                </c:pt>
                <c:pt idx="9">
                  <c:v>30564</c:v>
                </c:pt>
                <c:pt idx="10">
                  <c:v>30597</c:v>
                </c:pt>
                <c:pt idx="11">
                  <c:v>30624</c:v>
                </c:pt>
                <c:pt idx="12">
                  <c:v>29955</c:v>
                </c:pt>
              </c:numCache>
            </c:numRef>
          </c:val>
        </c:ser>
        <c:dLbls>
          <c:showLegendKey val="0"/>
          <c:showVal val="0"/>
          <c:showCatName val="0"/>
          <c:showSerName val="0"/>
          <c:showPercent val="0"/>
          <c:showBubbleSize val="0"/>
        </c:dLbls>
        <c:gapWidth val="75"/>
        <c:overlap val="-25"/>
        <c:axId val="405923752"/>
        <c:axId val="405924144"/>
      </c:barChart>
      <c:catAx>
        <c:axId val="405923752"/>
        <c:scaling>
          <c:orientation val="minMax"/>
        </c:scaling>
        <c:delete val="0"/>
        <c:axPos val="b"/>
        <c:numFmt formatCode="General" sourceLinked="0"/>
        <c:majorTickMark val="none"/>
        <c:minorTickMark val="none"/>
        <c:tickLblPos val="nextTo"/>
        <c:txPr>
          <a:bodyPr/>
          <a:lstStyle/>
          <a:p>
            <a:pPr>
              <a:defRPr sz="1600"/>
            </a:pPr>
            <a:endParaRPr lang="es-ES"/>
          </a:p>
        </c:txPr>
        <c:crossAx val="405924144"/>
        <c:crosses val="autoZero"/>
        <c:auto val="1"/>
        <c:lblAlgn val="ctr"/>
        <c:lblOffset val="100"/>
        <c:noMultiLvlLbl val="0"/>
      </c:catAx>
      <c:valAx>
        <c:axId val="405924144"/>
        <c:scaling>
          <c:orientation val="minMax"/>
        </c:scaling>
        <c:delete val="1"/>
        <c:axPos val="l"/>
        <c:numFmt formatCode="_(* #,##0_);_(* \(#,##0\);_(* &quot;-&quot;_);_(@_)" sourceLinked="1"/>
        <c:majorTickMark val="none"/>
        <c:minorTickMark val="none"/>
        <c:tickLblPos val="nextTo"/>
        <c:crossAx val="405923752"/>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4492645718922682"/>
          <c:y val="1.4443069084034305E-2"/>
        </c:manualLayout>
      </c:layout>
      <c:overlay val="1"/>
    </c:title>
    <c:autoTitleDeleted val="0"/>
    <c:plotArea>
      <c:layout>
        <c:manualLayout>
          <c:layoutTarget val="inner"/>
          <c:xMode val="edge"/>
          <c:yMode val="edge"/>
          <c:x val="5.2610648088002296E-2"/>
          <c:y val="0.18416706787222129"/>
          <c:w val="0.8910507858365958"/>
          <c:h val="0.63294329838653307"/>
        </c:manualLayout>
      </c:layout>
      <c:barChart>
        <c:barDir val="col"/>
        <c:grouping val="clustered"/>
        <c:varyColors val="0"/>
        <c:ser>
          <c:idx val="0"/>
          <c:order val="0"/>
          <c:tx>
            <c:strRef>
              <c:f>'III.5.3.Afil. SVDS'!$B$3</c:f>
              <c:strCache>
                <c:ptCount val="1"/>
                <c:pt idx="0">
                  <c:v>Cotizantes</c:v>
                </c:pt>
              </c:strCache>
            </c:strRef>
          </c:tx>
          <c:invertIfNegative val="0"/>
          <c:dLbls>
            <c:dLbl>
              <c:idx val="10"/>
              <c:spPr/>
              <c:txPr>
                <a:bodyPr rot="-5400000" vert="horz"/>
                <a:lstStyle/>
                <a:p>
                  <a:pPr>
                    <a:defRPr sz="1200" b="1">
                      <a:solidFill>
                        <a:schemeClr val="bg1"/>
                      </a:solidFill>
                    </a:defRPr>
                  </a:pPr>
                  <a:endParaRPr lang="es-ES"/>
                </a:p>
              </c:txPr>
              <c:dLblPos val="inEnd"/>
              <c:showLegendKey val="0"/>
              <c:showVal val="1"/>
              <c:showCatName val="0"/>
              <c:showSerName val="0"/>
              <c:showPercent val="0"/>
              <c:showBubbleSize val="0"/>
            </c:dLbl>
            <c:dLbl>
              <c:idx val="11"/>
              <c:spPr/>
              <c:txPr>
                <a:bodyPr rot="-5400000" vert="horz"/>
                <a:lstStyle/>
                <a:p>
                  <a:pPr>
                    <a:defRPr sz="1200" b="1">
                      <a:solidFill>
                        <a:schemeClr val="bg1"/>
                      </a:solidFill>
                    </a:defRPr>
                  </a:pPr>
                  <a:endParaRPr lang="es-ES"/>
                </a:p>
              </c:txPr>
              <c:dLblPos val="inEnd"/>
              <c:showLegendKey val="0"/>
              <c:showVal val="1"/>
              <c:showCatName val="0"/>
              <c:showSerName val="0"/>
              <c:showPercent val="0"/>
              <c:showBubbleSize val="0"/>
            </c:dLbl>
            <c:spPr>
              <a:noFill/>
              <a:ln>
                <a:noFill/>
              </a:ln>
              <a:effectLst/>
            </c:spPr>
            <c:txPr>
              <a:bodyPr rot="-5400000" vert="horz"/>
              <a:lstStyle/>
              <a:p>
                <a:pPr>
                  <a:defRPr sz="12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Abr.2016</c:v>
                </c:pt>
              </c:strCache>
            </c:strRef>
          </c:cat>
          <c:val>
            <c:numRef>
              <c:f>'III.5.3.Afil. SVDS'!$B$4:$B$17</c:f>
              <c:numCache>
                <c:formatCode>#,##0</c:formatCode>
                <c:ptCount val="14"/>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1646516</c:v>
                </c:pt>
              </c:numCache>
            </c:numRef>
          </c:val>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dLbl>
            <c:dLbl>
              <c:idx val="11"/>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dLbl>
            <c:spPr>
              <a:noFill/>
              <a:ln>
                <a:noFill/>
              </a:ln>
              <a:effectLst/>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Abr.2016</c:v>
                </c:pt>
              </c:strCache>
            </c:strRef>
          </c:cat>
          <c:val>
            <c:numRef>
              <c:f>'III.5.3.Afil. SVDS'!$C$4:$C$17</c:f>
              <c:numCache>
                <c:formatCode>#,##0</c:formatCode>
                <c:ptCount val="14"/>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3333526</c:v>
                </c:pt>
              </c:numCache>
            </c:numRef>
          </c:val>
        </c:ser>
        <c:dLbls>
          <c:showLegendKey val="0"/>
          <c:showVal val="0"/>
          <c:showCatName val="0"/>
          <c:showSerName val="0"/>
          <c:showPercent val="0"/>
          <c:showBubbleSize val="0"/>
        </c:dLbls>
        <c:gapWidth val="60"/>
        <c:axId val="405925320"/>
        <c:axId val="405925712"/>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1646835855437484E-2"/>
                  <c:y val="-5.6860680309615282E-2"/>
                </c:manualLayout>
              </c:layout>
              <c:spPr/>
              <c:txPr>
                <a:bodyPr rot="-5400000" vert="horz"/>
                <a:lstStyle/>
                <a:p>
                  <a:pPr>
                    <a:defRPr sz="1400" b="0">
                      <a:solidFill>
                        <a:schemeClr val="accent6">
                          <a:lumMod val="75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447359907178025E-2"/>
                  <c:y val="-5.8934755157913854E-2"/>
                </c:manualLayout>
              </c:layout>
              <c:spPr/>
              <c:txPr>
                <a:bodyPr rot="-5400000" vert="horz"/>
                <a:lstStyle/>
                <a:p>
                  <a:pPr>
                    <a:defRPr sz="1400" b="0">
                      <a:solidFill>
                        <a:schemeClr val="accent6">
                          <a:lumMod val="75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Abr.2016</c:v>
                </c:pt>
              </c:strCache>
            </c:strRef>
          </c:cat>
          <c:val>
            <c:numRef>
              <c:f>'III.5.3.Afil. SVDS'!$D$4:$D$17</c:f>
              <c:numCache>
                <c:formatCode>0.0%</c:formatCode>
                <c:ptCount val="14"/>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0.49392625106268856</c:v>
                </c:pt>
              </c:numCache>
            </c:numRef>
          </c:val>
          <c:smooth val="0"/>
        </c:ser>
        <c:dLbls>
          <c:showLegendKey val="0"/>
          <c:showVal val="0"/>
          <c:showCatName val="0"/>
          <c:showSerName val="0"/>
          <c:showPercent val="0"/>
          <c:showBubbleSize val="0"/>
        </c:dLbls>
        <c:marker val="1"/>
        <c:smooth val="0"/>
        <c:axId val="405926496"/>
        <c:axId val="405926104"/>
      </c:lineChart>
      <c:catAx>
        <c:axId val="405925320"/>
        <c:scaling>
          <c:orientation val="minMax"/>
        </c:scaling>
        <c:delete val="0"/>
        <c:axPos val="b"/>
        <c:numFmt formatCode="General" sourceLinked="1"/>
        <c:majorTickMark val="out"/>
        <c:minorTickMark val="none"/>
        <c:tickLblPos val="nextTo"/>
        <c:txPr>
          <a:bodyPr rot="-5400000" vert="horz"/>
          <a:lstStyle/>
          <a:p>
            <a:pPr>
              <a:defRPr sz="1400"/>
            </a:pPr>
            <a:endParaRPr lang="es-ES"/>
          </a:p>
        </c:txPr>
        <c:crossAx val="405925712"/>
        <c:crosses val="autoZero"/>
        <c:auto val="1"/>
        <c:lblAlgn val="ctr"/>
        <c:lblOffset val="100"/>
        <c:noMultiLvlLbl val="0"/>
      </c:catAx>
      <c:valAx>
        <c:axId val="405925712"/>
        <c:scaling>
          <c:orientation val="minMax"/>
        </c:scaling>
        <c:delete val="0"/>
        <c:axPos val="l"/>
        <c:numFmt formatCode="#,##0" sourceLinked="1"/>
        <c:majorTickMark val="out"/>
        <c:minorTickMark val="none"/>
        <c:tickLblPos val="nextTo"/>
        <c:crossAx val="405925320"/>
        <c:crosses val="autoZero"/>
        <c:crossBetween val="between"/>
      </c:valAx>
      <c:valAx>
        <c:axId val="405926104"/>
        <c:scaling>
          <c:orientation val="minMax"/>
          <c:max val="1"/>
        </c:scaling>
        <c:delete val="0"/>
        <c:axPos val="r"/>
        <c:numFmt formatCode="0.0%" sourceLinked="1"/>
        <c:majorTickMark val="out"/>
        <c:minorTickMark val="none"/>
        <c:tickLblPos val="nextTo"/>
        <c:crossAx val="405926496"/>
        <c:crosses val="max"/>
        <c:crossBetween val="between"/>
      </c:valAx>
      <c:catAx>
        <c:axId val="405926496"/>
        <c:scaling>
          <c:orientation val="minMax"/>
        </c:scaling>
        <c:delete val="1"/>
        <c:axPos val="b"/>
        <c:numFmt formatCode="General" sourceLinked="1"/>
        <c:majorTickMark val="out"/>
        <c:minorTickMark val="none"/>
        <c:tickLblPos val="nextTo"/>
        <c:crossAx val="405926104"/>
        <c:crosses val="autoZero"/>
        <c:auto val="1"/>
        <c:lblAlgn val="ctr"/>
        <c:lblOffset val="100"/>
        <c:noMultiLvlLbl val="0"/>
      </c:catAx>
    </c:plotArea>
    <c:legend>
      <c:legendPos val="r"/>
      <c:layout>
        <c:manualLayout>
          <c:xMode val="edge"/>
          <c:yMode val="edge"/>
          <c:x val="0.22452560910660785"/>
          <c:y val="0.10990368204479695"/>
          <c:w val="0.58392715565541276"/>
          <c:h val="3.7238614648697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684077658231651E-2"/>
          <c:y val="0.32454012985218944"/>
          <c:w val="0.91682584662590527"/>
          <c:h val="0.51268351982318006"/>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400">
                    <a:solidFill>
                      <a:schemeClr val="tx2">
                        <a:lumMod val="60000"/>
                        <a:lumOff val="40000"/>
                      </a:schemeClr>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Abr.15</c:v>
                </c:pt>
                <c:pt idx="1">
                  <c:v>May.15</c:v>
                </c:pt>
                <c:pt idx="2">
                  <c:v>Jun.15</c:v>
                </c:pt>
                <c:pt idx="3">
                  <c:v>Jul.15</c:v>
                </c:pt>
                <c:pt idx="4">
                  <c:v>Ago.15</c:v>
                </c:pt>
                <c:pt idx="5">
                  <c:v>Sep.15</c:v>
                </c:pt>
                <c:pt idx="6">
                  <c:v>Oct.15</c:v>
                </c:pt>
                <c:pt idx="7">
                  <c:v>Nov.15</c:v>
                </c:pt>
                <c:pt idx="8">
                  <c:v>Dic.15</c:v>
                </c:pt>
                <c:pt idx="9">
                  <c:v>Ene.16</c:v>
                </c:pt>
                <c:pt idx="10">
                  <c:v>Feb.16</c:v>
                </c:pt>
                <c:pt idx="11">
                  <c:v>Mar.16</c:v>
                </c:pt>
                <c:pt idx="12">
                  <c:v>Abr.16</c:v>
                </c:pt>
              </c:strCache>
            </c:strRef>
          </c:cat>
          <c:val>
            <c:numRef>
              <c:f>'III.5.4.Afil. SVDS mensual'!$B$4:$B$16</c:f>
              <c:numCache>
                <c:formatCode>#,##0</c:formatCode>
                <c:ptCount val="13"/>
                <c:pt idx="0">
                  <c:v>1513581</c:v>
                </c:pt>
                <c:pt idx="1">
                  <c:v>1530988</c:v>
                </c:pt>
                <c:pt idx="2">
                  <c:v>1553760</c:v>
                </c:pt>
                <c:pt idx="3">
                  <c:v>1571146</c:v>
                </c:pt>
                <c:pt idx="4">
                  <c:v>1520245</c:v>
                </c:pt>
                <c:pt idx="5">
                  <c:v>1562475</c:v>
                </c:pt>
                <c:pt idx="6">
                  <c:v>1578120</c:v>
                </c:pt>
                <c:pt idx="7">
                  <c:v>1569766</c:v>
                </c:pt>
                <c:pt idx="8">
                  <c:v>1617107</c:v>
                </c:pt>
                <c:pt idx="9">
                  <c:v>1501053</c:v>
                </c:pt>
                <c:pt idx="10">
                  <c:v>1605919</c:v>
                </c:pt>
                <c:pt idx="11">
                  <c:v>1671280</c:v>
                </c:pt>
                <c:pt idx="12">
                  <c:v>1646516</c:v>
                </c:pt>
              </c:numCache>
            </c:numRef>
          </c:val>
          <c:smooth val="0"/>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Abr.15</c:v>
                </c:pt>
                <c:pt idx="1">
                  <c:v>May.15</c:v>
                </c:pt>
                <c:pt idx="2">
                  <c:v>Jun.15</c:v>
                </c:pt>
                <c:pt idx="3">
                  <c:v>Jul.15</c:v>
                </c:pt>
                <c:pt idx="4">
                  <c:v>Ago.15</c:v>
                </c:pt>
                <c:pt idx="5">
                  <c:v>Sep.15</c:v>
                </c:pt>
                <c:pt idx="6">
                  <c:v>Oct.15</c:v>
                </c:pt>
                <c:pt idx="7">
                  <c:v>Nov.15</c:v>
                </c:pt>
                <c:pt idx="8">
                  <c:v>Dic.15</c:v>
                </c:pt>
                <c:pt idx="9">
                  <c:v>Ene.16</c:v>
                </c:pt>
                <c:pt idx="10">
                  <c:v>Feb.16</c:v>
                </c:pt>
                <c:pt idx="11">
                  <c:v>Mar.16</c:v>
                </c:pt>
                <c:pt idx="12">
                  <c:v>Abr.16</c:v>
                </c:pt>
              </c:strCache>
            </c:strRef>
          </c:cat>
          <c:val>
            <c:numRef>
              <c:f>'III.5.4.Afil. SVDS mensual'!$C$4:$C$16</c:f>
              <c:numCache>
                <c:formatCode>#,##0</c:formatCode>
                <c:ptCount val="13"/>
                <c:pt idx="0">
                  <c:v>3130659</c:v>
                </c:pt>
                <c:pt idx="1">
                  <c:v>3148124</c:v>
                </c:pt>
                <c:pt idx="2">
                  <c:v>3164622</c:v>
                </c:pt>
                <c:pt idx="3">
                  <c:v>3180386</c:v>
                </c:pt>
                <c:pt idx="4">
                  <c:v>3199322</c:v>
                </c:pt>
                <c:pt idx="5">
                  <c:v>3215452</c:v>
                </c:pt>
                <c:pt idx="6">
                  <c:v>3234981</c:v>
                </c:pt>
                <c:pt idx="7">
                  <c:v>3253374</c:v>
                </c:pt>
                <c:pt idx="8">
                  <c:v>3269757</c:v>
                </c:pt>
                <c:pt idx="9">
                  <c:v>3283151</c:v>
                </c:pt>
                <c:pt idx="10">
                  <c:v>3296822</c:v>
                </c:pt>
                <c:pt idx="11">
                  <c:v>3316016</c:v>
                </c:pt>
                <c:pt idx="12">
                  <c:v>3333526</c:v>
                </c:pt>
              </c:numCache>
            </c:numRef>
          </c:val>
          <c:smooth val="0"/>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927672"/>
        <c:axId val="405928064"/>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2"/>
              <c:layout>
                <c:manualLayout>
                  <c:x val="-2.2922636103152984E-3"/>
                  <c:y val="-5.9850364663088735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75000"/>
                      </a:schemeClr>
                    </a:solidFill>
                  </a:defRPr>
                </a:pPr>
                <a:endParaRPr lang="es-ES"/>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Abr.15</c:v>
                </c:pt>
                <c:pt idx="1">
                  <c:v>May.15</c:v>
                </c:pt>
                <c:pt idx="2">
                  <c:v>Jun.15</c:v>
                </c:pt>
                <c:pt idx="3">
                  <c:v>Jul.15</c:v>
                </c:pt>
                <c:pt idx="4">
                  <c:v>Ago.15</c:v>
                </c:pt>
                <c:pt idx="5">
                  <c:v>Sep.15</c:v>
                </c:pt>
                <c:pt idx="6">
                  <c:v>Oct.15</c:v>
                </c:pt>
                <c:pt idx="7">
                  <c:v>Nov.15</c:v>
                </c:pt>
                <c:pt idx="8">
                  <c:v>Dic.15</c:v>
                </c:pt>
                <c:pt idx="9">
                  <c:v>Ene.16</c:v>
                </c:pt>
                <c:pt idx="10">
                  <c:v>Feb.16</c:v>
                </c:pt>
                <c:pt idx="11">
                  <c:v>Mar.16</c:v>
                </c:pt>
                <c:pt idx="12">
                  <c:v>Abr.16</c:v>
                </c:pt>
              </c:strCache>
            </c:strRef>
          </c:cat>
          <c:val>
            <c:numRef>
              <c:f>'III.5.4.Afil. SVDS mensual'!$D$4:$D$16</c:f>
              <c:numCache>
                <c:formatCode>0.0%</c:formatCode>
                <c:ptCount val="13"/>
                <c:pt idx="0">
                  <c:v>0.4834704130983285</c:v>
                </c:pt>
                <c:pt idx="1">
                  <c:v>0.48631756563591522</c:v>
                </c:pt>
                <c:pt idx="2">
                  <c:v>0.4909780694187173</c:v>
                </c:pt>
                <c:pt idx="3">
                  <c:v>0.4940111043124954</c:v>
                </c:pt>
                <c:pt idx="4">
                  <c:v>0.47517724067786865</c:v>
                </c:pt>
                <c:pt idx="5">
                  <c:v>0.48592701741465899</c:v>
                </c:pt>
                <c:pt idx="6">
                  <c:v>0.48782975850553684</c:v>
                </c:pt>
                <c:pt idx="7">
                  <c:v>0.4825040096834855</c:v>
                </c:pt>
                <c:pt idx="8">
                  <c:v>0.49456488662613152</c:v>
                </c:pt>
                <c:pt idx="9">
                  <c:v>0.45719889216182868</c:v>
                </c:pt>
                <c:pt idx="10">
                  <c:v>0.48711122408185825</c:v>
                </c:pt>
                <c:pt idx="11">
                  <c:v>0.50400239323332574</c:v>
                </c:pt>
                <c:pt idx="12">
                  <c:v>0.49392625106268856</c:v>
                </c:pt>
              </c:numCache>
            </c:numRef>
          </c:val>
          <c:smooth val="0"/>
        </c:ser>
        <c:dLbls>
          <c:showLegendKey val="0"/>
          <c:showVal val="0"/>
          <c:showCatName val="0"/>
          <c:showSerName val="0"/>
          <c:showPercent val="0"/>
          <c:showBubbleSize val="0"/>
        </c:dLbls>
        <c:hiLowLines/>
        <c:marker val="1"/>
        <c:smooth val="0"/>
        <c:axId val="405928848"/>
        <c:axId val="405928456"/>
      </c:lineChart>
      <c:catAx>
        <c:axId val="405927672"/>
        <c:scaling>
          <c:orientation val="minMax"/>
        </c:scaling>
        <c:delete val="0"/>
        <c:axPos val="b"/>
        <c:numFmt formatCode="General" sourceLinked="0"/>
        <c:majorTickMark val="none"/>
        <c:minorTickMark val="none"/>
        <c:tickLblPos val="nextTo"/>
        <c:txPr>
          <a:bodyPr/>
          <a:lstStyle/>
          <a:p>
            <a:pPr>
              <a:defRPr sz="1800"/>
            </a:pPr>
            <a:endParaRPr lang="es-ES"/>
          </a:p>
        </c:txPr>
        <c:crossAx val="405928064"/>
        <c:crosses val="autoZero"/>
        <c:auto val="1"/>
        <c:lblAlgn val="ctr"/>
        <c:lblOffset val="100"/>
        <c:noMultiLvlLbl val="0"/>
      </c:catAx>
      <c:valAx>
        <c:axId val="405928064"/>
        <c:scaling>
          <c:orientation val="minMax"/>
        </c:scaling>
        <c:delete val="0"/>
        <c:axPos val="l"/>
        <c:numFmt formatCode="#,##0" sourceLinked="1"/>
        <c:majorTickMark val="out"/>
        <c:minorTickMark val="none"/>
        <c:tickLblPos val="nextTo"/>
        <c:txPr>
          <a:bodyPr/>
          <a:lstStyle/>
          <a:p>
            <a:pPr>
              <a:defRPr>
                <a:solidFill>
                  <a:schemeClr val="bg1"/>
                </a:solidFill>
              </a:defRPr>
            </a:pPr>
            <a:endParaRPr lang="es-ES"/>
          </a:p>
        </c:txPr>
        <c:crossAx val="405927672"/>
        <c:crosses val="autoZero"/>
        <c:crossBetween val="between"/>
      </c:valAx>
      <c:valAx>
        <c:axId val="405928456"/>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s-ES"/>
          </a:p>
        </c:txPr>
        <c:crossAx val="405928848"/>
        <c:crosses val="max"/>
        <c:crossBetween val="between"/>
      </c:valAx>
      <c:catAx>
        <c:axId val="405928848"/>
        <c:scaling>
          <c:orientation val="minMax"/>
        </c:scaling>
        <c:delete val="1"/>
        <c:axPos val="b"/>
        <c:numFmt formatCode="General" sourceLinked="1"/>
        <c:majorTickMark val="out"/>
        <c:minorTickMark val="none"/>
        <c:tickLblPos val="nextTo"/>
        <c:crossAx val="405928456"/>
        <c:crosses val="autoZero"/>
        <c:auto val="1"/>
        <c:lblAlgn val="ctr"/>
        <c:lblOffset val="100"/>
        <c:noMultiLvlLbl val="0"/>
      </c:catAx>
      <c:spPr>
        <a:ln>
          <a:solidFill>
            <a:schemeClr val="bg1"/>
          </a:solidFill>
        </a:ln>
      </c:spPr>
    </c:plotArea>
    <c:legend>
      <c:legendPos val="r"/>
      <c:layout>
        <c:manualLayout>
          <c:xMode val="edge"/>
          <c:yMode val="edge"/>
          <c:x val="0.18779918597131881"/>
          <c:y val="8.684857875593481E-2"/>
          <c:w val="0.65960344418514993"/>
          <c:h val="5.7165659313993603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894672969408961E-2"/>
          <c:y val="0.20501950623738302"/>
          <c:w val="0.86100943833083199"/>
          <c:h val="0.58503157132846717"/>
        </c:manualLayout>
      </c:layout>
      <c:lineChart>
        <c:grouping val="standard"/>
        <c:varyColors val="0"/>
        <c:ser>
          <c:idx val="0"/>
          <c:order val="0"/>
          <c:tx>
            <c:strRef>
              <c:f>'III.5.5.Afil. cotiz.'!$B$2</c:f>
              <c:strCache>
                <c:ptCount val="1"/>
                <c:pt idx="0">
                  <c:v>Afiliados</c:v>
                </c:pt>
              </c:strCache>
            </c:strRef>
          </c:tx>
          <c:cat>
            <c:strRef>
              <c:f>'III.5.5.Afil. cotiz.'!$A$3:$A$16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'III.5.5.Afil. cotiz.'!$B$3:$B$14</c:f>
            </c:numRef>
          </c:val>
          <c:smooth val="0"/>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902675671121962E-2"/>
                  <c:y val="5.46184730319944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99499569036684E-2"/>
                  <c:y val="4.77911639029952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200">
                    <a:solidFill>
                      <a:schemeClr val="tx2">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'III.5.5.Afil. cotiz.'!$C$3:$C$16</c:f>
              <c:numCache>
                <c:formatCode>#,##0</c:formatCode>
                <c:ptCount val="12"/>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1646516</c:v>
                </c:pt>
              </c:numCache>
            </c:numRef>
          </c:val>
          <c:smooth val="0"/>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'III.5.5.Afil. cotiz.'!$D$3:$D$16</c:f>
              <c:numCache>
                <c:formatCode>#,##0</c:formatCode>
                <c:ptCount val="12"/>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1965498</c:v>
                </c:pt>
              </c:numCache>
            </c:numRef>
          </c:val>
          <c:smooth val="0"/>
        </c:ser>
        <c:dLbls>
          <c:showLegendKey val="0"/>
          <c:showVal val="0"/>
          <c:showCatName val="0"/>
          <c:showSerName val="0"/>
          <c:showPercent val="0"/>
          <c:showBubbleSize val="0"/>
        </c:dLbls>
        <c:hiLowLines>
          <c:spPr>
            <a:ln w="12700">
              <a:solidFill>
                <a:srgbClr val="FFC000"/>
              </a:solidFill>
              <a:prstDash val="dash"/>
            </a:ln>
          </c:spPr>
        </c:hiLowLines>
        <c:marker val="1"/>
        <c:smooth val="0"/>
        <c:axId val="405929632"/>
        <c:axId val="40593002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3253718884324275E-2"/>
                  <c:y val="5.30700186954677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'III.5.5.Afil. cotiz.'!$E$3:$E$16</c:f>
              <c:numCache>
                <c:formatCode>0.00%</c:formatCode>
                <c:ptCount val="12"/>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0.8377093235403954</c:v>
                </c:pt>
              </c:numCache>
            </c:numRef>
          </c:val>
          <c:smooth val="0"/>
        </c:ser>
        <c:dLbls>
          <c:showLegendKey val="0"/>
          <c:showVal val="0"/>
          <c:showCatName val="0"/>
          <c:showSerName val="0"/>
          <c:showPercent val="0"/>
          <c:showBubbleSize val="0"/>
        </c:dLbls>
        <c:hiLowLines/>
        <c:marker val="1"/>
        <c:smooth val="0"/>
        <c:axId val="405930808"/>
        <c:axId val="405930416"/>
      </c:lineChart>
      <c:catAx>
        <c:axId val="405929632"/>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405930024"/>
        <c:crosses val="autoZero"/>
        <c:auto val="1"/>
        <c:lblAlgn val="ctr"/>
        <c:lblOffset val="100"/>
        <c:noMultiLvlLbl val="0"/>
      </c:catAx>
      <c:valAx>
        <c:axId val="405930024"/>
        <c:scaling>
          <c:orientation val="minMax"/>
        </c:scaling>
        <c:delete val="0"/>
        <c:axPos val="l"/>
        <c:numFmt formatCode="#,##0" sourceLinked="1"/>
        <c:majorTickMark val="out"/>
        <c:minorTickMark val="none"/>
        <c:tickLblPos val="nextTo"/>
        <c:crossAx val="405929632"/>
        <c:crosses val="autoZero"/>
        <c:crossBetween val="between"/>
        <c:majorUnit val="500000"/>
      </c:valAx>
      <c:valAx>
        <c:axId val="405930416"/>
        <c:scaling>
          <c:orientation val="minMax"/>
          <c:max val="1"/>
        </c:scaling>
        <c:delete val="0"/>
        <c:axPos val="r"/>
        <c:numFmt formatCode="0.00%" sourceLinked="1"/>
        <c:majorTickMark val="out"/>
        <c:minorTickMark val="none"/>
        <c:tickLblPos val="nextTo"/>
        <c:crossAx val="405930808"/>
        <c:crosses val="max"/>
        <c:crossBetween val="between"/>
      </c:valAx>
      <c:catAx>
        <c:axId val="405930808"/>
        <c:scaling>
          <c:orientation val="minMax"/>
        </c:scaling>
        <c:delete val="1"/>
        <c:axPos val="b"/>
        <c:numFmt formatCode="General" sourceLinked="1"/>
        <c:majorTickMark val="out"/>
        <c:minorTickMark val="none"/>
        <c:tickLblPos val="nextTo"/>
        <c:crossAx val="40593041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4231276827253071"/>
          <c:y val="3.522886606618229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9710216443291464E-3"/>
          <c:y val="0.17989935792091499"/>
          <c:w val="0.97119166503081555"/>
          <c:h val="0.58214982223452483"/>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23108</c:v>
                </c:pt>
                <c:pt idx="1">
                  <c:v>205972</c:v>
                </c:pt>
                <c:pt idx="2">
                  <c:v>263595</c:v>
                </c:pt>
                <c:pt idx="3">
                  <c:v>241639</c:v>
                </c:pt>
                <c:pt idx="4">
                  <c:v>224505</c:v>
                </c:pt>
                <c:pt idx="5">
                  <c:v>187734</c:v>
                </c:pt>
                <c:pt idx="6">
                  <c:v>161528</c:v>
                </c:pt>
                <c:pt idx="7">
                  <c:v>127926</c:v>
                </c:pt>
                <c:pt idx="8">
                  <c:v>89007</c:v>
                </c:pt>
                <c:pt idx="9">
                  <c:v>121502</c:v>
                </c:pt>
              </c:numCache>
            </c:numRef>
          </c:val>
        </c:ser>
        <c:dLbls>
          <c:showLegendKey val="0"/>
          <c:showVal val="0"/>
          <c:showCatName val="0"/>
          <c:showSerName val="0"/>
          <c:showPercent val="0"/>
          <c:showBubbleSize val="0"/>
        </c:dLbls>
        <c:gapWidth val="14"/>
        <c:shape val="cylinder"/>
        <c:axId val="405931592"/>
        <c:axId val="405931984"/>
        <c:axId val="0"/>
      </c:bar3DChart>
      <c:catAx>
        <c:axId val="405931592"/>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405931984"/>
        <c:crosses val="autoZero"/>
        <c:auto val="1"/>
        <c:lblAlgn val="ctr"/>
        <c:lblOffset val="100"/>
        <c:noMultiLvlLbl val="0"/>
      </c:catAx>
      <c:valAx>
        <c:axId val="405931984"/>
        <c:scaling>
          <c:orientation val="minMax"/>
        </c:scaling>
        <c:delete val="1"/>
        <c:axPos val="l"/>
        <c:numFmt formatCode="#,##0" sourceLinked="1"/>
        <c:majorTickMark val="none"/>
        <c:minorTickMark val="none"/>
        <c:tickLblPos val="nextTo"/>
        <c:crossAx val="40593159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1085808940400086"/>
          <c:y val="4.9422933635286576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1.3204465812721165E-2"/>
          <c:y val="0.14824605041861752"/>
          <c:w val="0.97770266103107606"/>
          <c:h val="0.67845002981992808"/>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2.1522682853524957E-2"/>
                  <c:y val="-0.3416013569197267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482711074562342E-2"/>
                  <c:y val="-0.3346928920344944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605279677536591E-2"/>
                  <c:y val="-0.1368452468069289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71264243711951E-2"/>
                  <c:y val="-0.1207459319138767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896994629436044E-2"/>
                  <c:y val="-0.1241832203881513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728530045740596E-2"/>
                  <c:y val="-7.68389975364054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337147535085885E-2"/>
                  <c:y val="-7.66560671754403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972727906814451E-2"/>
                  <c:y val="-6.75123037573459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802560911590377E-2"/>
                  <c:y val="-6.56609883916864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589558</c:v>
                </c:pt>
                <c:pt idx="1">
                  <c:v>581510</c:v>
                </c:pt>
                <c:pt idx="2">
                  <c:v>163761</c:v>
                </c:pt>
                <c:pt idx="3">
                  <c:v>110883</c:v>
                </c:pt>
                <c:pt idx="4">
                  <c:v>117798</c:v>
                </c:pt>
                <c:pt idx="5">
                  <c:v>36393</c:v>
                </c:pt>
                <c:pt idx="6">
                  <c:v>17206</c:v>
                </c:pt>
                <c:pt idx="7">
                  <c:v>16277</c:v>
                </c:pt>
                <c:pt idx="8">
                  <c:v>13130</c:v>
                </c:pt>
              </c:numCache>
            </c:numRef>
          </c:val>
        </c:ser>
        <c:dLbls>
          <c:showLegendKey val="0"/>
          <c:showVal val="0"/>
          <c:showCatName val="0"/>
          <c:showSerName val="0"/>
          <c:showPercent val="0"/>
          <c:showBubbleSize val="0"/>
        </c:dLbls>
        <c:gapWidth val="12"/>
        <c:shape val="cylinder"/>
        <c:axId val="405932768"/>
        <c:axId val="405933160"/>
        <c:axId val="0"/>
      </c:bar3DChart>
      <c:catAx>
        <c:axId val="405932768"/>
        <c:scaling>
          <c:orientation val="minMax"/>
        </c:scaling>
        <c:delete val="0"/>
        <c:axPos val="b"/>
        <c:numFmt formatCode="General" sourceLinked="1"/>
        <c:majorTickMark val="none"/>
        <c:minorTickMark val="none"/>
        <c:tickLblPos val="nextTo"/>
        <c:txPr>
          <a:bodyPr/>
          <a:lstStyle/>
          <a:p>
            <a:pPr>
              <a:defRPr lang="en-US" sz="1400"/>
            </a:pPr>
            <a:endParaRPr lang="es-ES"/>
          </a:p>
        </c:txPr>
        <c:crossAx val="405933160"/>
        <c:crosses val="autoZero"/>
        <c:auto val="1"/>
        <c:lblAlgn val="ctr"/>
        <c:lblOffset val="100"/>
        <c:noMultiLvlLbl val="0"/>
      </c:catAx>
      <c:valAx>
        <c:axId val="405933160"/>
        <c:scaling>
          <c:orientation val="minMax"/>
        </c:scaling>
        <c:delete val="1"/>
        <c:axPos val="l"/>
        <c:numFmt formatCode="#,##0" sourceLinked="1"/>
        <c:majorTickMark val="none"/>
        <c:minorTickMark val="none"/>
        <c:tickLblPos val="nextTo"/>
        <c:crossAx val="40593276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293559554689786"/>
          <c:y val="0.27829011373578305"/>
          <c:w val="0.61069089571747226"/>
          <c:h val="0.57190327209098868"/>
        </c:manualLayout>
      </c:layout>
      <c:pie3DChart>
        <c:varyColors val="1"/>
        <c:ser>
          <c:idx val="0"/>
          <c:order val="0"/>
          <c:tx>
            <c:strRef>
              <c:f>'III.5.8.Cotiz.x AFP y fondos'!$A$4</c:f>
              <c:strCache>
                <c:ptCount val="1"/>
                <c:pt idx="0">
                  <c:v>Abr.16</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4.8480634732380831E-2"/>
                  <c:y val="-4.09344638188619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46C262E-FDB6-42DE-8742-E4847110E0A1}" type="CATEGORYNAME">
                      <a:rPr lang="en-US" sz="1800"/>
                      <a:pPr>
                        <a:defRPr sz="1800"/>
                      </a:pPr>
                      <a:t>[NOMBRE DE CATEGORÍA]</a:t>
                    </a:fld>
                    <a:r>
                      <a:rPr lang="en-US" sz="1800" baseline="0"/>
                      <a:t> </a:t>
                    </a:r>
                  </a:p>
                  <a:p>
                    <a:pPr>
                      <a:defRPr sz="1800"/>
                    </a:pPr>
                    <a:fld id="{D2F12645-9838-4411-8185-DBAEB43F84F2}" type="VALUE">
                      <a:rPr lang="en-US" sz="1800" baseline="0"/>
                      <a:pPr>
                        <a:defRPr sz="1800"/>
                      </a:pPr>
                      <a:t>[VALOR]</a:t>
                    </a:fld>
                    <a:endParaRPr lang="en-US" sz="1800" baseline="0"/>
                  </a:p>
                  <a:p>
                    <a:pPr>
                      <a:defRPr sz="1800"/>
                    </a:pPr>
                    <a:r>
                      <a:rPr lang="en-US" sz="1800" baseline="0"/>
                      <a:t> </a:t>
                    </a:r>
                    <a:fld id="{A6B154D5-3CE2-4A99-A084-11C947FBE0C5}" type="PERCENTAGE">
                      <a:rPr lang="en-US" sz="1800" baseline="0"/>
                      <a:pPr>
                        <a:defRPr sz="1800"/>
                      </a:pPr>
                      <a:t>[PORCENTAJE]</a:t>
                    </a:fld>
                    <a:endParaRPr lang="en-US" sz="18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0448505329188262E-2"/>
                  <c:y val="-5.382411198600181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0A691E98-F8D2-4630-B7C1-B33F8B51707B}" type="CATEGORYNAME">
                      <a:rPr lang="en-US" sz="1800"/>
                      <a:pPr>
                        <a:defRPr sz="1800">
                          <a:solidFill>
                            <a:schemeClr val="accent1"/>
                          </a:solidFill>
                        </a:defRPr>
                      </a:pPr>
                      <a:t>[NOMBRE DE CATEGORÍA]</a:t>
                    </a:fld>
                    <a:r>
                      <a:rPr lang="en-US" sz="1800" baseline="0"/>
                      <a:t> </a:t>
                    </a:r>
                  </a:p>
                  <a:p>
                    <a:pPr>
                      <a:defRPr sz="1800">
                        <a:solidFill>
                          <a:schemeClr val="accent1"/>
                        </a:solidFill>
                      </a:defRPr>
                    </a:pPr>
                    <a:fld id="{45ED5880-70BC-4495-B0E7-A5909B5B95E2}"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2A0A7464-5FD9-4F67-94C5-3D806BC0F271}" type="PERCENTAGE">
                      <a:rPr lang="en-US" sz="1800" baseline="0"/>
                      <a:pPr>
                        <a:defRPr sz="1800">
                          <a:solidFill>
                            <a:schemeClr val="accent1"/>
                          </a:solidFill>
                        </a:defRPr>
                      </a:pPr>
                      <a:t>[PORCENTAJE]</a:t>
                    </a:fld>
                    <a:endParaRPr lang="en-US" sz="18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5.662694499861147E-2"/>
                  <c:y val="1.02376601599304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53B4A305-4021-4D4A-97FA-E0309DCD4D20}" type="CATEGORYNAME">
                      <a:rPr lang="en-US" sz="1800"/>
                      <a:pPr>
                        <a:defRPr sz="1800">
                          <a:solidFill>
                            <a:schemeClr val="accent1"/>
                          </a:solidFill>
                        </a:defRPr>
                      </a:pPr>
                      <a:t>[NOMBRE DE CATEGORÍA]</a:t>
                    </a:fld>
                    <a:r>
                      <a:rPr lang="en-US" sz="1800" baseline="0"/>
                      <a:t> </a:t>
                    </a:r>
                  </a:p>
                  <a:p>
                    <a:pPr>
                      <a:defRPr sz="1800">
                        <a:solidFill>
                          <a:schemeClr val="accent1"/>
                        </a:solidFill>
                      </a:defRPr>
                    </a:pPr>
                    <a:fld id="{E064C9C5-2D23-4CC1-9A27-89EFDE71C256}" type="VALUE">
                      <a:rPr lang="en-US" sz="1800" baseline="0"/>
                      <a:pPr>
                        <a:defRPr sz="1800">
                          <a:solidFill>
                            <a:schemeClr val="accent1"/>
                          </a:solidFill>
                        </a:defRPr>
                      </a:pPr>
                      <a:t>[VALOR]</a:t>
                    </a:fld>
                    <a:r>
                      <a:rPr lang="en-US" sz="1800" baseline="0"/>
                      <a:t> </a:t>
                    </a:r>
                  </a:p>
                  <a:p>
                    <a:pPr>
                      <a:defRPr sz="1800">
                        <a:solidFill>
                          <a:schemeClr val="accent1"/>
                        </a:solidFill>
                      </a:defRPr>
                    </a:pPr>
                    <a:r>
                      <a:rPr lang="en-US" sz="1800" baseline="0"/>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2.8313472499305624E-2"/>
                  <c:y val="4.265691733304384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8C446A9-A54F-432D-8B74-44C0A6B1954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225D0FE1-8EEC-4F2D-932F-5F55B08E6D3A}" type="VALUE">
                      <a:rPr lang="en-US" sz="1800" baseline="0"/>
                      <a:pPr>
                        <a:defRPr sz="1800">
                          <a:solidFill>
                            <a:schemeClr val="accent1"/>
                          </a:solidFill>
                        </a:defRPr>
                      </a:pPr>
                      <a:t>[VALOR]</a:t>
                    </a:fld>
                    <a:r>
                      <a:rPr lang="en-US" sz="1800" baseline="0"/>
                      <a:t> </a:t>
                    </a:r>
                  </a:p>
                  <a:p>
                    <a:pPr>
                      <a:defRPr sz="1800">
                        <a:solidFill>
                          <a:schemeClr val="accent1"/>
                        </a:solidFill>
                      </a:defRPr>
                    </a:pPr>
                    <a:fld id="{3D899F0F-0943-48E0-A280-5276BF6BCBF7}"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8537381427381232E-2"/>
                  <c:y val="4.095064063972209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09C05F82-A25F-4184-93CE-757E4E6222CC}"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C6A1B63-CAA4-42EC-A0CC-3E976A015E36}" type="VALUE">
                      <a:rPr lang="en-US" sz="1800" baseline="0"/>
                      <a:pPr>
                        <a:defRPr sz="1800">
                          <a:solidFill>
                            <a:schemeClr val="accent1"/>
                          </a:solidFill>
                        </a:defRPr>
                      </a:pPr>
                      <a:t>[VALOR]</a:t>
                    </a:fld>
                    <a:r>
                      <a:rPr lang="en-US" sz="1800" baseline="0"/>
                      <a:t> </a:t>
                    </a:r>
                  </a:p>
                  <a:p>
                    <a:pPr>
                      <a:defRPr sz="1800">
                        <a:solidFill>
                          <a:schemeClr val="accent1"/>
                        </a:solidFill>
                      </a:defRPr>
                    </a:pPr>
                    <a:fld id="{031ACC02-B684-49A9-A599-909073BBD87B}"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C60DF21-6887-4E83-81A2-1A560CB374B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A7824EA3-4358-4A7A-910F-B50E6EA6BBAA}" type="VALUE">
                      <a:rPr lang="en-US" sz="1800" baseline="0"/>
                      <a:pPr>
                        <a:defRPr sz="1800">
                          <a:solidFill>
                            <a:schemeClr val="accent1"/>
                          </a:solidFill>
                        </a:defRPr>
                      </a:pPr>
                      <a:t>[VALOR]</a:t>
                    </a:fld>
                    <a:r>
                      <a:rPr lang="en-US" sz="1800" baseline="0"/>
                      <a:t> </a:t>
                    </a:r>
                  </a:p>
                  <a:p>
                    <a:pPr>
                      <a:defRPr sz="1800">
                        <a:solidFill>
                          <a:schemeClr val="accent1"/>
                        </a:solidFill>
                      </a:defRPr>
                    </a:pPr>
                    <a:fld id="{88239077-2464-4C8D-96C7-E7C0ED2CF7F8}"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7A05422D-C869-4DFF-AB53-D8B4630E9D10}"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F6DD79-39E9-4CDF-9E84-CDC670C45123}" type="VALUE">
                      <a:rPr lang="en-US" sz="1800" baseline="0"/>
                      <a:pPr>
                        <a:defRPr sz="1800">
                          <a:solidFill>
                            <a:schemeClr val="accent1"/>
                          </a:solidFill>
                        </a:defRPr>
                      </a:pPr>
                      <a:t>[VALOR]</a:t>
                    </a:fld>
                    <a:r>
                      <a:rPr lang="en-US" sz="1800" baseline="0"/>
                      <a:t> </a:t>
                    </a:r>
                  </a:p>
                  <a:p>
                    <a:pPr>
                      <a:defRPr sz="1800">
                        <a:solidFill>
                          <a:schemeClr val="accent1"/>
                        </a:solidFill>
                      </a:defRPr>
                    </a:pPr>
                    <a:fld id="{49E9001D-2922-46C2-9285-02338C09A549}"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4.0395427924745361E-2"/>
                  <c:y val="-0.15613326334208225"/>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2C7C9E1-7903-4BAB-8FC6-ADCAC177BB05}"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2DBCE28A-9A45-4CC9-A8D1-D5DB87DEC51E}" type="VALUE">
                      <a:rPr lang="en-US" sz="1800" baseline="0"/>
                      <a:pPr>
                        <a:defRPr sz="1800">
                          <a:solidFill>
                            <a:schemeClr val="accent1"/>
                          </a:solidFill>
                        </a:defRPr>
                      </a:pPr>
                      <a:t>[VALOR]</a:t>
                    </a:fld>
                    <a:r>
                      <a:rPr lang="en-US" sz="1800" baseline="0"/>
                      <a:t> </a:t>
                    </a:r>
                  </a:p>
                  <a:p>
                    <a:pPr>
                      <a:defRPr sz="1800">
                        <a:solidFill>
                          <a:schemeClr val="accent1"/>
                        </a:solidFill>
                      </a:defRPr>
                    </a:pPr>
                    <a:r>
                      <a:rPr lang="en-US" sz="1800" baseline="0"/>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fondos'!$B$3:$I$3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fondos'!$B$4:$I$4</c:f>
              <c:numCache>
                <c:formatCode>_(* #,##0_);_(* \(#,##0\);_(* "-"??_);_(@_)</c:formatCode>
                <c:ptCount val="8"/>
                <c:pt idx="0">
                  <c:v>481473</c:v>
                </c:pt>
                <c:pt idx="1">
                  <c:v>228286</c:v>
                </c:pt>
                <c:pt idx="2">
                  <c:v>12666</c:v>
                </c:pt>
                <c:pt idx="3">
                  <c:v>461556</c:v>
                </c:pt>
                <c:pt idx="4">
                  <c:v>300519</c:v>
                </c:pt>
                <c:pt idx="5">
                  <c:v>93531</c:v>
                </c:pt>
                <c:pt idx="6">
                  <c:v>40252</c:v>
                </c:pt>
                <c:pt idx="7">
                  <c:v>28233</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18850836297587598"/>
          <c:y val="2.5075712911213847E-2"/>
        </c:manualLayout>
      </c:layout>
      <c:overlay val="0"/>
    </c:title>
    <c:autoTitleDeleted val="0"/>
    <c:plotArea>
      <c:layout>
        <c:manualLayout>
          <c:layoutTarget val="inner"/>
          <c:xMode val="edge"/>
          <c:yMode val="edge"/>
          <c:x val="9.8176181950208399E-2"/>
          <c:y val="0.13025571636195155"/>
          <c:w val="0.80291448705581903"/>
          <c:h val="0.72540785878030201"/>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8.8894459770511761E-2"/>
                  <c:y val="-1.9958720791351064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RD$ 17,455.00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Abr.16</c:v>
                </c:pt>
              </c:strCache>
            </c:strRef>
          </c:cat>
          <c:val>
            <c:numRef>
              <c:f>'II.5 Salario prom.'!$B$4:$B$12</c:f>
              <c:numCache>
                <c:formatCode>_(* #,##0.00_);_(* \(#,##0.00\);_(* "-"??_);_(@_)</c:formatCode>
                <c:ptCount val="9"/>
                <c:pt idx="0">
                  <c:v>12759.99</c:v>
                </c:pt>
                <c:pt idx="1">
                  <c:v>13453</c:v>
                </c:pt>
                <c:pt idx="2">
                  <c:v>13943.45</c:v>
                </c:pt>
                <c:pt idx="3">
                  <c:v>15132</c:v>
                </c:pt>
                <c:pt idx="4">
                  <c:v>15533</c:v>
                </c:pt>
                <c:pt idx="5">
                  <c:v>16191</c:v>
                </c:pt>
                <c:pt idx="6">
                  <c:v>16415</c:v>
                </c:pt>
                <c:pt idx="7">
                  <c:v>17417</c:v>
                </c:pt>
                <c:pt idx="8">
                  <c:v>17455</c:v>
                </c:pt>
              </c:numCache>
            </c:numRef>
          </c:val>
          <c:smooth val="0"/>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8.8787819909600718E-2"/>
                  <c:y val="-3.9997983585700184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RD$22,160.00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Abr.16</c:v>
                </c:pt>
              </c:strCache>
            </c:strRef>
          </c:cat>
          <c:val>
            <c:numRef>
              <c:f>'II.5 Salario prom.'!$C$4:$C$12</c:f>
              <c:numCache>
                <c:formatCode>_(* #,##0.00_);_(* \(#,##0.00\);_(* "-"??_);_(@_)</c:formatCode>
                <c:ptCount val="9"/>
                <c:pt idx="0">
                  <c:v>15836.19</c:v>
                </c:pt>
                <c:pt idx="1">
                  <c:v>14653.84</c:v>
                </c:pt>
                <c:pt idx="2">
                  <c:v>16719.03</c:v>
                </c:pt>
                <c:pt idx="3">
                  <c:v>17464</c:v>
                </c:pt>
                <c:pt idx="4">
                  <c:v>18675</c:v>
                </c:pt>
                <c:pt idx="5">
                  <c:v>19327</c:v>
                </c:pt>
                <c:pt idx="6">
                  <c:v>20545</c:v>
                </c:pt>
                <c:pt idx="7">
                  <c:v>21911</c:v>
                </c:pt>
                <c:pt idx="8">
                  <c:v>22160</c:v>
                </c:pt>
              </c:numCache>
            </c:numRef>
          </c:val>
          <c:smooth val="0"/>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7.2988104802657591E-2"/>
                  <c:y val="-8.0385158045063423E-2"/>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RD$ 24,718.00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1">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Abr.16</c:v>
                </c:pt>
              </c:strCache>
            </c:strRef>
          </c:cat>
          <c:val>
            <c:numRef>
              <c:f>'II.5 Salario prom.'!$D$4:$D$12</c:f>
              <c:numCache>
                <c:formatCode>_(* #,##0.00_);_(* \(#,##0.00\);_(* "-"??_);_(@_)</c:formatCode>
                <c:ptCount val="9"/>
                <c:pt idx="0">
                  <c:v>14748.51</c:v>
                </c:pt>
                <c:pt idx="1">
                  <c:v>15155.74</c:v>
                </c:pt>
                <c:pt idx="2">
                  <c:v>15971.57</c:v>
                </c:pt>
                <c:pt idx="3">
                  <c:v>17399</c:v>
                </c:pt>
                <c:pt idx="4">
                  <c:v>17851</c:v>
                </c:pt>
                <c:pt idx="5">
                  <c:v>20747</c:v>
                </c:pt>
                <c:pt idx="6">
                  <c:v>22507</c:v>
                </c:pt>
                <c:pt idx="7">
                  <c:v>24421</c:v>
                </c:pt>
                <c:pt idx="8">
                  <c:v>24718</c:v>
                </c:pt>
              </c:numCache>
            </c:numRef>
          </c:val>
          <c:smooth val="0"/>
        </c:ser>
        <c:dLbls>
          <c:showLegendKey val="0"/>
          <c:showVal val="0"/>
          <c:showCatName val="0"/>
          <c:showSerName val="0"/>
          <c:showPercent val="0"/>
          <c:showBubbleSize val="0"/>
        </c:dLbls>
        <c:marker val="1"/>
        <c:smooth val="0"/>
        <c:axId val="406437632"/>
        <c:axId val="406438024"/>
      </c:lineChart>
      <c:catAx>
        <c:axId val="406437632"/>
        <c:scaling>
          <c:orientation val="minMax"/>
        </c:scaling>
        <c:delete val="0"/>
        <c:axPos val="b"/>
        <c:numFmt formatCode="General" sourceLinked="0"/>
        <c:majorTickMark val="none"/>
        <c:minorTickMark val="none"/>
        <c:tickLblPos val="nextTo"/>
        <c:txPr>
          <a:bodyPr/>
          <a:lstStyle/>
          <a:p>
            <a:pPr>
              <a:defRPr sz="1800" b="1"/>
            </a:pPr>
            <a:endParaRPr lang="es-ES"/>
          </a:p>
        </c:txPr>
        <c:crossAx val="406438024"/>
        <c:crosses val="autoZero"/>
        <c:auto val="1"/>
        <c:lblAlgn val="ctr"/>
        <c:lblOffset val="100"/>
        <c:noMultiLvlLbl val="0"/>
      </c:catAx>
      <c:valAx>
        <c:axId val="406438024"/>
        <c:scaling>
          <c:orientation val="minMax"/>
          <c:max val="30000"/>
          <c:min val="10000"/>
        </c:scaling>
        <c:delete val="0"/>
        <c:axPos val="l"/>
        <c:numFmt formatCode="_(* #,##0.00_);_(* \(#,##0.00\);_(* &quot;-&quot;??_);_(@_)" sourceLinked="1"/>
        <c:majorTickMark val="none"/>
        <c:minorTickMark val="none"/>
        <c:tickLblPos val="nextTo"/>
        <c:txPr>
          <a:bodyPr/>
          <a:lstStyle/>
          <a:p>
            <a:pPr>
              <a:defRPr sz="1050"/>
            </a:pPr>
            <a:endParaRPr lang="es-ES"/>
          </a:p>
        </c:txPr>
        <c:crossAx val="40643763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8310774586012571"/>
          <c:y val="1.7386807540777149E-2"/>
        </c:manualLayout>
      </c:layout>
      <c:overlay val="0"/>
    </c:title>
    <c:autoTitleDeleted val="0"/>
    <c:plotArea>
      <c:layout>
        <c:manualLayout>
          <c:layoutTarget val="inner"/>
          <c:xMode val="edge"/>
          <c:yMode val="edge"/>
          <c:x val="6.5116487304758552E-2"/>
          <c:y val="0.26274626499713016"/>
          <c:w val="0.87382236934982482"/>
          <c:h val="0.56006739797038863"/>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III.5.9.PEA_Pensiones_Género!$A$4:$A$17</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III.5.9.PEA_Pensiones_Género!$E$4:$E$17</c:f>
              <c:numCache>
                <c:formatCode>0.0%</c:formatCode>
                <c:ptCount val="12"/>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0.59167631497092943</c:v>
                </c:pt>
              </c:numCache>
            </c:numRef>
          </c:val>
          <c:smooth val="0"/>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III.5.9.PEA_Pensiones_Género!$A$4:$A$17</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III.5.9.PEA_Pensiones_Género!$F$4:$F$17</c:f>
              <c:numCache>
                <c:formatCode>0.0%</c:formatCode>
                <c:ptCount val="12"/>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0.40832368502907063</c:v>
                </c:pt>
              </c:numCache>
            </c:numRef>
          </c:val>
          <c:smooth val="0"/>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III.5.9.PEA_Pensiones_Género!$A$4:$A$17</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III.5.9.PEA_Pensiones_Género!$J$4:$J$17</c:f>
              <c:numCache>
                <c:formatCode>0.0%</c:formatCode>
                <c:ptCount val="12"/>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0.55519654834814847</c:v>
                </c:pt>
              </c:numCache>
            </c:numRef>
          </c:val>
          <c:smooth val="0"/>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7030A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III.5.9.PEA_Pensiones_Género!$A$4:$A$17</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III.5.9.PEA_Pensiones_Género!$K$4:$K$17</c:f>
              <c:numCache>
                <c:formatCode>0.0%</c:formatCode>
                <c:ptCount val="12"/>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0.44480345165185153</c:v>
                </c:pt>
              </c:numCache>
            </c:numRef>
          </c:val>
          <c:smooth val="0"/>
        </c:ser>
        <c:dLbls>
          <c:showLegendKey val="0"/>
          <c:showVal val="0"/>
          <c:showCatName val="0"/>
          <c:showSerName val="0"/>
          <c:showPercent val="0"/>
          <c:showBubbleSize val="0"/>
        </c:dLbls>
        <c:marker val="1"/>
        <c:smooth val="0"/>
        <c:axId val="408268152"/>
        <c:axId val="408268544"/>
      </c:lineChart>
      <c:catAx>
        <c:axId val="408268152"/>
        <c:scaling>
          <c:orientation val="minMax"/>
        </c:scaling>
        <c:delete val="0"/>
        <c:axPos val="b"/>
        <c:numFmt formatCode="General" sourceLinked="1"/>
        <c:majorTickMark val="none"/>
        <c:minorTickMark val="none"/>
        <c:tickLblPos val="nextTo"/>
        <c:txPr>
          <a:bodyPr/>
          <a:lstStyle/>
          <a:p>
            <a:pPr>
              <a:defRPr sz="900"/>
            </a:pPr>
            <a:endParaRPr lang="es-ES"/>
          </a:p>
        </c:txPr>
        <c:crossAx val="408268544"/>
        <c:crosses val="autoZero"/>
        <c:auto val="1"/>
        <c:lblAlgn val="ctr"/>
        <c:lblOffset val="100"/>
        <c:noMultiLvlLbl val="0"/>
      </c:catAx>
      <c:valAx>
        <c:axId val="408268544"/>
        <c:scaling>
          <c:orientation val="minMax"/>
        </c:scaling>
        <c:delete val="1"/>
        <c:axPos val="l"/>
        <c:numFmt formatCode="0.0%" sourceLinked="1"/>
        <c:majorTickMark val="none"/>
        <c:minorTickMark val="none"/>
        <c:tickLblPos val="nextTo"/>
        <c:crossAx val="408268152"/>
        <c:crosses val="autoZero"/>
        <c:crossBetween val="between"/>
      </c:valAx>
    </c:plotArea>
    <c:legend>
      <c:legendPos val="b"/>
      <c:layout>
        <c:manualLayout>
          <c:xMode val="edge"/>
          <c:yMode val="edge"/>
          <c:x val="4.7448351678553269E-2"/>
          <c:y val="0.11858902987445041"/>
          <c:w val="0.9"/>
          <c:h val="4.3066018021632638E-2"/>
        </c:manualLayout>
      </c:layout>
      <c:overlay val="0"/>
      <c:txPr>
        <a:bodyPr/>
        <a:lstStyle/>
        <a:p>
          <a:pPr>
            <a:defRPr sz="9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9.4653124097301811E-2"/>
          <c:y val="0.142130246111322"/>
          <c:w val="0.76640497060201396"/>
          <c:h val="0.7400609997654779"/>
        </c:manualLayout>
      </c:layout>
      <c:barChart>
        <c:barDir val="bar"/>
        <c:grouping val="clustered"/>
        <c:varyColors val="0"/>
        <c:ser>
          <c:idx val="0"/>
          <c:order val="0"/>
          <c:tx>
            <c:strRef>
              <c:f>'III.5.10.Cot.Afil X Sexo'!$B$25</c:f>
              <c:strCache>
                <c:ptCount val="1"/>
                <c:pt idx="0">
                  <c:v>Afiliados Masculinos</c:v>
                </c:pt>
              </c:strCache>
            </c:strRef>
          </c:tx>
          <c:spPr>
            <a:solidFill>
              <a:schemeClr val="accent3">
                <a:lumMod val="75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Apr-16</c:v>
                </c:pt>
              </c:strCache>
            </c:strRef>
          </c:cat>
          <c:val>
            <c:numRef>
              <c:f>'III.5.10.Cot.Afil X Sexo'!$B$26:$B$39</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1898487</c:v>
                </c:pt>
              </c:numCache>
            </c:numRef>
          </c:val>
        </c:ser>
        <c:ser>
          <c:idx val="1"/>
          <c:order val="1"/>
          <c:tx>
            <c:strRef>
              <c:f>'III.5.10.Cot.Afil X Sexo'!$C$25</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Apr-16</c:v>
                </c:pt>
              </c:strCache>
            </c:strRef>
          </c:cat>
          <c:val>
            <c:numRef>
              <c:f>'III.5.10.Cot.Afil X Sexo'!$C$26:$C$39</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914140</c:v>
                </c:pt>
              </c:numCache>
            </c:numRef>
          </c:val>
        </c:ser>
        <c:ser>
          <c:idx val="2"/>
          <c:order val="2"/>
          <c:tx>
            <c:strRef>
              <c:f>'III.5.10.Cot.Afil X Sexo'!$D$25</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2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Apr-16</c:v>
                </c:pt>
              </c:strCache>
            </c:strRef>
          </c:cat>
          <c:val>
            <c:numRef>
              <c:f>'III.5.10.Cot.Afil X Sexo'!$D$26:$D$39</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-1435039</c:v>
                </c:pt>
              </c:numCache>
            </c:numRef>
          </c:val>
        </c:ser>
        <c:ser>
          <c:idx val="3"/>
          <c:order val="3"/>
          <c:tx>
            <c:strRef>
              <c:f>'III.5.10.Cot.Afil X Sexo'!$E$25</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7.5329369139592012E-2"/>
                  <c:y val="-4.171358713890509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532956685499057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0;[Red]#,##0.00" sourceLinked="0"/>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Apr-16</c:v>
                </c:pt>
              </c:strCache>
            </c:strRef>
          </c:cat>
          <c:val>
            <c:numRef>
              <c:f>'III.5.10.Cot.Afil X Sexo'!$E$26:$E$39</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-732376</c:v>
                </c:pt>
              </c:numCache>
            </c:numRef>
          </c:val>
        </c:ser>
        <c:dLbls>
          <c:showLegendKey val="0"/>
          <c:showVal val="0"/>
          <c:showCatName val="0"/>
          <c:showSerName val="0"/>
          <c:showPercent val="0"/>
          <c:showBubbleSize val="0"/>
        </c:dLbls>
        <c:gapWidth val="6"/>
        <c:overlap val="97"/>
        <c:axId val="408269328"/>
        <c:axId val="408269720"/>
      </c:barChart>
      <c:catAx>
        <c:axId val="408269328"/>
        <c:scaling>
          <c:orientation val="minMax"/>
        </c:scaling>
        <c:delete val="0"/>
        <c:axPos val="l"/>
        <c:numFmt formatCode="General" sourceLinked="0"/>
        <c:majorTickMark val="out"/>
        <c:minorTickMark val="none"/>
        <c:tickLblPos val="high"/>
        <c:crossAx val="408269720"/>
        <c:crossesAt val="0"/>
        <c:auto val="1"/>
        <c:lblAlgn val="ctr"/>
        <c:lblOffset val="100"/>
        <c:noMultiLvlLbl val="0"/>
      </c:catAx>
      <c:valAx>
        <c:axId val="408269720"/>
        <c:scaling>
          <c:orientation val="minMax"/>
        </c:scaling>
        <c:delete val="0"/>
        <c:axPos val="b"/>
        <c:numFmt formatCode="#,##0;[Red]#,##0" sourceLinked="0"/>
        <c:majorTickMark val="out"/>
        <c:minorTickMark val="none"/>
        <c:tickLblPos val="nextTo"/>
        <c:crossAx val="408269328"/>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365595404869669"/>
          <c:y val="1.3405149398147055E-2"/>
        </c:manualLayout>
      </c:layout>
      <c:overlay val="1"/>
    </c:title>
    <c:autoTitleDeleted val="0"/>
    <c:view3D>
      <c:rotX val="20"/>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6001503175038195E-4"/>
          <c:y val="0.16273958697432117"/>
          <c:w val="0.98502546852564277"/>
          <c:h val="0.56055744155399878"/>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dPt>
          <c:dPt>
            <c:idx val="8"/>
            <c:invertIfNegative val="0"/>
            <c:bubble3D val="0"/>
          </c:dPt>
          <c:dPt>
            <c:idx val="9"/>
            <c:invertIfNegative val="0"/>
            <c:bubble3D val="0"/>
          </c:dPt>
          <c:dLbls>
            <c:dLbl>
              <c:idx val="0"/>
              <c:layout>
                <c:manualLayout>
                  <c:x val="9.9634557251947042E-3"/>
                  <c:y val="-5.2935530541783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634557251947042E-3"/>
                  <c:y val="-6.61771607040716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698368939926255E-2"/>
                  <c:y val="-3.9847080053055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898230763128691E-2"/>
                  <c:y val="-4.73742819887266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9912345500504842E-3"/>
                  <c:y val="-5.86498111964601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598778433203612E-2"/>
                  <c:y val="-2.89502762430939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253409035159039E-2"/>
                  <c:y val="-2.69194182218935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618640945968441E-2"/>
                  <c:y val="-2.87608938385464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3545606417621234E-2"/>
                  <c:y val="-3.4664520526094457E-2"/>
                </c:manualLayout>
              </c:layout>
              <c:spPr/>
              <c:txPr>
                <a:bodyPr/>
                <a:lstStyle/>
                <a:p>
                  <a:pPr>
                    <a:defRPr sz="28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7042555190547266E-2"/>
                  <c:y val="-2.39070969707022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8.038277673476299E-3"/>
                  <c:y val="-1.874163636030928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'III.5.11.Traspasos anual'!$B$5:$B$16</c:f>
              <c:numCache>
                <c:formatCode>_(* #,##0_);_(* \(#,##0\);_(* "-"??_);_(@_)</c:formatCode>
                <c:ptCount val="12"/>
                <c:pt idx="0">
                  <c:v>733</c:v>
                </c:pt>
                <c:pt idx="1">
                  <c:v>1859</c:v>
                </c:pt>
                <c:pt idx="2">
                  <c:v>1247</c:v>
                </c:pt>
                <c:pt idx="3">
                  <c:v>1028</c:v>
                </c:pt>
                <c:pt idx="4">
                  <c:v>25287</c:v>
                </c:pt>
                <c:pt idx="5">
                  <c:v>10644</c:v>
                </c:pt>
                <c:pt idx="6">
                  <c:v>6268</c:v>
                </c:pt>
                <c:pt idx="7">
                  <c:v>10046</c:v>
                </c:pt>
                <c:pt idx="8">
                  <c:v>15740</c:v>
                </c:pt>
                <c:pt idx="9">
                  <c:v>32365</c:v>
                </c:pt>
                <c:pt idx="10">
                  <c:v>42590</c:v>
                </c:pt>
                <c:pt idx="11">
                  <c:v>14325</c:v>
                </c:pt>
              </c:numCache>
            </c:numRef>
          </c:val>
        </c:ser>
        <c:dLbls>
          <c:showLegendKey val="0"/>
          <c:showVal val="0"/>
          <c:showCatName val="0"/>
          <c:showSerName val="0"/>
          <c:showPercent val="0"/>
          <c:showBubbleSize val="0"/>
        </c:dLbls>
        <c:gapWidth val="43"/>
        <c:gapDepth val="165"/>
        <c:shape val="cone"/>
        <c:axId val="408270504"/>
        <c:axId val="408270896"/>
        <c:axId val="0"/>
      </c:bar3DChart>
      <c:catAx>
        <c:axId val="408270504"/>
        <c:scaling>
          <c:orientation val="minMax"/>
        </c:scaling>
        <c:delete val="0"/>
        <c:axPos val="b"/>
        <c:numFmt formatCode="General" sourceLinked="1"/>
        <c:majorTickMark val="none"/>
        <c:minorTickMark val="none"/>
        <c:tickLblPos val="nextTo"/>
        <c:txPr>
          <a:bodyPr rot="-2700000" vert="horz"/>
          <a:lstStyle/>
          <a:p>
            <a:pPr>
              <a:defRPr sz="2000"/>
            </a:pPr>
            <a:endParaRPr lang="es-ES"/>
          </a:p>
        </c:txPr>
        <c:crossAx val="408270896"/>
        <c:crosses val="autoZero"/>
        <c:auto val="1"/>
        <c:lblAlgn val="ctr"/>
        <c:lblOffset val="100"/>
        <c:noMultiLvlLbl val="0"/>
      </c:catAx>
      <c:valAx>
        <c:axId val="408270896"/>
        <c:scaling>
          <c:orientation val="minMax"/>
        </c:scaling>
        <c:delete val="1"/>
        <c:axPos val="l"/>
        <c:numFmt formatCode="_(* #,##0_);_(* \(#,##0\);_(* &quot;-&quot;??_);_(@_)" sourceLinked="1"/>
        <c:majorTickMark val="out"/>
        <c:minorTickMark val="none"/>
        <c:tickLblPos val="nextTo"/>
        <c:crossAx val="408270504"/>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58342124421712E-2"/>
          <c:y val="0.19933017222193777"/>
          <c:w val="0.95630992253822755"/>
          <c:h val="0.63018722990608356"/>
        </c:manualLayout>
      </c:layout>
      <c:bar3DChart>
        <c:barDir val="col"/>
        <c:grouping val="stacked"/>
        <c:varyColors val="0"/>
        <c:ser>
          <c:idx val="0"/>
          <c:order val="0"/>
          <c:tx>
            <c:strRef>
              <c:f>'III.5.12.Trasp. recibidos'!$L$3</c:f>
              <c:strCache>
                <c:ptCount val="1"/>
                <c:pt idx="0">
                  <c:v>FPBC</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'III.5.12.Trasp. recibidos'!$L$4:$L$15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'III.5.12.Trasp. recibidos'!$M$3</c:f>
              <c:strCache>
                <c:ptCount val="1"/>
                <c:pt idx="0">
                  <c:v>Bco. Reservas</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'III.5.12.Trasp. recibidos'!$M$4:$M$15</c:f>
              <c:numCache>
                <c:formatCode>#,##0</c:formatCode>
                <c:ptCount val="12"/>
                <c:pt idx="0">
                  <c:v>0</c:v>
                </c:pt>
                <c:pt idx="1">
                  <c:v>0</c:v>
                </c:pt>
                <c:pt idx="2">
                  <c:v>0</c:v>
                </c:pt>
                <c:pt idx="3">
                  <c:v>0</c:v>
                </c:pt>
                <c:pt idx="4">
                  <c:v>0</c:v>
                </c:pt>
                <c:pt idx="5">
                  <c:v>1</c:v>
                </c:pt>
                <c:pt idx="6">
                  <c:v>0</c:v>
                </c:pt>
                <c:pt idx="7">
                  <c:v>513</c:v>
                </c:pt>
                <c:pt idx="8">
                  <c:v>0</c:v>
                </c:pt>
                <c:pt idx="9">
                  <c:v>0</c:v>
                </c:pt>
                <c:pt idx="10">
                  <c:v>11</c:v>
                </c:pt>
                <c:pt idx="11">
                  <c:v>0</c:v>
                </c:pt>
              </c:numCache>
            </c:numRef>
          </c:val>
        </c:ser>
        <c:ser>
          <c:idx val="2"/>
          <c:order val="2"/>
          <c:tx>
            <c:strRef>
              <c:f>'III.5.12.Trasp. recibidos'!$N$3</c:f>
              <c:strCache>
                <c:ptCount val="1"/>
                <c:pt idx="0">
                  <c:v>INABIMA</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'III.5.12.Trasp. recibidos'!$N$4:$N$15</c:f>
              <c:numCache>
                <c:formatCode>#,##0</c:formatCode>
                <c:ptCount val="12"/>
                <c:pt idx="0">
                  <c:v>0</c:v>
                </c:pt>
                <c:pt idx="1">
                  <c:v>0</c:v>
                </c:pt>
                <c:pt idx="2">
                  <c:v>0</c:v>
                </c:pt>
                <c:pt idx="3">
                  <c:v>0</c:v>
                </c:pt>
                <c:pt idx="4">
                  <c:v>21139</c:v>
                </c:pt>
                <c:pt idx="5">
                  <c:v>3310</c:v>
                </c:pt>
                <c:pt idx="6">
                  <c:v>1778</c:v>
                </c:pt>
                <c:pt idx="7">
                  <c:v>2945</c:v>
                </c:pt>
                <c:pt idx="8">
                  <c:v>2249</c:v>
                </c:pt>
                <c:pt idx="9">
                  <c:v>7035</c:v>
                </c:pt>
                <c:pt idx="10">
                  <c:v>5549</c:v>
                </c:pt>
                <c:pt idx="11">
                  <c:v>676</c:v>
                </c:pt>
              </c:numCache>
            </c:numRef>
          </c:val>
        </c:ser>
        <c:ser>
          <c:idx val="3"/>
          <c:order val="3"/>
          <c:tx>
            <c:strRef>
              <c:f>'III.5.12.Trasp. recibidos'!$O$3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'III.5.12.Trasp. recibidos'!$O$4:$O$15</c:f>
              <c:numCache>
                <c:formatCode>#,##0</c:formatCode>
                <c:ptCount val="12"/>
                <c:pt idx="0">
                  <c:v>0</c:v>
                </c:pt>
                <c:pt idx="1">
                  <c:v>20</c:v>
                </c:pt>
                <c:pt idx="2">
                  <c:v>0</c:v>
                </c:pt>
                <c:pt idx="3">
                  <c:v>0</c:v>
                </c:pt>
                <c:pt idx="4">
                  <c:v>2582</c:v>
                </c:pt>
                <c:pt idx="5">
                  <c:v>4114</c:v>
                </c:pt>
                <c:pt idx="6">
                  <c:v>199</c:v>
                </c:pt>
                <c:pt idx="7">
                  <c:v>17</c:v>
                </c:pt>
                <c:pt idx="8">
                  <c:v>1532</c:v>
                </c:pt>
                <c:pt idx="9">
                  <c:v>462</c:v>
                </c:pt>
                <c:pt idx="10">
                  <c:v>426</c:v>
                </c:pt>
                <c:pt idx="11">
                  <c:v>249</c:v>
                </c:pt>
              </c:numCache>
            </c:numRef>
          </c:val>
        </c:ser>
        <c:dLbls>
          <c:showLegendKey val="0"/>
          <c:showVal val="0"/>
          <c:showCatName val="0"/>
          <c:showSerName val="0"/>
          <c:showPercent val="0"/>
          <c:showBubbleSize val="0"/>
        </c:dLbls>
        <c:gapWidth val="17"/>
        <c:shape val="cylinder"/>
        <c:axId val="408271680"/>
        <c:axId val="408272072"/>
        <c:axId val="0"/>
      </c:bar3DChart>
      <c:catAx>
        <c:axId val="408271680"/>
        <c:scaling>
          <c:orientation val="minMax"/>
        </c:scaling>
        <c:delete val="0"/>
        <c:axPos val="b"/>
        <c:numFmt formatCode="General" sourceLinked="1"/>
        <c:majorTickMark val="none"/>
        <c:minorTickMark val="none"/>
        <c:tickLblPos val="nextTo"/>
        <c:txPr>
          <a:bodyPr/>
          <a:lstStyle/>
          <a:p>
            <a:pPr>
              <a:defRPr sz="1200"/>
            </a:pPr>
            <a:endParaRPr lang="es-ES"/>
          </a:p>
        </c:txPr>
        <c:crossAx val="408272072"/>
        <c:crosses val="autoZero"/>
        <c:auto val="1"/>
        <c:lblAlgn val="ctr"/>
        <c:lblOffset val="100"/>
        <c:noMultiLvlLbl val="0"/>
      </c:catAx>
      <c:valAx>
        <c:axId val="408272072"/>
        <c:scaling>
          <c:orientation val="minMax"/>
        </c:scaling>
        <c:delete val="1"/>
        <c:axPos val="l"/>
        <c:numFmt formatCode="#,##0" sourceLinked="1"/>
        <c:majorTickMark val="out"/>
        <c:minorTickMark val="none"/>
        <c:tickLblPos val="nextTo"/>
        <c:crossAx val="408271680"/>
        <c:crosses val="autoZero"/>
        <c:crossBetween val="between"/>
      </c:valAx>
      <c:spPr>
        <a:noFill/>
        <a:ln w="25400">
          <a:noFill/>
        </a:ln>
      </c:spPr>
    </c:plotArea>
    <c:legend>
      <c:legendPos val="b"/>
      <c:layout>
        <c:manualLayout>
          <c:xMode val="edge"/>
          <c:yMode val="edge"/>
          <c:x val="0.12028221639893172"/>
          <c:y val="9.4544241460428932E-2"/>
          <c:w val="0.84826283199441688"/>
          <c:h val="3.9755426611277539E-2"/>
        </c:manualLayout>
      </c:layout>
      <c:overlay val="0"/>
      <c:txPr>
        <a:bodyPr/>
        <a:lstStyle/>
        <a:p>
          <a:pPr>
            <a:defRPr sz="11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1.9539493109050711E-2"/>
          <c:y val="0.21875376903854787"/>
          <c:w val="0.95940431431777218"/>
          <c:h val="0.64896254780379525"/>
        </c:manualLayout>
      </c:layout>
      <c:bar3DChart>
        <c:barDir val="col"/>
        <c:grouping val="stacked"/>
        <c:varyColors val="0"/>
        <c:ser>
          <c:idx val="0"/>
          <c:order val="0"/>
          <c:tx>
            <c:strRef>
              <c:f>'III.5.12.Trasp. recibidos'!$B$3</c:f>
              <c:strCache>
                <c:ptCount val="1"/>
                <c:pt idx="0">
                  <c:v>Camino </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'III.5.12.Trasp. recibidos'!$B$4:$B$15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'III.5.12.Trasp. recibidos'!$C$3</c:f>
              <c:strCache>
                <c:ptCount val="1"/>
                <c:pt idx="0">
                  <c:v>Caribalico</c:v>
                </c:pt>
              </c:strCache>
            </c:strRef>
          </c:tx>
          <c:spPr>
            <a:solidFill>
              <a:srgbClr val="FF000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'III.5.12.Trasp. recibidos'!$C$4:$C$15</c:f>
              <c:numCache>
                <c:formatCode>#,##0</c:formatCode>
                <c:ptCount val="12"/>
                <c:pt idx="0">
                  <c:v>4</c:v>
                </c:pt>
                <c:pt idx="1">
                  <c:v>19</c:v>
                </c:pt>
                <c:pt idx="2">
                  <c:v>0</c:v>
                </c:pt>
                <c:pt idx="3">
                  <c:v>0</c:v>
                </c:pt>
                <c:pt idx="4">
                  <c:v>0</c:v>
                </c:pt>
                <c:pt idx="5">
                  <c:v>0</c:v>
                </c:pt>
                <c:pt idx="6">
                  <c:v>0</c:v>
                </c:pt>
                <c:pt idx="7">
                  <c:v>0</c:v>
                </c:pt>
                <c:pt idx="8">
                  <c:v>0</c:v>
                </c:pt>
                <c:pt idx="9">
                  <c:v>0</c:v>
                </c:pt>
                <c:pt idx="10">
                  <c:v>0</c:v>
                </c:pt>
                <c:pt idx="11">
                  <c:v>0</c:v>
                </c:pt>
              </c:numCache>
            </c:numRef>
          </c:val>
        </c:ser>
        <c:ser>
          <c:idx val="2"/>
          <c:order val="2"/>
          <c:tx>
            <c:strRef>
              <c:f>'III.5.12.Trasp. recibidos'!$D$3</c:f>
              <c:strCache>
                <c:ptCount val="1"/>
                <c:pt idx="0">
                  <c:v>León</c:v>
                </c:pt>
              </c:strCache>
            </c:strRef>
          </c:tx>
          <c:spPr>
            <a:solidFill>
              <a:srgbClr val="00206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'III.5.12.Trasp. recibidos'!$D$4:$D$15</c:f>
              <c:numCache>
                <c:formatCode>#,##0</c:formatCode>
                <c:ptCount val="12"/>
                <c:pt idx="0">
                  <c:v>279</c:v>
                </c:pt>
                <c:pt idx="1">
                  <c:v>349</c:v>
                </c:pt>
                <c:pt idx="2">
                  <c:v>57</c:v>
                </c:pt>
                <c:pt idx="3">
                  <c:v>0</c:v>
                </c:pt>
                <c:pt idx="4">
                  <c:v>0</c:v>
                </c:pt>
                <c:pt idx="5">
                  <c:v>0</c:v>
                </c:pt>
                <c:pt idx="6">
                  <c:v>0</c:v>
                </c:pt>
                <c:pt idx="7">
                  <c:v>0</c:v>
                </c:pt>
                <c:pt idx="8">
                  <c:v>0</c:v>
                </c:pt>
                <c:pt idx="9">
                  <c:v>0</c:v>
                </c:pt>
                <c:pt idx="10">
                  <c:v>0</c:v>
                </c:pt>
                <c:pt idx="11">
                  <c:v>0</c:v>
                </c:pt>
              </c:numCache>
            </c:numRef>
          </c:val>
        </c:ser>
        <c:ser>
          <c:idx val="3"/>
          <c:order val="3"/>
          <c:tx>
            <c:strRef>
              <c:f>'III.5.12.Trasp. recibidos'!$E$3</c:f>
              <c:strCache>
                <c:ptCount val="1"/>
                <c:pt idx="0">
                  <c:v> Popular</c:v>
                </c:pt>
              </c:strCache>
            </c:strRef>
          </c:tx>
          <c:spPr>
            <a:solidFill>
              <a:schemeClr val="accent3">
                <a:lumMod val="75000"/>
              </a:schemeClr>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'III.5.12.Trasp. recibidos'!$E$4:$E$15</c:f>
              <c:numCache>
                <c:formatCode>#,##0</c:formatCode>
                <c:ptCount val="12"/>
                <c:pt idx="0">
                  <c:v>115</c:v>
                </c:pt>
                <c:pt idx="1">
                  <c:v>176</c:v>
                </c:pt>
                <c:pt idx="2">
                  <c:v>136</c:v>
                </c:pt>
                <c:pt idx="3">
                  <c:v>217</c:v>
                </c:pt>
                <c:pt idx="4">
                  <c:v>174</c:v>
                </c:pt>
                <c:pt idx="5">
                  <c:v>505</c:v>
                </c:pt>
                <c:pt idx="6">
                  <c:v>572</c:v>
                </c:pt>
                <c:pt idx="7">
                  <c:v>1014</c:v>
                </c:pt>
                <c:pt idx="8">
                  <c:v>1482</c:v>
                </c:pt>
                <c:pt idx="9">
                  <c:v>2468</c:v>
                </c:pt>
                <c:pt idx="10">
                  <c:v>4978</c:v>
                </c:pt>
                <c:pt idx="11">
                  <c:v>2510</c:v>
                </c:pt>
              </c:numCache>
            </c:numRef>
          </c:val>
        </c:ser>
        <c:ser>
          <c:idx val="4"/>
          <c:order val="4"/>
          <c:tx>
            <c:strRef>
              <c:f>'III.5.12.Trasp. recibidos'!$F$3</c:f>
              <c:strCache>
                <c:ptCount val="1"/>
                <c:pt idx="0">
                  <c:v>Porvenir </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'III.5.12.Trasp. recibidos'!$F$4:$F$15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'III.5.12.Trasp. recibidos'!$G$3</c:f>
              <c:strCache>
                <c:ptCount val="1"/>
                <c:pt idx="0">
                  <c:v> Reservas </c:v>
                </c:pt>
              </c:strCache>
            </c:strRef>
          </c:tx>
          <c:spPr>
            <a:solidFill>
              <a:schemeClr val="accent5">
                <a:lumMod val="75000"/>
              </a:schemeClr>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'III.5.12.Trasp. recibidos'!$G$4:$G$15</c:f>
              <c:numCache>
                <c:formatCode>#,##0</c:formatCode>
                <c:ptCount val="12"/>
                <c:pt idx="0">
                  <c:v>128</c:v>
                </c:pt>
                <c:pt idx="1">
                  <c:v>1070</c:v>
                </c:pt>
                <c:pt idx="2">
                  <c:v>585</c:v>
                </c:pt>
                <c:pt idx="3">
                  <c:v>497</c:v>
                </c:pt>
                <c:pt idx="4">
                  <c:v>1232</c:v>
                </c:pt>
                <c:pt idx="5">
                  <c:v>2471</c:v>
                </c:pt>
                <c:pt idx="6">
                  <c:v>3158</c:v>
                </c:pt>
                <c:pt idx="7">
                  <c:v>3741</c:v>
                </c:pt>
                <c:pt idx="8">
                  <c:v>7614</c:v>
                </c:pt>
                <c:pt idx="9">
                  <c:v>14806</c:v>
                </c:pt>
                <c:pt idx="10">
                  <c:v>20426</c:v>
                </c:pt>
                <c:pt idx="11">
                  <c:v>5911</c:v>
                </c:pt>
              </c:numCache>
            </c:numRef>
          </c:val>
        </c:ser>
        <c:ser>
          <c:idx val="6"/>
          <c:order val="6"/>
          <c:tx>
            <c:strRef>
              <c:f>'III.5.12.Trasp. recibidos'!$H$3</c:f>
              <c:strCache>
                <c:ptCount val="1"/>
                <c:pt idx="0">
                  <c:v>Romana</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'III.5.12.Trasp. recibidos'!$H$4:$H$15</c:f>
              <c:numCache>
                <c:formatCode>#,##0</c:formatCode>
                <c:ptCount val="12"/>
                <c:pt idx="0">
                  <c:v>3</c:v>
                </c:pt>
                <c:pt idx="1">
                  <c:v>19</c:v>
                </c:pt>
                <c:pt idx="2">
                  <c:v>8</c:v>
                </c:pt>
                <c:pt idx="3">
                  <c:v>3</c:v>
                </c:pt>
                <c:pt idx="4">
                  <c:v>3</c:v>
                </c:pt>
                <c:pt idx="5">
                  <c:v>2</c:v>
                </c:pt>
                <c:pt idx="6">
                  <c:v>8</c:v>
                </c:pt>
                <c:pt idx="7">
                  <c:v>11</c:v>
                </c:pt>
                <c:pt idx="8">
                  <c:v>7</c:v>
                </c:pt>
                <c:pt idx="9">
                  <c:v>768</c:v>
                </c:pt>
                <c:pt idx="10">
                  <c:v>1042</c:v>
                </c:pt>
                <c:pt idx="11">
                  <c:v>212</c:v>
                </c:pt>
              </c:numCache>
            </c:numRef>
          </c:val>
        </c:ser>
        <c:ser>
          <c:idx val="7"/>
          <c:order val="7"/>
          <c:tx>
            <c:strRef>
              <c:f>'III.5.12.Trasp. recibidos'!$I$3</c:f>
              <c:strCache>
                <c:ptCount val="1"/>
                <c:pt idx="0">
                  <c:v>Scotia Crecer</c:v>
                </c:pt>
              </c:strCache>
            </c:strRef>
          </c:tx>
          <c:spPr>
            <a:solidFill>
              <a:srgbClr val="00B05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'III.5.12.Trasp. recibidos'!$I$4:$I$15</c:f>
              <c:numCache>
                <c:formatCode>#,##0</c:formatCode>
                <c:ptCount val="12"/>
                <c:pt idx="0">
                  <c:v>68</c:v>
                </c:pt>
                <c:pt idx="1">
                  <c:v>94</c:v>
                </c:pt>
                <c:pt idx="2">
                  <c:v>27</c:v>
                </c:pt>
                <c:pt idx="3">
                  <c:v>131</c:v>
                </c:pt>
                <c:pt idx="4">
                  <c:v>52</c:v>
                </c:pt>
                <c:pt idx="5">
                  <c:v>116</c:v>
                </c:pt>
                <c:pt idx="6">
                  <c:v>306</c:v>
                </c:pt>
                <c:pt idx="7">
                  <c:v>1022</c:v>
                </c:pt>
                <c:pt idx="8">
                  <c:v>1578</c:v>
                </c:pt>
                <c:pt idx="9">
                  <c:v>4313</c:v>
                </c:pt>
                <c:pt idx="10">
                  <c:v>5871</c:v>
                </c:pt>
                <c:pt idx="11">
                  <c:v>2594</c:v>
                </c:pt>
              </c:numCache>
            </c:numRef>
          </c:val>
        </c:ser>
        <c:ser>
          <c:idx val="8"/>
          <c:order val="8"/>
          <c:tx>
            <c:strRef>
              <c:f>'III.5.12.Trasp. recibidos'!$J$3</c:f>
              <c:strCache>
                <c:ptCount val="1"/>
                <c:pt idx="0">
                  <c:v>Siembra</c:v>
                </c:pt>
              </c:strCache>
            </c:strRef>
          </c:tx>
          <c:spPr>
            <a:solidFill>
              <a:schemeClr val="accent6">
                <a:lumMod val="75000"/>
              </a:schemeClr>
            </a:solidFill>
          </c:spPr>
          <c:invertIfNegative val="0"/>
          <c:dLbls>
            <c:dLbl>
              <c:idx val="0"/>
              <c:layout>
                <c:manualLayout>
                  <c:x val="1.7763161943530575E-3"/>
                  <c:y val="-4.8561152179485666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8.8815809717653262E-3"/>
                  <c:y val="-5.2446044353844749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2434213360471316E-2"/>
                  <c:y val="-9.1295119045943882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7.1052647774122023E-3"/>
                  <c:y val="-7.3812951312818648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7.1052647774122023E-3"/>
                  <c:y val="-6.0215828702562257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8815809717653262E-3"/>
                  <c:y val="-6.0215828702562257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2434213360471316E-2"/>
                  <c:y val="-5.4388490441024319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52496868011812E-2"/>
                  <c:y val="-7.224176112937158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'III.5.12.Trasp. recibidos'!$J$4:$J$15</c:f>
              <c:numCache>
                <c:formatCode>#,##0</c:formatCode>
                <c:ptCount val="12"/>
                <c:pt idx="0">
                  <c:v>136</c:v>
                </c:pt>
                <c:pt idx="1">
                  <c:v>112</c:v>
                </c:pt>
                <c:pt idx="2">
                  <c:v>434</c:v>
                </c:pt>
                <c:pt idx="3">
                  <c:v>180</c:v>
                </c:pt>
                <c:pt idx="4">
                  <c:v>105</c:v>
                </c:pt>
                <c:pt idx="5">
                  <c:v>125</c:v>
                </c:pt>
                <c:pt idx="6">
                  <c:v>247</c:v>
                </c:pt>
                <c:pt idx="7">
                  <c:v>783</c:v>
                </c:pt>
                <c:pt idx="8">
                  <c:v>1278</c:v>
                </c:pt>
                <c:pt idx="9">
                  <c:v>2513</c:v>
                </c:pt>
                <c:pt idx="10">
                  <c:v>4287</c:v>
                </c:pt>
                <c:pt idx="11">
                  <c:v>2173</c:v>
                </c:pt>
              </c:numCache>
            </c:numRef>
          </c:val>
        </c:ser>
        <c:dLbls>
          <c:showLegendKey val="0"/>
          <c:showVal val="0"/>
          <c:showCatName val="0"/>
          <c:showSerName val="0"/>
          <c:showPercent val="0"/>
          <c:showBubbleSize val="0"/>
        </c:dLbls>
        <c:gapWidth val="29"/>
        <c:shape val="cylinder"/>
        <c:axId val="408272856"/>
        <c:axId val="408273248"/>
        <c:axId val="0"/>
      </c:bar3DChart>
      <c:catAx>
        <c:axId val="408272856"/>
        <c:scaling>
          <c:orientation val="minMax"/>
        </c:scaling>
        <c:delete val="0"/>
        <c:axPos val="b"/>
        <c:numFmt formatCode="General" sourceLinked="1"/>
        <c:majorTickMark val="none"/>
        <c:minorTickMark val="none"/>
        <c:tickLblPos val="nextTo"/>
        <c:txPr>
          <a:bodyPr/>
          <a:lstStyle/>
          <a:p>
            <a:pPr>
              <a:defRPr sz="1200"/>
            </a:pPr>
            <a:endParaRPr lang="es-ES"/>
          </a:p>
        </c:txPr>
        <c:crossAx val="408273248"/>
        <c:crosses val="autoZero"/>
        <c:auto val="1"/>
        <c:lblAlgn val="ctr"/>
        <c:lblOffset val="100"/>
        <c:noMultiLvlLbl val="0"/>
      </c:catAx>
      <c:valAx>
        <c:axId val="408273248"/>
        <c:scaling>
          <c:orientation val="minMax"/>
        </c:scaling>
        <c:delete val="1"/>
        <c:axPos val="l"/>
        <c:numFmt formatCode="#,##0" sourceLinked="1"/>
        <c:majorTickMark val="out"/>
        <c:minorTickMark val="none"/>
        <c:tickLblPos val="nextTo"/>
        <c:crossAx val="408272856"/>
        <c:crosses val="autoZero"/>
        <c:crossBetween val="between"/>
      </c:valAx>
      <c:spPr>
        <a:noFill/>
        <a:ln w="25400">
          <a:noFill/>
        </a:ln>
      </c:spPr>
    </c:plotArea>
    <c:legend>
      <c:legendPos val="b"/>
      <c:layout>
        <c:manualLayout>
          <c:xMode val="edge"/>
          <c:yMode val="edge"/>
          <c:x val="6.4250490719838472E-3"/>
          <c:y val="9.8525981195581994E-2"/>
          <c:w val="0.9613377957493866"/>
          <c:h val="3.7480773418606519E-2"/>
        </c:manualLayout>
      </c:layout>
      <c:overlay val="0"/>
      <c:txPr>
        <a:bodyPr/>
        <a:lstStyle/>
        <a:p>
          <a:pPr>
            <a:defRPr sz="12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045049436708099"/>
          <c:w val="0.97592240861209223"/>
          <c:h val="0.67389459156540166"/>
        </c:manualLayout>
      </c:layout>
      <c:bar3DChart>
        <c:barDir val="col"/>
        <c:grouping val="stacked"/>
        <c:varyColors val="0"/>
        <c:ser>
          <c:idx val="0"/>
          <c:order val="0"/>
          <c:tx>
            <c:strRef>
              <c:f>'III.5.13.Trasp. cedidos'!$B$4</c:f>
              <c:strCache>
                <c:ptCount val="1"/>
                <c:pt idx="0">
                  <c:v>Camino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'III.5.13.Trasp. cedidos'!$B$5:$B$16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'III.5.13.Trasp. cedidos'!$C$4</c:f>
              <c:strCache>
                <c:ptCount val="1"/>
                <c:pt idx="0">
                  <c:v>Caribalico</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'III.5.13.Trasp. cedidos'!$C$5:$C$16</c:f>
              <c:numCache>
                <c:formatCode>0</c:formatCode>
                <c:ptCount val="12"/>
                <c:pt idx="0">
                  <c:v>57</c:v>
                </c:pt>
                <c:pt idx="1">
                  <c:v>81</c:v>
                </c:pt>
                <c:pt idx="2">
                  <c:v>363</c:v>
                </c:pt>
                <c:pt idx="3">
                  <c:v>0</c:v>
                </c:pt>
                <c:pt idx="4">
                  <c:v>0</c:v>
                </c:pt>
                <c:pt idx="5">
                  <c:v>0</c:v>
                </c:pt>
                <c:pt idx="6">
                  <c:v>0</c:v>
                </c:pt>
                <c:pt idx="7">
                  <c:v>0</c:v>
                </c:pt>
                <c:pt idx="8">
                  <c:v>0</c:v>
                </c:pt>
                <c:pt idx="9">
                  <c:v>0</c:v>
                </c:pt>
                <c:pt idx="10">
                  <c:v>0</c:v>
                </c:pt>
                <c:pt idx="11">
                  <c:v>0</c:v>
                </c:pt>
              </c:numCache>
            </c:numRef>
          </c:val>
        </c:ser>
        <c:ser>
          <c:idx val="2"/>
          <c:order val="2"/>
          <c:tx>
            <c:strRef>
              <c:f>'III.5.13.Trasp. cedidos'!$D$4</c:f>
              <c:strCache>
                <c:ptCount val="1"/>
                <c:pt idx="0">
                  <c:v>León</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'III.5.13.Trasp. cedidos'!$D$5:$D$16</c:f>
              <c:numCache>
                <c:formatCode>0</c:formatCode>
                <c:ptCount val="12"/>
                <c:pt idx="0">
                  <c:v>14</c:v>
                </c:pt>
                <c:pt idx="1">
                  <c:v>13</c:v>
                </c:pt>
                <c:pt idx="2">
                  <c:v>10</c:v>
                </c:pt>
                <c:pt idx="3">
                  <c:v>0</c:v>
                </c:pt>
                <c:pt idx="4">
                  <c:v>0</c:v>
                </c:pt>
                <c:pt idx="5">
                  <c:v>0</c:v>
                </c:pt>
                <c:pt idx="6">
                  <c:v>0</c:v>
                </c:pt>
                <c:pt idx="7">
                  <c:v>0</c:v>
                </c:pt>
                <c:pt idx="8">
                  <c:v>0</c:v>
                </c:pt>
                <c:pt idx="9">
                  <c:v>0</c:v>
                </c:pt>
                <c:pt idx="10">
                  <c:v>0</c:v>
                </c:pt>
                <c:pt idx="11">
                  <c:v>0</c:v>
                </c:pt>
              </c:numCache>
            </c:numRef>
          </c:val>
        </c:ser>
        <c:ser>
          <c:idx val="3"/>
          <c:order val="3"/>
          <c:tx>
            <c:strRef>
              <c:f>'III.5.13.Trasp. cedidos'!$E$4</c:f>
              <c:strCache>
                <c:ptCount val="1"/>
                <c:pt idx="0">
                  <c:v> Popular</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'III.5.13.Trasp. cedidos'!$E$5:$E$16</c:f>
              <c:numCache>
                <c:formatCode>_(* #,##0_);_(* \(#,##0\);_(* "-"??_);_(@_)</c:formatCode>
                <c:ptCount val="12"/>
                <c:pt idx="0">
                  <c:v>135</c:v>
                </c:pt>
                <c:pt idx="1">
                  <c:v>181</c:v>
                </c:pt>
                <c:pt idx="2">
                  <c:v>208</c:v>
                </c:pt>
                <c:pt idx="3">
                  <c:v>288</c:v>
                </c:pt>
                <c:pt idx="4">
                  <c:v>5982</c:v>
                </c:pt>
                <c:pt idx="5">
                  <c:v>2345</c:v>
                </c:pt>
                <c:pt idx="6">
                  <c:v>1603</c:v>
                </c:pt>
                <c:pt idx="7">
                  <c:v>2631</c:v>
                </c:pt>
                <c:pt idx="8">
                  <c:v>3642</c:v>
                </c:pt>
                <c:pt idx="9">
                  <c:v>7753</c:v>
                </c:pt>
                <c:pt idx="10">
                  <c:v>10453</c:v>
                </c:pt>
                <c:pt idx="11">
                  <c:v>3993</c:v>
                </c:pt>
              </c:numCache>
            </c:numRef>
          </c:val>
        </c:ser>
        <c:ser>
          <c:idx val="4"/>
          <c:order val="4"/>
          <c:tx>
            <c:strRef>
              <c:f>'III.5.13.Trasp. cedidos'!$F$4</c:f>
              <c:strCache>
                <c:ptCount val="1"/>
                <c:pt idx="0">
                  <c:v>Porvenir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'III.5.13.Trasp. cedidos'!$F$5:$F$16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'III.5.13.Trasp. cedidos'!$G$4</c:f>
              <c:strCache>
                <c:ptCount val="1"/>
                <c:pt idx="0">
                  <c:v> Reservas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'III.5.13.Trasp. cedidos'!$G$5:$G$16</c:f>
              <c:numCache>
                <c:formatCode>_(* #,##0_);_(* \(#,##0\);_(* "-"??_);_(@_)</c:formatCode>
                <c:ptCount val="12"/>
                <c:pt idx="0">
                  <c:v>76</c:v>
                </c:pt>
                <c:pt idx="1">
                  <c:v>81</c:v>
                </c:pt>
                <c:pt idx="2">
                  <c:v>55</c:v>
                </c:pt>
                <c:pt idx="3">
                  <c:v>65</c:v>
                </c:pt>
                <c:pt idx="4">
                  <c:v>5612</c:v>
                </c:pt>
                <c:pt idx="5">
                  <c:v>3608</c:v>
                </c:pt>
                <c:pt idx="6">
                  <c:v>1068</c:v>
                </c:pt>
                <c:pt idx="7">
                  <c:v>1755</c:v>
                </c:pt>
                <c:pt idx="8">
                  <c:v>3099</c:v>
                </c:pt>
                <c:pt idx="9">
                  <c:v>7468</c:v>
                </c:pt>
                <c:pt idx="10">
                  <c:v>8284</c:v>
                </c:pt>
                <c:pt idx="11">
                  <c:v>2152</c:v>
                </c:pt>
              </c:numCache>
            </c:numRef>
          </c:val>
        </c:ser>
        <c:ser>
          <c:idx val="6"/>
          <c:order val="6"/>
          <c:tx>
            <c:strRef>
              <c:f>'III.5.13.Trasp. cedidos'!$H$4</c:f>
              <c:strCache>
                <c:ptCount val="1"/>
                <c:pt idx="0">
                  <c:v>Romana</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'III.5.13.Trasp. cedidos'!$H$5:$H$16</c:f>
              <c:numCache>
                <c:formatCode>0</c:formatCode>
                <c:ptCount val="12"/>
                <c:pt idx="0">
                  <c:v>8</c:v>
                </c:pt>
                <c:pt idx="1">
                  <c:v>5</c:v>
                </c:pt>
                <c:pt idx="2">
                  <c:v>8</c:v>
                </c:pt>
                <c:pt idx="3">
                  <c:v>19</c:v>
                </c:pt>
                <c:pt idx="4">
                  <c:v>59</c:v>
                </c:pt>
                <c:pt idx="5">
                  <c:v>22</c:v>
                </c:pt>
                <c:pt idx="6">
                  <c:v>23</c:v>
                </c:pt>
                <c:pt idx="7">
                  <c:v>39</c:v>
                </c:pt>
                <c:pt idx="8">
                  <c:v>33</c:v>
                </c:pt>
                <c:pt idx="9">
                  <c:v>107</c:v>
                </c:pt>
                <c:pt idx="10">
                  <c:v>192</c:v>
                </c:pt>
                <c:pt idx="11">
                  <c:v>167</c:v>
                </c:pt>
              </c:numCache>
            </c:numRef>
          </c:val>
        </c:ser>
        <c:ser>
          <c:idx val="7"/>
          <c:order val="7"/>
          <c:tx>
            <c:strRef>
              <c:f>'III.5.13.Trasp. cedidos'!$I$4</c:f>
              <c:strCache>
                <c:ptCount val="1"/>
                <c:pt idx="0">
                  <c:v>Scotia Crecer</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'III.5.13.Trasp. cedidos'!$I$5:$I$16</c:f>
              <c:numCache>
                <c:formatCode>_(* #,##0_);_(* \(#,##0\);_(* "-"??_);_(@_)</c:formatCode>
                <c:ptCount val="12"/>
                <c:pt idx="0">
                  <c:v>133</c:v>
                </c:pt>
                <c:pt idx="1">
                  <c:v>230</c:v>
                </c:pt>
                <c:pt idx="2">
                  <c:v>288</c:v>
                </c:pt>
                <c:pt idx="3">
                  <c:v>362</c:v>
                </c:pt>
                <c:pt idx="4">
                  <c:v>9295</c:v>
                </c:pt>
                <c:pt idx="5">
                  <c:v>2869</c:v>
                </c:pt>
                <c:pt idx="6">
                  <c:v>2173</c:v>
                </c:pt>
                <c:pt idx="7">
                  <c:v>3381</c:v>
                </c:pt>
                <c:pt idx="8">
                  <c:v>5417</c:v>
                </c:pt>
                <c:pt idx="9">
                  <c:v>11143</c:v>
                </c:pt>
                <c:pt idx="10">
                  <c:v>14572</c:v>
                </c:pt>
                <c:pt idx="11">
                  <c:v>5338</c:v>
                </c:pt>
              </c:numCache>
            </c:numRef>
          </c:val>
        </c:ser>
        <c:ser>
          <c:idx val="8"/>
          <c:order val="8"/>
          <c:tx>
            <c:strRef>
              <c:f>'III.5.13.Trasp. cedidos'!$J$4</c:f>
              <c:strCache>
                <c:ptCount val="1"/>
                <c:pt idx="0">
                  <c:v>Siembra</c:v>
                </c:pt>
              </c:strCache>
            </c:strRef>
          </c:tx>
          <c:invertIfNegative val="0"/>
          <c:dLbls>
            <c:dLbl>
              <c:idx val="0"/>
              <c:layout>
                <c:manualLayout>
                  <c:x val="0"/>
                  <c:y val="-4.0499673784839464E-2"/>
                </c:manualLayout>
              </c:layout>
              <c:tx>
                <c:rich>
                  <a:bodyPr/>
                  <a:lstStyle/>
                  <a:p>
                    <a:r>
                      <a:rPr lang="en-US"/>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6.7388689604379534E-3"/>
                  <c:y val="-3.3136096733050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1.6847172401094827E-3"/>
                  <c:y val="-3.6817885258944992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3.3694344802189654E-3"/>
                  <c:y val="-3.4976990995997721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2612210303355905E-2"/>
                  <c:y val="-6.3013141315087395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5.0541517203284486E-3"/>
                  <c:y val="-0.10493097298799353"/>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4235862005475025E-3"/>
                  <c:y val="-6.4431299203153838E-2"/>
                </c:manualLayout>
              </c:layout>
              <c:tx>
                <c:rich>
                  <a:bodyPr/>
                  <a:lstStyle/>
                  <a:p>
                    <a:r>
                      <a:rPr lang="en-US"/>
                      <a:t>10,596</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793020680766569E-2"/>
                  <c:y val="-4.6022356573681207E-2"/>
                </c:manualLayout>
              </c:layout>
              <c:tx>
                <c:rich>
                  <a:bodyPr/>
                  <a:lstStyle/>
                  <a:p>
                    <a:pPr>
                      <a:defRPr sz="1400" b="0"/>
                    </a:pPr>
                    <a:r>
                      <a:rPr lang="en-US" sz="1400" b="0"/>
                      <a:t>6,204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9164207172607969E-2"/>
                  <c:y val="-6.3013141315087326E-2"/>
                </c:manualLayout>
              </c:layout>
              <c:tx>
                <c:rich>
                  <a:bodyPr/>
                  <a:lstStyle/>
                  <a:p>
                    <a:r>
                      <a:rPr lang="en-US"/>
                      <a:t>4,525</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091304286439774E-2"/>
                  <c:y val="-8.6176910783442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091304286439774E-2"/>
                  <c:y val="-8.992373299141856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'III.5.13.Trasp. cedidos'!$J$5:$J$16</c:f>
              <c:numCache>
                <c:formatCode>_(* #,##0_);_(* \(#,##0\);_(* "-"??_);_(@_)</c:formatCode>
                <c:ptCount val="12"/>
                <c:pt idx="0">
                  <c:v>310</c:v>
                </c:pt>
                <c:pt idx="1">
                  <c:v>290</c:v>
                </c:pt>
                <c:pt idx="2">
                  <c:v>213</c:v>
                </c:pt>
                <c:pt idx="3">
                  <c:v>228</c:v>
                </c:pt>
                <c:pt idx="4">
                  <c:v>4268</c:v>
                </c:pt>
                <c:pt idx="5">
                  <c:v>1752</c:v>
                </c:pt>
                <c:pt idx="6">
                  <c:v>1337</c:v>
                </c:pt>
                <c:pt idx="7">
                  <c:v>2221</c:v>
                </c:pt>
                <c:pt idx="8">
                  <c:v>3510</c:v>
                </c:pt>
                <c:pt idx="9">
                  <c:v>5850</c:v>
                </c:pt>
                <c:pt idx="10">
                  <c:v>8960</c:v>
                </c:pt>
                <c:pt idx="11">
                  <c:v>2644</c:v>
                </c:pt>
              </c:numCache>
            </c:numRef>
          </c:val>
        </c:ser>
        <c:dLbls>
          <c:showLegendKey val="0"/>
          <c:showVal val="0"/>
          <c:showCatName val="0"/>
          <c:showSerName val="0"/>
          <c:showPercent val="0"/>
          <c:showBubbleSize val="0"/>
        </c:dLbls>
        <c:gapWidth val="21"/>
        <c:shape val="cylinder"/>
        <c:axId val="408274032"/>
        <c:axId val="408274424"/>
        <c:axId val="0"/>
      </c:bar3DChart>
      <c:catAx>
        <c:axId val="408274032"/>
        <c:scaling>
          <c:orientation val="minMax"/>
        </c:scaling>
        <c:delete val="0"/>
        <c:axPos val="b"/>
        <c:numFmt formatCode="General" sourceLinked="1"/>
        <c:majorTickMark val="none"/>
        <c:minorTickMark val="none"/>
        <c:tickLblPos val="nextTo"/>
        <c:txPr>
          <a:bodyPr/>
          <a:lstStyle/>
          <a:p>
            <a:pPr>
              <a:defRPr sz="1050"/>
            </a:pPr>
            <a:endParaRPr lang="es-ES"/>
          </a:p>
        </c:txPr>
        <c:crossAx val="408274424"/>
        <c:crosses val="autoZero"/>
        <c:auto val="1"/>
        <c:lblAlgn val="ctr"/>
        <c:lblOffset val="100"/>
        <c:noMultiLvlLbl val="0"/>
      </c:catAx>
      <c:valAx>
        <c:axId val="408274424"/>
        <c:scaling>
          <c:orientation val="minMax"/>
        </c:scaling>
        <c:delete val="1"/>
        <c:axPos val="l"/>
        <c:numFmt formatCode="0" sourceLinked="1"/>
        <c:majorTickMark val="out"/>
        <c:minorTickMark val="none"/>
        <c:tickLblPos val="nextTo"/>
        <c:crossAx val="408274032"/>
        <c:crosses val="autoZero"/>
        <c:crossBetween val="between"/>
      </c:valAx>
      <c:spPr>
        <a:noFill/>
        <a:ln w="25400">
          <a:noFill/>
        </a:ln>
      </c:spPr>
    </c:plotArea>
    <c:legend>
      <c:legendPos val="b"/>
      <c:layout>
        <c:manualLayout>
          <c:xMode val="edge"/>
          <c:yMode val="edge"/>
          <c:x val="0"/>
          <c:y val="0.12413443244051771"/>
          <c:w val="0.98737352528955658"/>
          <c:h val="3.7744812285204668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0"/>
          <c:y val="0.29714725320735463"/>
          <c:w val="0.99381898383120792"/>
          <c:h val="0.58271984845080027"/>
        </c:manualLayout>
      </c:layout>
      <c:bar3DChart>
        <c:barDir val="col"/>
        <c:grouping val="stacked"/>
        <c:varyColors val="0"/>
        <c:ser>
          <c:idx val="0"/>
          <c:order val="0"/>
          <c:tx>
            <c:strRef>
              <c:f>'III.5.13.Trasp. cedidos'!$L$4</c:f>
              <c:strCache>
                <c:ptCount val="1"/>
                <c:pt idx="0">
                  <c:v>FPBC</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'III.5.13.Trasp. cedidos'!$L$5:$L$16</c:f>
              <c:numCache>
                <c:formatCode>0</c:formatCode>
                <c:ptCount val="12"/>
                <c:pt idx="0">
                  <c:v>0</c:v>
                </c:pt>
                <c:pt idx="1">
                  <c:v>259</c:v>
                </c:pt>
                <c:pt idx="2">
                  <c:v>25</c:v>
                </c:pt>
                <c:pt idx="3">
                  <c:v>7</c:v>
                </c:pt>
                <c:pt idx="4">
                  <c:v>7</c:v>
                </c:pt>
                <c:pt idx="5">
                  <c:v>5</c:v>
                </c:pt>
                <c:pt idx="6">
                  <c:v>23</c:v>
                </c:pt>
                <c:pt idx="7">
                  <c:v>3</c:v>
                </c:pt>
                <c:pt idx="8">
                  <c:v>7</c:v>
                </c:pt>
                <c:pt idx="9">
                  <c:v>5</c:v>
                </c:pt>
                <c:pt idx="10">
                  <c:v>2</c:v>
                </c:pt>
                <c:pt idx="11">
                  <c:v>29</c:v>
                </c:pt>
              </c:numCache>
            </c:numRef>
          </c:val>
        </c:ser>
        <c:ser>
          <c:idx val="1"/>
          <c:order val="1"/>
          <c:tx>
            <c:strRef>
              <c:f>'III.5.13.Trasp. cedidos'!$M$4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630082021805778E-2"/>
                  <c:y val="-0.2262331488986991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74634715734093E-2"/>
                  <c:y val="-5.6530984359777096E-2"/>
                </c:manualLayout>
              </c:layout>
              <c:tx>
                <c:rich>
                  <a:bodyPr/>
                  <a:lstStyle/>
                  <a:p>
                    <a:r>
                      <a:rPr lang="en-US"/>
                      <a:t>978</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3678215649327105E-2"/>
                  <c:y val="-5.4986359547255552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9363128210660711E-2"/>
                  <c:y val="-5.1355737298128985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9.0614345960073235E-3"/>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2491476768058588E-3"/>
                  <c:y val="-4.2103506405193683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7.2491476768058588E-3"/>
                  <c:y val="-3.8494843564831863E-2"/>
                </c:manualLayout>
              </c:layout>
              <c:tx>
                <c:rich>
                  <a:bodyPr/>
                  <a:lstStyle/>
                  <a:p>
                    <a:pPr>
                      <a:defRPr sz="1400" b="0"/>
                    </a:pPr>
                    <a:r>
                      <a:rPr lang="en-US" sz="1400" b="0"/>
                      <a:t>64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201096359770832E-2"/>
                  <c:y val="-3.6641908653251419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444447057451548E-2"/>
                  <c:y val="-4.40078567307475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101011707788389E-2"/>
                  <c:y val="-6.135458808907028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'III.5.13.Trasp. cedidos'!$M$5:$M$16</c:f>
              <c:numCache>
                <c:formatCode>0</c:formatCode>
                <c:ptCount val="12"/>
                <c:pt idx="0">
                  <c:v>0</c:v>
                </c:pt>
                <c:pt idx="1">
                  <c:v>719</c:v>
                </c:pt>
                <c:pt idx="2">
                  <c:v>77</c:v>
                </c:pt>
                <c:pt idx="3">
                  <c:v>59</c:v>
                </c:pt>
                <c:pt idx="4">
                  <c:v>64</c:v>
                </c:pt>
                <c:pt idx="5">
                  <c:v>43</c:v>
                </c:pt>
                <c:pt idx="6">
                  <c:v>41</c:v>
                </c:pt>
                <c:pt idx="7">
                  <c:v>16</c:v>
                </c:pt>
                <c:pt idx="8">
                  <c:v>32</c:v>
                </c:pt>
                <c:pt idx="9">
                  <c:v>32</c:v>
                </c:pt>
                <c:pt idx="10">
                  <c:v>37</c:v>
                </c:pt>
                <c:pt idx="11">
                  <c:v>2</c:v>
                </c:pt>
              </c:numCache>
            </c:numRef>
          </c:val>
        </c:ser>
        <c:ser>
          <c:idx val="2"/>
          <c:order val="2"/>
          <c:tx>
            <c:strRef>
              <c:f>'III.5.13.Trasp. cedidos'!$N$4</c:f>
              <c:strCache>
                <c:ptCount val="1"/>
                <c:pt idx="0">
                  <c:v>INABIMA</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'III.5.13.Trasp. cedidos'!$N$5:$N$16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'III.5.13.Trasp. cedidos'!$O$4</c:f>
              <c:strCache>
                <c:ptCount val="1"/>
                <c:pt idx="0">
                  <c:v>S.E.H.</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'III.5.13.Trasp. cedidos'!$O$5:$O$16</c:f>
              <c:numCache>
                <c:formatCode>0</c:formatCode>
                <c:ptCount val="12"/>
                <c:pt idx="0">
                  <c:v>0</c:v>
                </c:pt>
                <c:pt idx="1">
                  <c:v>0</c:v>
                </c:pt>
                <c:pt idx="2">
                  <c:v>0</c:v>
                </c:pt>
                <c:pt idx="3">
                  <c:v>0</c:v>
                </c:pt>
                <c:pt idx="4">
                  <c:v>0</c:v>
                </c:pt>
                <c:pt idx="5">
                  <c:v>0</c:v>
                </c:pt>
                <c:pt idx="6">
                  <c:v>0</c:v>
                </c:pt>
                <c:pt idx="7">
                  <c:v>0</c:v>
                </c:pt>
                <c:pt idx="8">
                  <c:v>0</c:v>
                </c:pt>
                <c:pt idx="9">
                  <c:v>7</c:v>
                </c:pt>
                <c:pt idx="10">
                  <c:v>90</c:v>
                </c:pt>
                <c:pt idx="11">
                  <c:v>0</c:v>
                </c:pt>
              </c:numCache>
            </c:numRef>
          </c:val>
        </c:ser>
        <c:dLbls>
          <c:showLegendKey val="0"/>
          <c:showVal val="0"/>
          <c:showCatName val="0"/>
          <c:showSerName val="0"/>
          <c:showPercent val="0"/>
          <c:showBubbleSize val="0"/>
        </c:dLbls>
        <c:gapWidth val="13"/>
        <c:shape val="cylinder"/>
        <c:axId val="408275208"/>
        <c:axId val="408275600"/>
        <c:axId val="0"/>
      </c:bar3DChart>
      <c:catAx>
        <c:axId val="408275208"/>
        <c:scaling>
          <c:orientation val="minMax"/>
        </c:scaling>
        <c:delete val="0"/>
        <c:axPos val="b"/>
        <c:numFmt formatCode="General" sourceLinked="1"/>
        <c:majorTickMark val="none"/>
        <c:minorTickMark val="none"/>
        <c:tickLblPos val="nextTo"/>
        <c:txPr>
          <a:bodyPr/>
          <a:lstStyle/>
          <a:p>
            <a:pPr>
              <a:defRPr sz="1050"/>
            </a:pPr>
            <a:endParaRPr lang="es-ES"/>
          </a:p>
        </c:txPr>
        <c:crossAx val="408275600"/>
        <c:crosses val="autoZero"/>
        <c:auto val="1"/>
        <c:lblAlgn val="ctr"/>
        <c:lblOffset val="100"/>
        <c:noMultiLvlLbl val="0"/>
      </c:catAx>
      <c:valAx>
        <c:axId val="408275600"/>
        <c:scaling>
          <c:orientation val="minMax"/>
        </c:scaling>
        <c:delete val="1"/>
        <c:axPos val="l"/>
        <c:numFmt formatCode="0" sourceLinked="1"/>
        <c:majorTickMark val="out"/>
        <c:minorTickMark val="none"/>
        <c:tickLblPos val="nextTo"/>
        <c:crossAx val="408275208"/>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netos'!$B$4</c:f>
              <c:strCache>
                <c:ptCount val="1"/>
                <c:pt idx="0">
                  <c:v>Camino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'III.5.14.Trasp. netos'!$B$5:$B$16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'III.5.14.Trasp. netos'!$C$4</c:f>
              <c:strCache>
                <c:ptCount val="1"/>
                <c:pt idx="0">
                  <c:v>Caribalico</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'III.5.14.Trasp. netos'!$C$5:$C$16</c:f>
              <c:numCache>
                <c:formatCode>#,##0_);[Red]\(#,##0\)</c:formatCode>
                <c:ptCount val="12"/>
                <c:pt idx="0">
                  <c:v>-53</c:v>
                </c:pt>
                <c:pt idx="1">
                  <c:v>-62</c:v>
                </c:pt>
                <c:pt idx="2">
                  <c:v>-363</c:v>
                </c:pt>
                <c:pt idx="3">
                  <c:v>0</c:v>
                </c:pt>
                <c:pt idx="4">
                  <c:v>0</c:v>
                </c:pt>
                <c:pt idx="5">
                  <c:v>0</c:v>
                </c:pt>
                <c:pt idx="6">
                  <c:v>0</c:v>
                </c:pt>
                <c:pt idx="7">
                  <c:v>0</c:v>
                </c:pt>
                <c:pt idx="8">
                  <c:v>0</c:v>
                </c:pt>
                <c:pt idx="9">
                  <c:v>0</c:v>
                </c:pt>
                <c:pt idx="10">
                  <c:v>0</c:v>
                </c:pt>
                <c:pt idx="11">
                  <c:v>0</c:v>
                </c:pt>
              </c:numCache>
            </c:numRef>
          </c:val>
        </c:ser>
        <c:ser>
          <c:idx val="2"/>
          <c:order val="2"/>
          <c:tx>
            <c:strRef>
              <c:f>'III.5.14.Trasp. netos'!$D$4</c:f>
              <c:strCache>
                <c:ptCount val="1"/>
                <c:pt idx="0">
                  <c:v>León</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'III.5.14.Trasp. netos'!$D$5:$D$16</c:f>
              <c:numCache>
                <c:formatCode>#,##0_);[Red]\(#,##0\)</c:formatCode>
                <c:ptCount val="12"/>
                <c:pt idx="0">
                  <c:v>265</c:v>
                </c:pt>
                <c:pt idx="1">
                  <c:v>336</c:v>
                </c:pt>
                <c:pt idx="2">
                  <c:v>47</c:v>
                </c:pt>
                <c:pt idx="3">
                  <c:v>0</c:v>
                </c:pt>
                <c:pt idx="4">
                  <c:v>0</c:v>
                </c:pt>
                <c:pt idx="5">
                  <c:v>0</c:v>
                </c:pt>
                <c:pt idx="6">
                  <c:v>0</c:v>
                </c:pt>
                <c:pt idx="7">
                  <c:v>0</c:v>
                </c:pt>
                <c:pt idx="8">
                  <c:v>0</c:v>
                </c:pt>
                <c:pt idx="9">
                  <c:v>0</c:v>
                </c:pt>
                <c:pt idx="10">
                  <c:v>0</c:v>
                </c:pt>
                <c:pt idx="11">
                  <c:v>0</c:v>
                </c:pt>
              </c:numCache>
            </c:numRef>
          </c:val>
        </c:ser>
        <c:ser>
          <c:idx val="3"/>
          <c:order val="3"/>
          <c:tx>
            <c:strRef>
              <c:f>'III.5.14.Trasp. netos'!$E$4</c:f>
              <c:strCache>
                <c:ptCount val="1"/>
                <c:pt idx="0">
                  <c:v> Popular</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'III.5.14.Trasp. netos'!$E$5:$E$16</c:f>
              <c:numCache>
                <c:formatCode>#,##0_);[Red]\(#,##0\)</c:formatCode>
                <c:ptCount val="12"/>
                <c:pt idx="0">
                  <c:v>-20</c:v>
                </c:pt>
                <c:pt idx="1">
                  <c:v>-5</c:v>
                </c:pt>
                <c:pt idx="2">
                  <c:v>-72</c:v>
                </c:pt>
                <c:pt idx="3">
                  <c:v>-71</c:v>
                </c:pt>
                <c:pt idx="4">
                  <c:v>-5808</c:v>
                </c:pt>
                <c:pt idx="5">
                  <c:v>-1840</c:v>
                </c:pt>
                <c:pt idx="6">
                  <c:v>-1031</c:v>
                </c:pt>
                <c:pt idx="7">
                  <c:v>-1617</c:v>
                </c:pt>
                <c:pt idx="8">
                  <c:v>-2160</c:v>
                </c:pt>
                <c:pt idx="9">
                  <c:v>-5285</c:v>
                </c:pt>
                <c:pt idx="10">
                  <c:v>-5475</c:v>
                </c:pt>
                <c:pt idx="11">
                  <c:v>-1483</c:v>
                </c:pt>
              </c:numCache>
            </c:numRef>
          </c:val>
        </c:ser>
        <c:ser>
          <c:idx val="4"/>
          <c:order val="4"/>
          <c:tx>
            <c:strRef>
              <c:f>'III.5.14.Trasp. netos'!$F$4</c:f>
              <c:strCache>
                <c:ptCount val="1"/>
                <c:pt idx="0">
                  <c:v>Porvenir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'III.5.14.Trasp. netos'!$F$5:$F$16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'III.5.14.Trasp. netos'!$G$4</c:f>
              <c:strCache>
                <c:ptCount val="1"/>
                <c:pt idx="0">
                  <c:v> Reservas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'III.5.14.Trasp. netos'!$G$5:$G$16</c:f>
              <c:numCache>
                <c:formatCode>#,##0_);[Red]\(#,##0\)</c:formatCode>
                <c:ptCount val="12"/>
                <c:pt idx="0">
                  <c:v>52</c:v>
                </c:pt>
                <c:pt idx="1">
                  <c:v>989</c:v>
                </c:pt>
                <c:pt idx="2">
                  <c:v>530</c:v>
                </c:pt>
                <c:pt idx="3">
                  <c:v>432</c:v>
                </c:pt>
                <c:pt idx="4">
                  <c:v>-4380</c:v>
                </c:pt>
                <c:pt idx="5">
                  <c:v>-1137</c:v>
                </c:pt>
                <c:pt idx="6">
                  <c:v>2090</c:v>
                </c:pt>
                <c:pt idx="7">
                  <c:v>1986</c:v>
                </c:pt>
                <c:pt idx="8">
                  <c:v>4515</c:v>
                </c:pt>
                <c:pt idx="9">
                  <c:v>7338</c:v>
                </c:pt>
                <c:pt idx="10">
                  <c:v>12142</c:v>
                </c:pt>
                <c:pt idx="11">
                  <c:v>3759</c:v>
                </c:pt>
              </c:numCache>
            </c:numRef>
          </c:val>
        </c:ser>
        <c:ser>
          <c:idx val="6"/>
          <c:order val="6"/>
          <c:tx>
            <c:strRef>
              <c:f>'III.5.14.Trasp. netos'!$H$4</c:f>
              <c:strCache>
                <c:ptCount val="1"/>
                <c:pt idx="0">
                  <c:v>Romana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'III.5.14.Trasp. netos'!$H$5:$H$16</c:f>
              <c:numCache>
                <c:formatCode>#,##0_);[Red]\(#,##0\)</c:formatCode>
                <c:ptCount val="12"/>
                <c:pt idx="0">
                  <c:v>-5</c:v>
                </c:pt>
                <c:pt idx="1">
                  <c:v>14</c:v>
                </c:pt>
                <c:pt idx="2">
                  <c:v>0</c:v>
                </c:pt>
                <c:pt idx="3">
                  <c:v>-16</c:v>
                </c:pt>
                <c:pt idx="4">
                  <c:v>-56</c:v>
                </c:pt>
                <c:pt idx="5">
                  <c:v>-20</c:v>
                </c:pt>
                <c:pt idx="6">
                  <c:v>-15</c:v>
                </c:pt>
                <c:pt idx="7">
                  <c:v>-28</c:v>
                </c:pt>
                <c:pt idx="8">
                  <c:v>-26</c:v>
                </c:pt>
                <c:pt idx="9">
                  <c:v>661</c:v>
                </c:pt>
                <c:pt idx="10">
                  <c:v>850</c:v>
                </c:pt>
                <c:pt idx="11">
                  <c:v>45</c:v>
                </c:pt>
              </c:numCache>
            </c:numRef>
          </c:val>
        </c:ser>
        <c:ser>
          <c:idx val="7"/>
          <c:order val="7"/>
          <c:tx>
            <c:strRef>
              <c:f>'III.5.14.Trasp. netos'!$I$4</c:f>
              <c:strCache>
                <c:ptCount val="1"/>
                <c:pt idx="0">
                  <c:v>Scotia Crecer</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'III.5.14.Trasp. netos'!$I$5:$I$16</c:f>
              <c:numCache>
                <c:formatCode>#,##0_);[Red]\(#,##0\)</c:formatCode>
                <c:ptCount val="12"/>
                <c:pt idx="0">
                  <c:v>-65</c:v>
                </c:pt>
                <c:pt idx="1">
                  <c:v>-136</c:v>
                </c:pt>
                <c:pt idx="2">
                  <c:v>-261</c:v>
                </c:pt>
                <c:pt idx="3">
                  <c:v>-231</c:v>
                </c:pt>
                <c:pt idx="4">
                  <c:v>-9243</c:v>
                </c:pt>
                <c:pt idx="5">
                  <c:v>-2753</c:v>
                </c:pt>
                <c:pt idx="6">
                  <c:v>-1867</c:v>
                </c:pt>
                <c:pt idx="7">
                  <c:v>-2359</c:v>
                </c:pt>
                <c:pt idx="8">
                  <c:v>-3839</c:v>
                </c:pt>
                <c:pt idx="9">
                  <c:v>-6830</c:v>
                </c:pt>
                <c:pt idx="10">
                  <c:v>-8701</c:v>
                </c:pt>
                <c:pt idx="11">
                  <c:v>-2744</c:v>
                </c:pt>
              </c:numCache>
            </c:numRef>
          </c:val>
        </c:ser>
        <c:ser>
          <c:idx val="8"/>
          <c:order val="8"/>
          <c:tx>
            <c:strRef>
              <c:f>'III.5.14.Trasp. netos'!$J$4</c:f>
              <c:strCache>
                <c:ptCount val="1"/>
                <c:pt idx="0">
                  <c:v>Siembra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'III.5.14.Trasp. netos'!$J$5:$J$16</c:f>
              <c:numCache>
                <c:formatCode>#,##0_);[Red]\(#,##0\)</c:formatCode>
                <c:ptCount val="12"/>
                <c:pt idx="0">
                  <c:v>-174</c:v>
                </c:pt>
                <c:pt idx="1">
                  <c:v>-178</c:v>
                </c:pt>
                <c:pt idx="2">
                  <c:v>221</c:v>
                </c:pt>
                <c:pt idx="3">
                  <c:v>-48</c:v>
                </c:pt>
                <c:pt idx="4">
                  <c:v>-4163</c:v>
                </c:pt>
                <c:pt idx="5">
                  <c:v>-1627</c:v>
                </c:pt>
                <c:pt idx="6">
                  <c:v>-1090</c:v>
                </c:pt>
                <c:pt idx="7">
                  <c:v>-1438</c:v>
                </c:pt>
                <c:pt idx="8">
                  <c:v>-2232</c:v>
                </c:pt>
                <c:pt idx="9">
                  <c:v>-3337</c:v>
                </c:pt>
                <c:pt idx="10">
                  <c:v>-4673</c:v>
                </c:pt>
                <c:pt idx="11">
                  <c:v>-471</c:v>
                </c:pt>
              </c:numCache>
            </c:numRef>
          </c:val>
        </c:ser>
        <c:dLbls>
          <c:showLegendKey val="0"/>
          <c:showVal val="0"/>
          <c:showCatName val="0"/>
          <c:showSerName val="0"/>
          <c:showPercent val="0"/>
          <c:showBubbleSize val="0"/>
        </c:dLbls>
        <c:gapWidth val="42"/>
        <c:shape val="cylinder"/>
        <c:axId val="408276384"/>
        <c:axId val="408277168"/>
        <c:axId val="0"/>
      </c:bar3DChart>
      <c:catAx>
        <c:axId val="408276384"/>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408277168"/>
        <c:crosses val="autoZero"/>
        <c:auto val="1"/>
        <c:lblAlgn val="ctr"/>
        <c:lblOffset val="100"/>
        <c:noMultiLvlLbl val="0"/>
      </c:catAx>
      <c:valAx>
        <c:axId val="408277168"/>
        <c:scaling>
          <c:orientation val="minMax"/>
        </c:scaling>
        <c:delete val="1"/>
        <c:axPos val="l"/>
        <c:numFmt formatCode="#,##0_);[Red]\(#,##0\)" sourceLinked="1"/>
        <c:majorTickMark val="out"/>
        <c:minorTickMark val="none"/>
        <c:tickLblPos val="nextTo"/>
        <c:crossAx val="408276384"/>
        <c:crosses val="autoZero"/>
        <c:crossBetween val="between"/>
      </c:valAx>
      <c:spPr>
        <a:noFill/>
        <a:ln w="25400">
          <a:noFill/>
        </a:ln>
      </c:spPr>
    </c:plotArea>
    <c:legend>
      <c:legendPos val="b"/>
      <c:layout>
        <c:manualLayout>
          <c:xMode val="edge"/>
          <c:yMode val="edge"/>
          <c:x val="9.494961716260587E-3"/>
          <c:y val="8.0958890181768869E-2"/>
          <c:w val="0.89999991729329787"/>
          <c:h val="7.0503491830088624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111486064241969E-2"/>
          <c:y val="0.2873287652530479"/>
          <c:w val="0.97072178477690274"/>
          <c:h val="0.50470083703062818"/>
        </c:manualLayout>
      </c:layout>
      <c:bar3DChart>
        <c:barDir val="col"/>
        <c:grouping val="stacked"/>
        <c:varyColors val="0"/>
        <c:ser>
          <c:idx val="0"/>
          <c:order val="0"/>
          <c:tx>
            <c:strRef>
              <c:f>'III.5.14.Trasp. netos'!$L$4</c:f>
              <c:strCache>
                <c:ptCount val="1"/>
                <c:pt idx="0">
                  <c:v>FPBC</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'III.5.14.Trasp. netos'!$L$5:$L$16</c:f>
              <c:numCache>
                <c:formatCode>#,##0_);[Red]\(#,##0\)</c:formatCode>
                <c:ptCount val="12"/>
                <c:pt idx="0">
                  <c:v>0</c:v>
                </c:pt>
                <c:pt idx="1">
                  <c:v>-259</c:v>
                </c:pt>
                <c:pt idx="2">
                  <c:v>-25</c:v>
                </c:pt>
                <c:pt idx="3">
                  <c:v>-7</c:v>
                </c:pt>
                <c:pt idx="4">
                  <c:v>-7</c:v>
                </c:pt>
                <c:pt idx="5">
                  <c:v>-5</c:v>
                </c:pt>
                <c:pt idx="6">
                  <c:v>-23</c:v>
                </c:pt>
                <c:pt idx="7">
                  <c:v>-3</c:v>
                </c:pt>
                <c:pt idx="8">
                  <c:v>-7</c:v>
                </c:pt>
                <c:pt idx="9">
                  <c:v>-5</c:v>
                </c:pt>
                <c:pt idx="10">
                  <c:v>-2</c:v>
                </c:pt>
                <c:pt idx="11">
                  <c:v>-29</c:v>
                </c:pt>
              </c:numCache>
            </c:numRef>
          </c:val>
        </c:ser>
        <c:ser>
          <c:idx val="1"/>
          <c:order val="1"/>
          <c:tx>
            <c:strRef>
              <c:f>'III.5.14.Trasp. netos'!$M$4</c:f>
              <c:strCache>
                <c:ptCount val="1"/>
                <c:pt idx="0">
                  <c:v>Bco Reservas</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'III.5.14.Trasp. netos'!$M$5:$M$16</c:f>
              <c:numCache>
                <c:formatCode>#,##0_);[Red]\(#,##0\)</c:formatCode>
                <c:ptCount val="12"/>
                <c:pt idx="0">
                  <c:v>0</c:v>
                </c:pt>
                <c:pt idx="1">
                  <c:v>-719</c:v>
                </c:pt>
                <c:pt idx="2">
                  <c:v>-77</c:v>
                </c:pt>
                <c:pt idx="3">
                  <c:v>-59</c:v>
                </c:pt>
                <c:pt idx="4">
                  <c:v>-64</c:v>
                </c:pt>
                <c:pt idx="5">
                  <c:v>-42</c:v>
                </c:pt>
                <c:pt idx="6">
                  <c:v>-41</c:v>
                </c:pt>
                <c:pt idx="7">
                  <c:v>497</c:v>
                </c:pt>
                <c:pt idx="8">
                  <c:v>-32</c:v>
                </c:pt>
                <c:pt idx="9">
                  <c:v>-32</c:v>
                </c:pt>
                <c:pt idx="10">
                  <c:v>-26</c:v>
                </c:pt>
                <c:pt idx="11">
                  <c:v>-2</c:v>
                </c:pt>
              </c:numCache>
            </c:numRef>
          </c:val>
        </c:ser>
        <c:ser>
          <c:idx val="2"/>
          <c:order val="2"/>
          <c:tx>
            <c:strRef>
              <c:f>'III.5.14.Trasp. netos'!$N$4</c:f>
              <c:strCache>
                <c:ptCount val="1"/>
                <c:pt idx="0">
                  <c:v>INABIMA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'III.5.14.Trasp. netos'!$N$5:$N$16</c:f>
              <c:numCache>
                <c:formatCode>#,##0_);[Red]\(#,##0\)</c:formatCode>
                <c:ptCount val="12"/>
                <c:pt idx="0">
                  <c:v>0</c:v>
                </c:pt>
                <c:pt idx="1">
                  <c:v>0</c:v>
                </c:pt>
                <c:pt idx="2">
                  <c:v>0</c:v>
                </c:pt>
                <c:pt idx="3">
                  <c:v>0</c:v>
                </c:pt>
                <c:pt idx="4">
                  <c:v>21139</c:v>
                </c:pt>
                <c:pt idx="5">
                  <c:v>3310</c:v>
                </c:pt>
                <c:pt idx="6">
                  <c:v>1778</c:v>
                </c:pt>
                <c:pt idx="7">
                  <c:v>2945</c:v>
                </c:pt>
                <c:pt idx="8">
                  <c:v>2249</c:v>
                </c:pt>
                <c:pt idx="9">
                  <c:v>7035</c:v>
                </c:pt>
                <c:pt idx="10">
                  <c:v>5549</c:v>
                </c:pt>
                <c:pt idx="11">
                  <c:v>676</c:v>
                </c:pt>
              </c:numCache>
            </c:numRef>
          </c:val>
        </c:ser>
        <c:ser>
          <c:idx val="3"/>
          <c:order val="3"/>
          <c:tx>
            <c:strRef>
              <c:f>'III.5.14.Trasp. netos'!$O$4</c:f>
              <c:strCache>
                <c:ptCount val="1"/>
                <c:pt idx="0">
                  <c:v>M.H.</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Abr.2016</c:v>
                </c:pt>
              </c:strCache>
            </c:strRef>
          </c:cat>
          <c:val>
            <c:numRef>
              <c:f>'III.5.14.Trasp. netos'!$O$5:$O$16</c:f>
              <c:numCache>
                <c:formatCode>#,##0_);[Red]\(#,##0\)</c:formatCode>
                <c:ptCount val="12"/>
                <c:pt idx="0">
                  <c:v>0</c:v>
                </c:pt>
                <c:pt idx="1">
                  <c:v>20</c:v>
                </c:pt>
                <c:pt idx="2">
                  <c:v>0</c:v>
                </c:pt>
                <c:pt idx="3">
                  <c:v>0</c:v>
                </c:pt>
                <c:pt idx="4">
                  <c:v>2582</c:v>
                </c:pt>
                <c:pt idx="5">
                  <c:v>4114</c:v>
                </c:pt>
                <c:pt idx="6">
                  <c:v>199</c:v>
                </c:pt>
                <c:pt idx="7">
                  <c:v>17</c:v>
                </c:pt>
                <c:pt idx="8">
                  <c:v>1532</c:v>
                </c:pt>
                <c:pt idx="9">
                  <c:v>455</c:v>
                </c:pt>
                <c:pt idx="10">
                  <c:v>336</c:v>
                </c:pt>
                <c:pt idx="11">
                  <c:v>249</c:v>
                </c:pt>
              </c:numCache>
            </c:numRef>
          </c:val>
        </c:ser>
        <c:dLbls>
          <c:showLegendKey val="0"/>
          <c:showVal val="0"/>
          <c:showCatName val="0"/>
          <c:showSerName val="0"/>
          <c:showPercent val="0"/>
          <c:showBubbleSize val="0"/>
        </c:dLbls>
        <c:gapWidth val="41"/>
        <c:shape val="cylinder"/>
        <c:axId val="408277952"/>
        <c:axId val="408278344"/>
        <c:axId val="0"/>
      </c:bar3DChart>
      <c:catAx>
        <c:axId val="408277952"/>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408278344"/>
        <c:crosses val="autoZero"/>
        <c:auto val="1"/>
        <c:lblAlgn val="ctr"/>
        <c:lblOffset val="100"/>
        <c:noMultiLvlLbl val="0"/>
      </c:catAx>
      <c:valAx>
        <c:axId val="408278344"/>
        <c:scaling>
          <c:orientation val="minMax"/>
        </c:scaling>
        <c:delete val="1"/>
        <c:axPos val="l"/>
        <c:numFmt formatCode="#,##0_);[Red]\(#,##0\)" sourceLinked="1"/>
        <c:majorTickMark val="out"/>
        <c:minorTickMark val="none"/>
        <c:tickLblPos val="nextTo"/>
        <c:crossAx val="408277952"/>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s-ES"/>
        </a:p>
      </c:txPr>
    </c:legend>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325799801097683"/>
          <c:y val="1.3427598120564717E-2"/>
        </c:manualLayout>
      </c:layout>
      <c:overlay val="1"/>
    </c:title>
    <c:autoTitleDeleted val="0"/>
    <c:plotArea>
      <c:layout>
        <c:manualLayout>
          <c:layoutTarget val="inner"/>
          <c:xMode val="edge"/>
          <c:yMode val="edge"/>
          <c:x val="8.0514601464290653E-2"/>
          <c:y val="0.2232510861860916"/>
          <c:w val="0.84628957918721703"/>
          <c:h val="0.58167790681053366"/>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4"/>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dLbl>
            <c:dLbl>
              <c:idx val="5"/>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Abr.2016</c:v>
                </c:pt>
              </c:strCache>
            </c:strRef>
          </c:cat>
          <c:val>
            <c:numRef>
              <c:f>'III.6.3.Afil. SRL'!$B$4:$B$12</c:f>
              <c:numCache>
                <c:formatCode>#,##0_);[Red]\(#,##0\)</c:formatCode>
                <c:ptCount val="9"/>
                <c:pt idx="0">
                  <c:v>1566047</c:v>
                </c:pt>
                <c:pt idx="1">
                  <c:v>1560994</c:v>
                </c:pt>
                <c:pt idx="2">
                  <c:v>1631129</c:v>
                </c:pt>
                <c:pt idx="3">
                  <c:v>1686216</c:v>
                </c:pt>
                <c:pt idx="4">
                  <c:v>1716228</c:v>
                </c:pt>
                <c:pt idx="5">
                  <c:v>1769801</c:v>
                </c:pt>
                <c:pt idx="6">
                  <c:v>1865496</c:v>
                </c:pt>
                <c:pt idx="7">
                  <c:v>1965498</c:v>
                </c:pt>
                <c:pt idx="8">
                  <c:v>1965498</c:v>
                </c:pt>
              </c:numCache>
            </c:numRef>
          </c:val>
        </c:ser>
        <c:ser>
          <c:idx val="1"/>
          <c:order val="1"/>
          <c:tx>
            <c:strRef>
              <c:f>'III.6.3.Afil. SRL'!$C$3</c:f>
              <c:strCache>
                <c:ptCount val="1"/>
                <c:pt idx="0">
                  <c:v>Afiliados  SRL</c:v>
                </c:pt>
              </c:strCache>
            </c:strRef>
          </c:tx>
          <c:spPr>
            <a:solidFill>
              <a:srgbClr val="0070C0"/>
            </a:solidFill>
          </c:spPr>
          <c:invertIfNegative val="0"/>
          <c:dLbls>
            <c:dLbl>
              <c:idx val="0"/>
              <c:layout>
                <c:manualLayout>
                  <c:x val="-1.0212360021541532E-3"/>
                  <c:y val="6.059951634102978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0808771330698061E-3"/>
                  <c:y val="6.72026948709073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1816236875735668E-3"/>
                  <c:y val="7.906623826970721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476834882956021E-3"/>
                  <c:y val="7.639607234069860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449144597321438E-3"/>
                  <c:y val="8.0766492734309095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6.5443131641033908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47635671449525E-3"/>
                  <c:y val="6.2249574269465903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Abr.2016</c:v>
                </c:pt>
              </c:strCache>
            </c:strRef>
          </c:cat>
          <c:val>
            <c:numRef>
              <c:f>'III.6.3.Afil. SRL'!$C$4:$C$12</c:f>
              <c:numCache>
                <c:formatCode>#,##0_);[Red]\(#,##0\)</c:formatCode>
                <c:ptCount val="9"/>
                <c:pt idx="0">
                  <c:v>1188229</c:v>
                </c:pt>
                <c:pt idx="1">
                  <c:v>1227725</c:v>
                </c:pt>
                <c:pt idx="2">
                  <c:v>1299087</c:v>
                </c:pt>
                <c:pt idx="3">
                  <c:v>1367790</c:v>
                </c:pt>
                <c:pt idx="4">
                  <c:v>1430273</c:v>
                </c:pt>
                <c:pt idx="5">
                  <c:v>1530322</c:v>
                </c:pt>
                <c:pt idx="6">
                  <c:v>1651202</c:v>
                </c:pt>
                <c:pt idx="7">
                  <c:v>1759458</c:v>
                </c:pt>
                <c:pt idx="8">
                  <c:v>1836699</c:v>
                </c:pt>
              </c:numCache>
            </c:numRef>
          </c:val>
        </c:ser>
        <c:dLbls>
          <c:showLegendKey val="0"/>
          <c:showVal val="0"/>
          <c:showCatName val="0"/>
          <c:showSerName val="0"/>
          <c:showPercent val="0"/>
          <c:showBubbleSize val="0"/>
        </c:dLbls>
        <c:gapWidth val="65"/>
        <c:axId val="408279128"/>
        <c:axId val="408279520"/>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5.6300946579441137E-3"/>
                  <c:y val="1.6600936512374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2519560164693384E-3"/>
                  <c:y val="2.05611592087302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04588929188214E-3"/>
                  <c:y val="2.67901331869234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3218852961189299E-3"/>
                  <c:y val="1.76335044717748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6517576656623433E-3"/>
                  <c:y val="3.434985701737400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5581377031484954E-3"/>
                  <c:y val="-2.460374483697536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17251491860352E-3"/>
                  <c:y val="-1.941842003166761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6230772810409488E-4"/>
                  <c:y val="-1.7550261108762125E-2"/>
                </c:manualLayout>
              </c:layout>
              <c:spPr/>
              <c:txPr>
                <a:bodyPr/>
                <a:lstStyle/>
                <a:p>
                  <a:pPr>
                    <a:defRPr sz="2000" b="0">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6831646044244472E-3"/>
                  <c:y val="-2.3129617037297774E-2"/>
                </c:manualLayout>
              </c:layout>
              <c:spPr>
                <a:noFill/>
                <a:ln>
                  <a:noFill/>
                </a:ln>
                <a:effectLst/>
              </c:spPr>
              <c:txPr>
                <a:bodyPr/>
                <a:lstStyle/>
                <a:p>
                  <a:pPr>
                    <a:defRPr sz="2000" b="1">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0">
                    <a:solidFill>
                      <a:sysClr val="windowText" lastClr="00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Abr.2016</c:v>
                </c:pt>
              </c:strCache>
            </c:strRef>
          </c:cat>
          <c:val>
            <c:numRef>
              <c:f>'III.6.3.Afil. SRL'!$E$4:$E$12</c:f>
              <c:numCache>
                <c:formatCode>0.0%</c:formatCode>
                <c:ptCount val="9"/>
                <c:pt idx="0">
                  <c:v>0.75874415007978691</c:v>
                </c:pt>
                <c:pt idx="1">
                  <c:v>0.78650206214758034</c:v>
                </c:pt>
                <c:pt idx="2">
                  <c:v>0.79643424891593495</c:v>
                </c:pt>
                <c:pt idx="3">
                  <c:v>0.81115942441537736</c:v>
                </c:pt>
                <c:pt idx="4">
                  <c:v>0.83338169520599825</c:v>
                </c:pt>
                <c:pt idx="5">
                  <c:v>0.864685916665207</c:v>
                </c:pt>
                <c:pt idx="6">
                  <c:v>0.88512760145291114</c:v>
                </c:pt>
                <c:pt idx="7">
                  <c:v>0.89517160536413676</c:v>
                </c:pt>
                <c:pt idx="8">
                  <c:v>0.93447004270673384</c:v>
                </c:pt>
              </c:numCache>
            </c:numRef>
          </c:val>
          <c:smooth val="0"/>
        </c:ser>
        <c:dLbls>
          <c:showLegendKey val="0"/>
          <c:showVal val="0"/>
          <c:showCatName val="0"/>
          <c:showSerName val="0"/>
          <c:showPercent val="0"/>
          <c:showBubbleSize val="0"/>
        </c:dLbls>
        <c:marker val="1"/>
        <c:smooth val="0"/>
        <c:axId val="408280304"/>
        <c:axId val="408279912"/>
      </c:lineChart>
      <c:catAx>
        <c:axId val="408279128"/>
        <c:scaling>
          <c:orientation val="minMax"/>
        </c:scaling>
        <c:delete val="0"/>
        <c:axPos val="b"/>
        <c:numFmt formatCode="General" sourceLinked="1"/>
        <c:majorTickMark val="none"/>
        <c:minorTickMark val="none"/>
        <c:tickLblPos val="nextTo"/>
        <c:txPr>
          <a:bodyPr/>
          <a:lstStyle/>
          <a:p>
            <a:pPr>
              <a:defRPr sz="2000"/>
            </a:pPr>
            <a:endParaRPr lang="es-ES"/>
          </a:p>
        </c:txPr>
        <c:crossAx val="408279520"/>
        <c:crosses val="autoZero"/>
        <c:auto val="1"/>
        <c:lblAlgn val="ctr"/>
        <c:lblOffset val="100"/>
        <c:noMultiLvlLbl val="0"/>
      </c:catAx>
      <c:valAx>
        <c:axId val="408279520"/>
        <c:scaling>
          <c:orientation val="minMax"/>
          <c:max val="2000000"/>
          <c:min val="200"/>
        </c:scaling>
        <c:delete val="0"/>
        <c:axPos val="l"/>
        <c:numFmt formatCode="#,##0_);[Red]\(#,##0\)" sourceLinked="1"/>
        <c:majorTickMark val="none"/>
        <c:minorTickMark val="none"/>
        <c:tickLblPos val="nextTo"/>
        <c:txPr>
          <a:bodyPr/>
          <a:lstStyle/>
          <a:p>
            <a:pPr>
              <a:defRPr sz="1400"/>
            </a:pPr>
            <a:endParaRPr lang="es-ES"/>
          </a:p>
        </c:txPr>
        <c:crossAx val="408279128"/>
        <c:crosses val="autoZero"/>
        <c:crossBetween val="between"/>
        <c:majorUnit val="200000"/>
        <c:minorUnit val="40000"/>
        <c:dispUnits>
          <c:builtInUnit val="thousands"/>
          <c:dispUnitsLbl>
            <c:layout>
              <c:manualLayout>
                <c:xMode val="edge"/>
                <c:yMode val="edge"/>
                <c:x val="6.0458156095067536E-3"/>
                <c:y val="0.4634917459833533"/>
              </c:manualLayout>
            </c:layout>
            <c:txPr>
              <a:bodyPr/>
              <a:lstStyle/>
              <a:p>
                <a:pPr>
                  <a:defRPr sz="1800" b="0"/>
                </a:pPr>
                <a:endParaRPr lang="es-ES"/>
              </a:p>
            </c:txPr>
          </c:dispUnitsLbl>
        </c:dispUnits>
      </c:valAx>
      <c:valAx>
        <c:axId val="408279912"/>
        <c:scaling>
          <c:orientation val="minMax"/>
          <c:max val="1"/>
          <c:min val="0.2"/>
        </c:scaling>
        <c:delete val="0"/>
        <c:axPos val="r"/>
        <c:numFmt formatCode="0.0%" sourceLinked="1"/>
        <c:majorTickMark val="out"/>
        <c:minorTickMark val="none"/>
        <c:tickLblPos val="nextTo"/>
        <c:txPr>
          <a:bodyPr/>
          <a:lstStyle/>
          <a:p>
            <a:pPr>
              <a:defRPr sz="1400"/>
            </a:pPr>
            <a:endParaRPr lang="es-ES"/>
          </a:p>
        </c:txPr>
        <c:crossAx val="408280304"/>
        <c:crosses val="max"/>
        <c:crossBetween val="between"/>
      </c:valAx>
      <c:catAx>
        <c:axId val="408280304"/>
        <c:scaling>
          <c:orientation val="minMax"/>
        </c:scaling>
        <c:delete val="1"/>
        <c:axPos val="b"/>
        <c:numFmt formatCode="General" sourceLinked="1"/>
        <c:majorTickMark val="out"/>
        <c:minorTickMark val="none"/>
        <c:tickLblPos val="nextTo"/>
        <c:crossAx val="408279912"/>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400"/>
              <a:t>Trabajadores Afiliados Activos al SDSS, por  Sexo y Edad</a:t>
            </a:r>
          </a:p>
        </c:rich>
      </c:tx>
      <c:layout>
        <c:manualLayout>
          <c:xMode val="edge"/>
          <c:yMode val="edge"/>
          <c:x val="0.31001338205022089"/>
          <c:y val="3.5610702426398723E-2"/>
        </c:manualLayout>
      </c:layout>
      <c:overlay val="0"/>
    </c:title>
    <c:autoTitleDeleted val="0"/>
    <c:plotArea>
      <c:layout>
        <c:manualLayout>
          <c:layoutTarget val="inner"/>
          <c:xMode val="edge"/>
          <c:yMode val="edge"/>
          <c:x val="3.6458413473361075E-2"/>
          <c:y val="0.13201619069218393"/>
          <c:w val="0.92648509880870256"/>
          <c:h val="0.73398543039262953"/>
        </c:manualLayout>
      </c:layout>
      <c:barChart>
        <c:barDir val="col"/>
        <c:grouping val="clustered"/>
        <c:varyColors val="0"/>
        <c:ser>
          <c:idx val="1"/>
          <c:order val="1"/>
          <c:tx>
            <c:strRef>
              <c:f>'II.6.Empl xsexoy edad'!$C$4</c:f>
              <c:strCache>
                <c:ptCount val="1"/>
                <c:pt idx="0">
                  <c:v>Total empresas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edad'!$C$5:$C$19</c:f>
            </c:numRef>
          </c:val>
        </c:ser>
        <c:ser>
          <c:idx val="3"/>
          <c:order val="3"/>
          <c:tx>
            <c:strRef>
              <c:f>'II.6.Empl xsexoy edad'!$E$4</c:f>
              <c:strCache>
                <c:ptCount val="1"/>
                <c:pt idx="0">
                  <c:v>Mujeres</c:v>
                </c:pt>
              </c:strCache>
            </c:strRef>
          </c:tx>
          <c:spPr>
            <a:solidFill>
              <a:srgbClr val="00B050"/>
            </a:solidFill>
          </c:spPr>
          <c:invertIfNegative val="0"/>
          <c:dLbls>
            <c:dLbl>
              <c:idx val="1"/>
              <c:layout/>
              <c:tx>
                <c:rich>
                  <a:bodyPr/>
                  <a:lstStyle/>
                  <a:p>
                    <a:r>
                      <a:rPr lang="en-US"/>
                      <a:t> </a:t>
                    </a:r>
                  </a:p>
                </c:rich>
              </c:tx>
              <c:dLblPos val="inBase"/>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edad'!$E$5:$E$19</c:f>
              <c:numCache>
                <c:formatCode>_(* #,##0_);_(* \(#,##0\);_(* "-"??_);_(@_)</c:formatCode>
                <c:ptCount val="15"/>
                <c:pt idx="0">
                  <c:v>10785</c:v>
                </c:pt>
                <c:pt idx="1">
                  <c:v>95535</c:v>
                </c:pt>
                <c:pt idx="2">
                  <c:v>127551</c:v>
                </c:pt>
                <c:pt idx="3">
                  <c:v>121986</c:v>
                </c:pt>
                <c:pt idx="4">
                  <c:v>115850</c:v>
                </c:pt>
                <c:pt idx="5">
                  <c:v>96529</c:v>
                </c:pt>
                <c:pt idx="6">
                  <c:v>82563</c:v>
                </c:pt>
                <c:pt idx="7">
                  <c:v>64032</c:v>
                </c:pt>
                <c:pt idx="8">
                  <c:v>42845</c:v>
                </c:pt>
                <c:pt idx="9">
                  <c:v>25974</c:v>
                </c:pt>
                <c:pt idx="10">
                  <c:v>13229</c:v>
                </c:pt>
                <c:pt idx="11">
                  <c:v>5882</c:v>
                </c:pt>
                <c:pt idx="12">
                  <c:v>3169</c:v>
                </c:pt>
                <c:pt idx="13">
                  <c:v>1529</c:v>
                </c:pt>
                <c:pt idx="14">
                  <c:v>996</c:v>
                </c:pt>
              </c:numCache>
            </c:numRef>
          </c:val>
        </c:ser>
        <c:ser>
          <c:idx val="0"/>
          <c:order val="0"/>
          <c:tx>
            <c:strRef>
              <c:f>'II.6.Empl xsexoy edad'!$B$4</c:f>
              <c:strCache>
                <c:ptCount val="1"/>
                <c:pt idx="0">
                  <c:v>Hombres</c:v>
                </c:pt>
              </c:strCache>
            </c:strRef>
          </c:tx>
          <c:spPr>
            <a:solidFill>
              <a:srgbClr val="0070C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edad'!$B$5:$B$19</c:f>
              <c:numCache>
                <c:formatCode>_(* #,##0_);_(* \(#,##0\);_(* "-"??_);_(@_)</c:formatCode>
                <c:ptCount val="15"/>
                <c:pt idx="0">
                  <c:v>16040</c:v>
                </c:pt>
                <c:pt idx="1">
                  <c:v>132644</c:v>
                </c:pt>
                <c:pt idx="2">
                  <c:v>165049</c:v>
                </c:pt>
                <c:pt idx="3">
                  <c:v>147011</c:v>
                </c:pt>
                <c:pt idx="4">
                  <c:v>134228</c:v>
                </c:pt>
                <c:pt idx="5">
                  <c:v>112791</c:v>
                </c:pt>
                <c:pt idx="6">
                  <c:v>97738</c:v>
                </c:pt>
                <c:pt idx="7">
                  <c:v>79678</c:v>
                </c:pt>
                <c:pt idx="8">
                  <c:v>57605</c:v>
                </c:pt>
                <c:pt idx="9">
                  <c:v>39674</c:v>
                </c:pt>
                <c:pt idx="10">
                  <c:v>22813</c:v>
                </c:pt>
                <c:pt idx="11">
                  <c:v>11770</c:v>
                </c:pt>
                <c:pt idx="12">
                  <c:v>6287</c:v>
                </c:pt>
                <c:pt idx="13">
                  <c:v>2944</c:v>
                </c:pt>
                <c:pt idx="14">
                  <c:v>1972</c:v>
                </c:pt>
              </c:numCache>
            </c:numRef>
          </c:val>
        </c:ser>
        <c:ser>
          <c:idx val="4"/>
          <c:order val="4"/>
          <c:tx>
            <c:strRef>
              <c:f>'II.6.Empl xsexoy edad'!$F$4</c:f>
              <c:strCache>
                <c:ptCount val="1"/>
                <c:pt idx="0">
                  <c:v>Total Empleados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edad'!$F$5:$F$19</c:f>
            </c:numRef>
          </c:val>
        </c:ser>
        <c:dLbls>
          <c:showLegendKey val="0"/>
          <c:showVal val="0"/>
          <c:showCatName val="0"/>
          <c:showSerName val="0"/>
          <c:showPercent val="0"/>
          <c:showBubbleSize val="0"/>
        </c:dLbls>
        <c:gapWidth val="23"/>
        <c:overlap val="-3"/>
        <c:axId val="406438808"/>
        <c:axId val="406439200"/>
      </c:barChart>
      <c:lineChart>
        <c:grouping val="standard"/>
        <c:varyColors val="0"/>
        <c:ser>
          <c:idx val="2"/>
          <c:order val="2"/>
          <c:tx>
            <c:strRef>
              <c:f>'II.6.Empl xsexoy edad'!$D$4</c:f>
              <c:strCache>
                <c:ptCount val="1"/>
                <c:pt idx="0">
                  <c:v>% Hombres</c:v>
                </c:pt>
              </c:strCache>
            </c:strRef>
          </c:tx>
          <c:spPr>
            <a:ln>
              <a:solidFill>
                <a:srgbClr val="00B050"/>
              </a:solidFill>
            </a:ln>
          </c:spPr>
          <c:marker>
            <c:spPr>
              <a:ln>
                <a:solidFill>
                  <a:srgbClr val="00B050"/>
                </a:solidFill>
              </a:ln>
            </c:spPr>
          </c:marker>
          <c:dLbls>
            <c:spPr>
              <a:noFill/>
              <a:ln>
                <a:noFill/>
              </a:ln>
              <a:effectLst/>
            </c:spPr>
            <c:txPr>
              <a:bodyPr/>
              <a:lstStyle/>
              <a:p>
                <a:pPr>
                  <a:defRPr sz="1800" b="1">
                    <a:solidFill>
                      <a:srgbClr val="00B05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edad'!$D$5:$D$19</c:f>
              <c:numCache>
                <c:formatCode>0.0%</c:formatCode>
                <c:ptCount val="15"/>
                <c:pt idx="0">
                  <c:v>0.5979496738117428</c:v>
                </c:pt>
                <c:pt idx="1">
                  <c:v>0.58131554612825898</c:v>
                </c:pt>
                <c:pt idx="2">
                  <c:v>0.56407723855092273</c:v>
                </c:pt>
                <c:pt idx="3">
                  <c:v>0.54651538864745708</c:v>
                </c:pt>
                <c:pt idx="4">
                  <c:v>0.53674453570486014</c:v>
                </c:pt>
                <c:pt idx="5">
                  <c:v>0.53884483088094781</c:v>
                </c:pt>
                <c:pt idx="6">
                  <c:v>0.54208240664222607</c:v>
                </c:pt>
                <c:pt idx="7">
                  <c:v>0.55443601697863754</c:v>
                </c:pt>
                <c:pt idx="8">
                  <c:v>0.57346938775510203</c:v>
                </c:pt>
                <c:pt idx="9">
                  <c:v>0.60434438215939557</c:v>
                </c:pt>
                <c:pt idx="10">
                  <c:v>0.63295599578269801</c:v>
                </c:pt>
                <c:pt idx="11">
                  <c:v>0.66677996827554953</c:v>
                </c:pt>
                <c:pt idx="12">
                  <c:v>0.66486886632825715</c:v>
                </c:pt>
                <c:pt idx="13">
                  <c:v>0.65817124972054553</c:v>
                </c:pt>
                <c:pt idx="14">
                  <c:v>0.66442048517520214</c:v>
                </c:pt>
              </c:numCache>
            </c:numRef>
          </c:val>
          <c:smooth val="0"/>
        </c:ser>
        <c:ser>
          <c:idx val="5"/>
          <c:order val="5"/>
          <c:tx>
            <c:strRef>
              <c:f>'II.6.Empl xsexoy edad'!$G$4</c:f>
              <c:strCache>
                <c:ptCount val="1"/>
                <c:pt idx="0">
                  <c:v>% Mujeres</c:v>
                </c:pt>
              </c:strCache>
            </c:strRef>
          </c:tx>
          <c:spPr>
            <a:ln>
              <a:solidFill>
                <a:srgbClr val="FF3399"/>
              </a:solidFill>
            </a:ln>
          </c:spPr>
          <c:marker>
            <c:spPr>
              <a:ln>
                <a:solidFill>
                  <a:srgbClr val="FF3399"/>
                </a:solidFill>
              </a:ln>
            </c:spPr>
          </c:marker>
          <c:dLbls>
            <c:dLbl>
              <c:idx val="1"/>
              <c:layout>
                <c:manualLayout>
                  <c:x val="-1.8881778831047909E-2"/>
                  <c:y val="1.320800016242370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FF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edad'!$G$5:$G$19</c:f>
              <c:numCache>
                <c:formatCode>0.0%</c:formatCode>
                <c:ptCount val="15"/>
                <c:pt idx="0">
                  <c:v>0.4020503261882572</c:v>
                </c:pt>
                <c:pt idx="1">
                  <c:v>0.41868445387174102</c:v>
                </c:pt>
                <c:pt idx="2">
                  <c:v>0.43592276144907721</c:v>
                </c:pt>
                <c:pt idx="3">
                  <c:v>0.45348461135254298</c:v>
                </c:pt>
                <c:pt idx="4">
                  <c:v>0.46325546429513992</c:v>
                </c:pt>
                <c:pt idx="5">
                  <c:v>0.46115516911905219</c:v>
                </c:pt>
                <c:pt idx="6">
                  <c:v>0.45791759335777393</c:v>
                </c:pt>
                <c:pt idx="7">
                  <c:v>0.44556398302136246</c:v>
                </c:pt>
                <c:pt idx="8">
                  <c:v>0.42653061224489797</c:v>
                </c:pt>
                <c:pt idx="9">
                  <c:v>0.39565561784060443</c:v>
                </c:pt>
                <c:pt idx="10">
                  <c:v>0.36704400421730204</c:v>
                </c:pt>
                <c:pt idx="11">
                  <c:v>0.33322003172445047</c:v>
                </c:pt>
                <c:pt idx="12">
                  <c:v>0.3351311336717428</c:v>
                </c:pt>
                <c:pt idx="13">
                  <c:v>0.34182875027945453</c:v>
                </c:pt>
                <c:pt idx="14">
                  <c:v>0.33557951482479786</c:v>
                </c:pt>
              </c:numCache>
            </c:numRef>
          </c:val>
          <c:smooth val="0"/>
        </c:ser>
        <c:dLbls>
          <c:showLegendKey val="0"/>
          <c:showVal val="0"/>
          <c:showCatName val="0"/>
          <c:showSerName val="0"/>
          <c:showPercent val="0"/>
          <c:showBubbleSize val="0"/>
        </c:dLbls>
        <c:marker val="1"/>
        <c:smooth val="0"/>
        <c:axId val="406439984"/>
        <c:axId val="406439592"/>
      </c:lineChart>
      <c:catAx>
        <c:axId val="406438808"/>
        <c:scaling>
          <c:orientation val="minMax"/>
        </c:scaling>
        <c:delete val="0"/>
        <c:axPos val="b"/>
        <c:numFmt formatCode="General" sourceLinked="0"/>
        <c:majorTickMark val="none"/>
        <c:minorTickMark val="none"/>
        <c:tickLblPos val="nextTo"/>
        <c:txPr>
          <a:bodyPr/>
          <a:lstStyle/>
          <a:p>
            <a:pPr>
              <a:defRPr sz="1800"/>
            </a:pPr>
            <a:endParaRPr lang="es-ES"/>
          </a:p>
        </c:txPr>
        <c:crossAx val="406439200"/>
        <c:crosses val="autoZero"/>
        <c:auto val="1"/>
        <c:lblAlgn val="ctr"/>
        <c:lblOffset val="100"/>
        <c:noMultiLvlLbl val="0"/>
      </c:catAx>
      <c:valAx>
        <c:axId val="406439200"/>
        <c:scaling>
          <c:orientation val="minMax"/>
        </c:scaling>
        <c:delete val="0"/>
        <c:axPos val="l"/>
        <c:numFmt formatCode="_(* #,##0_);_(* \(#,##0\);_(* &quot;-&quot;??_);_(@_)" sourceLinked="1"/>
        <c:majorTickMark val="none"/>
        <c:minorTickMark val="none"/>
        <c:tickLblPos val="nextTo"/>
        <c:spPr>
          <a:ln w="9525">
            <a:noFill/>
          </a:ln>
        </c:spPr>
        <c:txPr>
          <a:bodyPr/>
          <a:lstStyle/>
          <a:p>
            <a:pPr>
              <a:defRPr sz="200">
                <a:solidFill>
                  <a:schemeClr val="bg1"/>
                </a:solidFill>
              </a:defRPr>
            </a:pPr>
            <a:endParaRPr lang="es-ES"/>
          </a:p>
        </c:txPr>
        <c:crossAx val="406438808"/>
        <c:crosses val="autoZero"/>
        <c:crossBetween val="between"/>
      </c:valAx>
      <c:valAx>
        <c:axId val="406439592"/>
        <c:scaling>
          <c:orientation val="minMax"/>
          <c:max val="1"/>
        </c:scaling>
        <c:delete val="0"/>
        <c:axPos val="r"/>
        <c:numFmt formatCode="0.0%" sourceLinked="1"/>
        <c:majorTickMark val="out"/>
        <c:minorTickMark val="none"/>
        <c:tickLblPos val="nextTo"/>
        <c:txPr>
          <a:bodyPr/>
          <a:lstStyle/>
          <a:p>
            <a:pPr>
              <a:defRPr sz="200">
                <a:solidFill>
                  <a:schemeClr val="bg1"/>
                </a:solidFill>
              </a:defRPr>
            </a:pPr>
            <a:endParaRPr lang="es-ES"/>
          </a:p>
        </c:txPr>
        <c:crossAx val="406439984"/>
        <c:crosses val="max"/>
        <c:crossBetween val="between"/>
      </c:valAx>
      <c:catAx>
        <c:axId val="406439984"/>
        <c:scaling>
          <c:orientation val="minMax"/>
        </c:scaling>
        <c:delete val="1"/>
        <c:axPos val="b"/>
        <c:numFmt formatCode="General" sourceLinked="1"/>
        <c:majorTickMark val="out"/>
        <c:minorTickMark val="none"/>
        <c:tickLblPos val="nextTo"/>
        <c:crossAx val="406439592"/>
        <c:crosses val="autoZero"/>
        <c:auto val="1"/>
        <c:lblAlgn val="ctr"/>
        <c:lblOffset val="100"/>
        <c:noMultiLvlLbl val="0"/>
      </c:catAx>
    </c:plotArea>
    <c:legend>
      <c:legendPos val="t"/>
      <c:layout>
        <c:manualLayout>
          <c:xMode val="edge"/>
          <c:yMode val="edge"/>
          <c:x val="0.22602752641046961"/>
          <c:y val="8.7857089292409887E-2"/>
          <c:w val="0.55206720573265711"/>
          <c:h val="3.4183941293052654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069911138812624"/>
          <c:y val="0.13703664548148359"/>
          <c:w val="0.82068678986837895"/>
          <c:h val="0.754247091978693"/>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7972908291607373"/>
                  <c:y val="-3.6708998702715003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21299811343586683"/>
                  <c:y val="-3.860905246912838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11554794244270875"/>
                  <c:y val="-3.3754249830327299E-5"/>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16040</c:v>
                </c:pt>
                <c:pt idx="1">
                  <c:v>132644</c:v>
                </c:pt>
                <c:pt idx="2">
                  <c:v>165049</c:v>
                </c:pt>
                <c:pt idx="3">
                  <c:v>147011</c:v>
                </c:pt>
                <c:pt idx="4">
                  <c:v>134228</c:v>
                </c:pt>
                <c:pt idx="5">
                  <c:v>112791</c:v>
                </c:pt>
                <c:pt idx="6">
                  <c:v>97738</c:v>
                </c:pt>
                <c:pt idx="7">
                  <c:v>79678</c:v>
                </c:pt>
                <c:pt idx="8">
                  <c:v>57605</c:v>
                </c:pt>
                <c:pt idx="9">
                  <c:v>39674</c:v>
                </c:pt>
                <c:pt idx="10">
                  <c:v>22813</c:v>
                </c:pt>
                <c:pt idx="11">
                  <c:v>11770</c:v>
                </c:pt>
                <c:pt idx="12">
                  <c:v>6287</c:v>
                </c:pt>
                <c:pt idx="13">
                  <c:v>2944</c:v>
                </c:pt>
                <c:pt idx="14">
                  <c:v>1972</c:v>
                </c:pt>
              </c:numCache>
            </c:numRef>
          </c:val>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18780794954938004"/>
                  <c:y val="-2.299966280155293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18664684801851439"/>
                  <c:y val="4.549255337189608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7785732600063747"/>
                  <c:y val="3.59213801356980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4890620450007466"/>
                  <c:y val="1.3926490738746551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3658704345042308"/>
                  <c:y val="1.916573595997279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12246039313656301"/>
                  <c:y val="6.7907478983570834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157351245577432E-2"/>
                  <c:y val="9.342735907346534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5075923153153553E-2"/>
                  <c:y val="3.1542673145554278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0945193879035754E-2"/>
                  <c:y val="1.676733891952307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3257755935795381E-2"/>
                  <c:y val="3.833049735796246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8409274331938012E-2"/>
                  <c:y val="4.391961033113667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3.395543213301648E-2"/>
                  <c:y val="4.391961033113667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numFmt formatCode="#,##0;[Red]#,##0" sourceLinked="0"/>
            <c:spPr>
              <a:noFill/>
              <a:ln>
                <a:noFill/>
              </a:ln>
              <a:effectLst/>
            </c:spPr>
            <c:txPr>
              <a:bodyPr anchorCtr="0"/>
              <a:lstStyle/>
              <a:p>
                <a:pPr algn="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-10785</c:v>
                </c:pt>
                <c:pt idx="1">
                  <c:v>-95535</c:v>
                </c:pt>
                <c:pt idx="2">
                  <c:v>-127551</c:v>
                </c:pt>
                <c:pt idx="3">
                  <c:v>-121986</c:v>
                </c:pt>
                <c:pt idx="4">
                  <c:v>-115850</c:v>
                </c:pt>
                <c:pt idx="5">
                  <c:v>-96529</c:v>
                </c:pt>
                <c:pt idx="6">
                  <c:v>-82563</c:v>
                </c:pt>
                <c:pt idx="7">
                  <c:v>-64032</c:v>
                </c:pt>
                <c:pt idx="8">
                  <c:v>-42845</c:v>
                </c:pt>
                <c:pt idx="9">
                  <c:v>-25974</c:v>
                </c:pt>
                <c:pt idx="10">
                  <c:v>-13229</c:v>
                </c:pt>
                <c:pt idx="11">
                  <c:v>-5882</c:v>
                </c:pt>
                <c:pt idx="12">
                  <c:v>-3169</c:v>
                </c:pt>
                <c:pt idx="13">
                  <c:v>-1529</c:v>
                </c:pt>
                <c:pt idx="14">
                  <c:v>-996</c:v>
                </c:pt>
              </c:numCache>
            </c:numRef>
          </c:val>
        </c:ser>
        <c:dLbls>
          <c:showLegendKey val="0"/>
          <c:showVal val="0"/>
          <c:showCatName val="0"/>
          <c:showSerName val="0"/>
          <c:showPercent val="0"/>
          <c:showBubbleSize val="0"/>
        </c:dLbls>
        <c:gapWidth val="9"/>
        <c:overlap val="100"/>
        <c:axId val="408281088"/>
        <c:axId val="408281480"/>
      </c:barChart>
      <c:catAx>
        <c:axId val="408281088"/>
        <c:scaling>
          <c:orientation val="minMax"/>
        </c:scaling>
        <c:delete val="0"/>
        <c:axPos val="l"/>
        <c:numFmt formatCode="General" sourceLinked="1"/>
        <c:majorTickMark val="none"/>
        <c:minorTickMark val="none"/>
        <c:tickLblPos val="low"/>
        <c:txPr>
          <a:bodyPr/>
          <a:lstStyle/>
          <a:p>
            <a:pPr>
              <a:defRPr sz="1200"/>
            </a:pPr>
            <a:endParaRPr lang="es-ES"/>
          </a:p>
        </c:txPr>
        <c:crossAx val="408281480"/>
        <c:crosses val="autoZero"/>
        <c:auto val="1"/>
        <c:lblAlgn val="ctr"/>
        <c:lblOffset val="100"/>
        <c:noMultiLvlLbl val="0"/>
      </c:catAx>
      <c:valAx>
        <c:axId val="408281480"/>
        <c:scaling>
          <c:orientation val="minMax"/>
        </c:scaling>
        <c:delete val="0"/>
        <c:axPos val="b"/>
        <c:numFmt formatCode="#,##0" sourceLinked="1"/>
        <c:majorTickMark val="none"/>
        <c:minorTickMark val="none"/>
        <c:tickLblPos val="nextTo"/>
        <c:txPr>
          <a:bodyPr/>
          <a:lstStyle/>
          <a:p>
            <a:pPr>
              <a:defRPr sz="1400"/>
            </a:pPr>
            <a:endParaRPr lang="es-ES"/>
          </a:p>
        </c:txPr>
        <c:crossAx val="408281088"/>
        <c:crosses val="autoZero"/>
        <c:crossBetween val="between"/>
      </c:valAx>
    </c:plotArea>
    <c:legend>
      <c:legendPos val="t"/>
      <c:layout>
        <c:manualLayout>
          <c:xMode val="edge"/>
          <c:yMode val="edge"/>
          <c:x val="0.26214595360150972"/>
          <c:y val="0.10112438557536545"/>
          <c:w val="0.39356950640693122"/>
          <c:h val="3.719421308525749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773988878102745E-4"/>
          <c:y val="0.25023484644234478"/>
          <c:w val="0.97230234463623444"/>
          <c:h val="0.5561534090884529"/>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Abr.15</c:v>
                </c:pt>
                <c:pt idx="1">
                  <c:v>May.15</c:v>
                </c:pt>
                <c:pt idx="2">
                  <c:v>Jun.15</c:v>
                </c:pt>
                <c:pt idx="3">
                  <c:v>Jul.15</c:v>
                </c:pt>
                <c:pt idx="4">
                  <c:v>Ago.15</c:v>
                </c:pt>
                <c:pt idx="5">
                  <c:v>Sep.15</c:v>
                </c:pt>
                <c:pt idx="6">
                  <c:v>Oct.15</c:v>
                </c:pt>
                <c:pt idx="7">
                  <c:v>Nov.15</c:v>
                </c:pt>
                <c:pt idx="8">
                  <c:v>Dic.15</c:v>
                </c:pt>
                <c:pt idx="9">
                  <c:v>Ene.16</c:v>
                </c:pt>
                <c:pt idx="10">
                  <c:v>Feb.16</c:v>
                </c:pt>
                <c:pt idx="11">
                  <c:v>Mar.16</c:v>
                </c:pt>
                <c:pt idx="12">
                  <c:v>Abr.16</c:v>
                </c:pt>
              </c:strCache>
            </c:strRef>
          </c:cat>
          <c:val>
            <c:numRef>
              <c:f>'III.6.5.Afil. ARL x riesgo'!$B$5:$B$17</c:f>
              <c:numCache>
                <c:formatCode>#,##0</c:formatCode>
                <c:ptCount val="13"/>
                <c:pt idx="0">
                  <c:v>300150</c:v>
                </c:pt>
                <c:pt idx="1">
                  <c:v>302993</c:v>
                </c:pt>
                <c:pt idx="2">
                  <c:v>306000</c:v>
                </c:pt>
                <c:pt idx="3">
                  <c:v>312567</c:v>
                </c:pt>
                <c:pt idx="4">
                  <c:v>312631</c:v>
                </c:pt>
                <c:pt idx="5">
                  <c:v>314075</c:v>
                </c:pt>
                <c:pt idx="6">
                  <c:v>320347</c:v>
                </c:pt>
                <c:pt idx="7">
                  <c:v>323402</c:v>
                </c:pt>
                <c:pt idx="8">
                  <c:v>322538</c:v>
                </c:pt>
                <c:pt idx="9">
                  <c:v>327618</c:v>
                </c:pt>
                <c:pt idx="10">
                  <c:v>386898</c:v>
                </c:pt>
                <c:pt idx="11">
                  <c:v>332374</c:v>
                </c:pt>
                <c:pt idx="12">
                  <c:v>330539</c:v>
                </c:pt>
              </c:numCache>
            </c:numRef>
          </c:val>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Abr.15</c:v>
                </c:pt>
                <c:pt idx="1">
                  <c:v>May.15</c:v>
                </c:pt>
                <c:pt idx="2">
                  <c:v>Jun.15</c:v>
                </c:pt>
                <c:pt idx="3">
                  <c:v>Jul.15</c:v>
                </c:pt>
                <c:pt idx="4">
                  <c:v>Ago.15</c:v>
                </c:pt>
                <c:pt idx="5">
                  <c:v>Sep.15</c:v>
                </c:pt>
                <c:pt idx="6">
                  <c:v>Oct.15</c:v>
                </c:pt>
                <c:pt idx="7">
                  <c:v>Nov.15</c:v>
                </c:pt>
                <c:pt idx="8">
                  <c:v>Dic.15</c:v>
                </c:pt>
                <c:pt idx="9">
                  <c:v>Ene.16</c:v>
                </c:pt>
                <c:pt idx="10">
                  <c:v>Feb.16</c:v>
                </c:pt>
                <c:pt idx="11">
                  <c:v>Mar.16</c:v>
                </c:pt>
                <c:pt idx="12">
                  <c:v>Abr.16</c:v>
                </c:pt>
              </c:strCache>
            </c:strRef>
          </c:cat>
          <c:val>
            <c:numRef>
              <c:f>'III.6.5.Afil. ARL x riesgo'!$C$5:$C$17</c:f>
              <c:numCache>
                <c:formatCode>#,##0</c:formatCode>
                <c:ptCount val="13"/>
                <c:pt idx="0">
                  <c:v>636688</c:v>
                </c:pt>
                <c:pt idx="1">
                  <c:v>640576</c:v>
                </c:pt>
                <c:pt idx="2">
                  <c:v>639537</c:v>
                </c:pt>
                <c:pt idx="3">
                  <c:v>638912</c:v>
                </c:pt>
                <c:pt idx="4">
                  <c:v>639988</c:v>
                </c:pt>
                <c:pt idx="5">
                  <c:v>645125</c:v>
                </c:pt>
                <c:pt idx="6">
                  <c:v>658276</c:v>
                </c:pt>
                <c:pt idx="7">
                  <c:v>664381</c:v>
                </c:pt>
                <c:pt idx="8">
                  <c:v>673369</c:v>
                </c:pt>
                <c:pt idx="9">
                  <c:v>668938</c:v>
                </c:pt>
                <c:pt idx="10">
                  <c:v>672698</c:v>
                </c:pt>
                <c:pt idx="11">
                  <c:v>682157</c:v>
                </c:pt>
                <c:pt idx="12">
                  <c:v>692432</c:v>
                </c:pt>
              </c:numCache>
            </c:numRef>
          </c:val>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Abr.15</c:v>
                </c:pt>
                <c:pt idx="1">
                  <c:v>May.15</c:v>
                </c:pt>
                <c:pt idx="2">
                  <c:v>Jun.15</c:v>
                </c:pt>
                <c:pt idx="3">
                  <c:v>Jul.15</c:v>
                </c:pt>
                <c:pt idx="4">
                  <c:v>Ago.15</c:v>
                </c:pt>
                <c:pt idx="5">
                  <c:v>Sep.15</c:v>
                </c:pt>
                <c:pt idx="6">
                  <c:v>Oct.15</c:v>
                </c:pt>
                <c:pt idx="7">
                  <c:v>Nov.15</c:v>
                </c:pt>
                <c:pt idx="8">
                  <c:v>Dic.15</c:v>
                </c:pt>
                <c:pt idx="9">
                  <c:v>Ene.16</c:v>
                </c:pt>
                <c:pt idx="10">
                  <c:v>Feb.16</c:v>
                </c:pt>
                <c:pt idx="11">
                  <c:v>Mar.16</c:v>
                </c:pt>
                <c:pt idx="12">
                  <c:v>Abr.16</c:v>
                </c:pt>
              </c:strCache>
            </c:strRef>
          </c:cat>
          <c:val>
            <c:numRef>
              <c:f>'III.6.5.Afil. ARL x riesgo'!$D$5:$D$17</c:f>
              <c:numCache>
                <c:formatCode>#,##0</c:formatCode>
                <c:ptCount val="13"/>
                <c:pt idx="0">
                  <c:v>401347</c:v>
                </c:pt>
                <c:pt idx="1">
                  <c:v>403268</c:v>
                </c:pt>
                <c:pt idx="2">
                  <c:v>402370</c:v>
                </c:pt>
                <c:pt idx="3">
                  <c:v>398889</c:v>
                </c:pt>
                <c:pt idx="4">
                  <c:v>398843</c:v>
                </c:pt>
                <c:pt idx="5">
                  <c:v>400015</c:v>
                </c:pt>
                <c:pt idx="6">
                  <c:v>402388</c:v>
                </c:pt>
                <c:pt idx="7">
                  <c:v>402276</c:v>
                </c:pt>
                <c:pt idx="8">
                  <c:v>402391</c:v>
                </c:pt>
                <c:pt idx="9">
                  <c:v>406427</c:v>
                </c:pt>
                <c:pt idx="10">
                  <c:v>392811</c:v>
                </c:pt>
                <c:pt idx="11">
                  <c:v>443849</c:v>
                </c:pt>
                <c:pt idx="12">
                  <c:v>448617</c:v>
                </c:pt>
              </c:numCache>
            </c:numRef>
          </c:val>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Abr.15</c:v>
                </c:pt>
                <c:pt idx="1">
                  <c:v>May.15</c:v>
                </c:pt>
                <c:pt idx="2">
                  <c:v>Jun.15</c:v>
                </c:pt>
                <c:pt idx="3">
                  <c:v>Jul.15</c:v>
                </c:pt>
                <c:pt idx="4">
                  <c:v>Ago.15</c:v>
                </c:pt>
                <c:pt idx="5">
                  <c:v>Sep.15</c:v>
                </c:pt>
                <c:pt idx="6">
                  <c:v>Oct.15</c:v>
                </c:pt>
                <c:pt idx="7">
                  <c:v>Nov.15</c:v>
                </c:pt>
                <c:pt idx="8">
                  <c:v>Dic.15</c:v>
                </c:pt>
                <c:pt idx="9">
                  <c:v>Ene.16</c:v>
                </c:pt>
                <c:pt idx="10">
                  <c:v>Feb.16</c:v>
                </c:pt>
                <c:pt idx="11">
                  <c:v>Mar.16</c:v>
                </c:pt>
                <c:pt idx="12">
                  <c:v>Abr.16</c:v>
                </c:pt>
              </c:strCache>
            </c:strRef>
          </c:cat>
          <c:val>
            <c:numRef>
              <c:f>'III.6.5.Afil. ARL x riesgo'!$E$5:$E$17</c:f>
              <c:numCache>
                <c:formatCode>#,##0</c:formatCode>
                <c:ptCount val="13"/>
                <c:pt idx="0">
                  <c:v>359903</c:v>
                </c:pt>
                <c:pt idx="1">
                  <c:v>359446</c:v>
                </c:pt>
                <c:pt idx="2">
                  <c:v>358877</c:v>
                </c:pt>
                <c:pt idx="3">
                  <c:v>357931</c:v>
                </c:pt>
                <c:pt idx="4">
                  <c:v>357159</c:v>
                </c:pt>
                <c:pt idx="5">
                  <c:v>357365</c:v>
                </c:pt>
                <c:pt idx="6">
                  <c:v>357861</c:v>
                </c:pt>
                <c:pt idx="7">
                  <c:v>360630</c:v>
                </c:pt>
                <c:pt idx="8">
                  <c:v>361160</c:v>
                </c:pt>
                <c:pt idx="9">
                  <c:v>359380</c:v>
                </c:pt>
                <c:pt idx="10">
                  <c:v>358406</c:v>
                </c:pt>
                <c:pt idx="11">
                  <c:v>363244</c:v>
                </c:pt>
                <c:pt idx="12">
                  <c:v>365111</c:v>
                </c:pt>
              </c:numCache>
            </c:numRef>
          </c:val>
        </c:ser>
        <c:dLbls>
          <c:showLegendKey val="0"/>
          <c:showVal val="0"/>
          <c:showCatName val="0"/>
          <c:showSerName val="0"/>
          <c:showPercent val="0"/>
          <c:showBubbleSize val="0"/>
        </c:dLbls>
        <c:gapWidth val="15"/>
        <c:shape val="cylinder"/>
        <c:axId val="408282656"/>
        <c:axId val="408283048"/>
        <c:axId val="0"/>
      </c:bar3DChart>
      <c:catAx>
        <c:axId val="408282656"/>
        <c:scaling>
          <c:orientation val="minMax"/>
        </c:scaling>
        <c:delete val="0"/>
        <c:axPos val="b"/>
        <c:numFmt formatCode="mmm\-yy" sourceLinked="0"/>
        <c:majorTickMark val="none"/>
        <c:minorTickMark val="none"/>
        <c:tickLblPos val="nextTo"/>
        <c:txPr>
          <a:bodyPr rot="-2700000" vert="horz"/>
          <a:lstStyle/>
          <a:p>
            <a:pPr>
              <a:defRPr sz="1400"/>
            </a:pPr>
            <a:endParaRPr lang="es-ES"/>
          </a:p>
        </c:txPr>
        <c:crossAx val="408283048"/>
        <c:crosses val="autoZero"/>
        <c:auto val="1"/>
        <c:lblAlgn val="ctr"/>
        <c:lblOffset val="100"/>
        <c:noMultiLvlLbl val="1"/>
      </c:catAx>
      <c:valAx>
        <c:axId val="408283048"/>
        <c:scaling>
          <c:orientation val="minMax"/>
        </c:scaling>
        <c:delete val="1"/>
        <c:axPos val="l"/>
        <c:numFmt formatCode="#,##0" sourceLinked="1"/>
        <c:majorTickMark val="out"/>
        <c:minorTickMark val="none"/>
        <c:tickLblPos val="nextTo"/>
        <c:crossAx val="408282656"/>
        <c:crosses val="autoZero"/>
        <c:crossBetween val="between"/>
      </c:valAx>
      <c:spPr>
        <a:noFill/>
        <a:ln w="25400">
          <a:noFill/>
        </a:ln>
      </c:spPr>
    </c:plotArea>
    <c:legend>
      <c:legendPos val="b"/>
      <c:layout>
        <c:manualLayout>
          <c:xMode val="edge"/>
          <c:yMode val="edge"/>
          <c:x val="0.16351772217787755"/>
          <c:y val="8.8268809466941642E-2"/>
          <c:w val="0.64918814863748553"/>
          <c:h val="4.6912964924303781E-2"/>
        </c:manualLayout>
      </c:layout>
      <c:overlay val="0"/>
      <c:txPr>
        <a:bodyPr/>
        <a:lstStyle/>
        <a:p>
          <a:pPr>
            <a:defRPr sz="1600"/>
          </a:pPr>
          <a:endParaRPr lang="es-ES"/>
        </a:p>
      </c:txPr>
    </c:legend>
    <c:plotVisOnly val="1"/>
    <c:dispBlanksAs val="gap"/>
    <c:showDLblsOverMax val="0"/>
  </c:chart>
  <c:spPr>
    <a:ln>
      <a:noFill/>
    </a:ln>
  </c:spPr>
  <c:txPr>
    <a:bodyPr/>
    <a:lstStyle/>
    <a:p>
      <a:pPr>
        <a:defRPr sz="11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6.8646019125713671E-3"/>
          <c:y val="0.15717615538761689"/>
          <c:w val="0.98967658871612207"/>
          <c:h val="0.66790404588551633"/>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dPt>
          <c:dPt>
            <c:idx val="9"/>
            <c:invertIfNegative val="0"/>
            <c:bubble3D val="0"/>
          </c:dPt>
          <c:dPt>
            <c:idx val="10"/>
            <c:invertIfNegative val="0"/>
            <c:bubble3D val="0"/>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0967854764968249E-5"/>
                  <c:y val="-1.0217691438467786E-2"/>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'III.6.6.ID. Accidentabilidad'!$D$4:$D$15</c:f>
              <c:numCache>
                <c:formatCode>_(* #,##0.0_);_(* \(#,##0.0\);_(* "-"??_);_(@_)</c:formatCode>
                <c:ptCount val="12"/>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1881.037665943086</c:v>
                </c:pt>
                <c:pt idx="11">
                  <c:v>675.39645853784418</c:v>
                </c:pt>
              </c:numCache>
            </c:numRef>
          </c:val>
        </c:ser>
        <c:dLbls>
          <c:showLegendKey val="0"/>
          <c:showVal val="0"/>
          <c:showCatName val="0"/>
          <c:showSerName val="0"/>
          <c:showPercent val="0"/>
          <c:showBubbleSize val="0"/>
        </c:dLbls>
        <c:gapWidth val="35"/>
        <c:gapDepth val="186"/>
        <c:shape val="cylinder"/>
        <c:axId val="408283832"/>
        <c:axId val="411724456"/>
        <c:axId val="0"/>
      </c:bar3DChart>
      <c:catAx>
        <c:axId val="408283832"/>
        <c:scaling>
          <c:orientation val="minMax"/>
        </c:scaling>
        <c:delete val="0"/>
        <c:axPos val="b"/>
        <c:numFmt formatCode="General" sourceLinked="1"/>
        <c:majorTickMark val="none"/>
        <c:minorTickMark val="none"/>
        <c:tickLblPos val="nextTo"/>
        <c:txPr>
          <a:bodyPr/>
          <a:lstStyle/>
          <a:p>
            <a:pPr>
              <a:defRPr sz="1600"/>
            </a:pPr>
            <a:endParaRPr lang="es-ES"/>
          </a:p>
        </c:txPr>
        <c:crossAx val="411724456"/>
        <c:crosses val="autoZero"/>
        <c:auto val="1"/>
        <c:lblAlgn val="ctr"/>
        <c:lblOffset val="100"/>
        <c:noMultiLvlLbl val="0"/>
      </c:catAx>
      <c:valAx>
        <c:axId val="411724456"/>
        <c:scaling>
          <c:orientation val="minMax"/>
        </c:scaling>
        <c:delete val="1"/>
        <c:axPos val="l"/>
        <c:numFmt formatCode="_(* #,##0.0_);_(* \(#,##0.0\);_(* &quot;-&quot;??_);_(@_)" sourceLinked="1"/>
        <c:majorTickMark val="out"/>
        <c:minorTickMark val="none"/>
        <c:tickLblPos val="nextTo"/>
        <c:crossAx val="40828383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1.740359384080729E-2"/>
          <c:y val="0.1120679452595367"/>
          <c:w val="0.92997207540838223"/>
          <c:h val="0.68786954159605707"/>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Ene-Abr.16</c:v>
                </c:pt>
              </c:strCache>
            </c:strRef>
          </c:cat>
          <c:val>
            <c:numRef>
              <c:f>'IV.1.3. Ingr y egr SDSS'!$G$5:$G$18</c:f>
              <c:numCache>
                <c:formatCode>#,##0.00_);[Red]\(#,##0.00\)</c:formatCode>
                <c:ptCount val="14"/>
                <c:pt idx="0">
                  <c:v>1889323722.0100002</c:v>
                </c:pt>
                <c:pt idx="1">
                  <c:v>7520461044.0100002</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31767076380.140003</c:v>
                </c:pt>
              </c:numCache>
            </c:numRef>
          </c:val>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Ene-Abr.16</c:v>
                </c:pt>
              </c:strCache>
            </c:strRef>
          </c:cat>
          <c:val>
            <c:numRef>
              <c:f>'IV.1.3. Ingr y egr SDSS'!$K$5:$K$18</c:f>
              <c:numCache>
                <c:formatCode>#,##0.00_);[Red]\(#,##0.00\)</c:formatCode>
                <c:ptCount val="14"/>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31634630322.330002</c:v>
                </c:pt>
              </c:numCache>
            </c:numRef>
          </c:val>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Ene-Abr.16</c:v>
                </c:pt>
              </c:strCache>
            </c:strRef>
          </c:cat>
          <c:val>
            <c:numRef>
              <c:f>'IV.1.3. Ingr y egr SDSS'!$M$5:$M$18</c:f>
              <c:numCache>
                <c:formatCode>#,##0.00_);[Red]\(#,##0.00\)</c:formatCode>
                <c:ptCount val="14"/>
                <c:pt idx="0">
                  <c:v>24957429.700000286</c:v>
                </c:pt>
                <c:pt idx="1">
                  <c:v>108675359.56000137</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132446057.81000137</c:v>
                </c:pt>
              </c:numCache>
            </c:numRef>
          </c:val>
        </c:ser>
        <c:dLbls>
          <c:showLegendKey val="0"/>
          <c:showVal val="0"/>
          <c:showCatName val="0"/>
          <c:showSerName val="0"/>
          <c:showPercent val="0"/>
          <c:showBubbleSize val="0"/>
        </c:dLbls>
        <c:gapWidth val="39"/>
        <c:axId val="411724848"/>
        <c:axId val="411725240"/>
      </c:barChart>
      <c:catAx>
        <c:axId val="411724848"/>
        <c:scaling>
          <c:orientation val="minMax"/>
        </c:scaling>
        <c:delete val="0"/>
        <c:axPos val="b"/>
        <c:numFmt formatCode="General" sourceLinked="1"/>
        <c:majorTickMark val="none"/>
        <c:minorTickMark val="none"/>
        <c:tickLblPos val="low"/>
        <c:txPr>
          <a:bodyPr rot="-2700000" vert="horz"/>
          <a:lstStyle/>
          <a:p>
            <a:pPr>
              <a:defRPr sz="1800"/>
            </a:pPr>
            <a:endParaRPr lang="es-ES"/>
          </a:p>
        </c:txPr>
        <c:crossAx val="411725240"/>
        <c:crosses val="autoZero"/>
        <c:auto val="1"/>
        <c:lblAlgn val="ctr"/>
        <c:lblOffset val="100"/>
        <c:noMultiLvlLbl val="0"/>
      </c:catAx>
      <c:valAx>
        <c:axId val="411725240"/>
        <c:scaling>
          <c:orientation val="minMax"/>
        </c:scaling>
        <c:delete val="0"/>
        <c:axPos val="l"/>
        <c:numFmt formatCode="#,##0.00_);[Red]\(#,##0.00\)" sourceLinked="1"/>
        <c:majorTickMark val="none"/>
        <c:minorTickMark val="none"/>
        <c:tickLblPos val="none"/>
        <c:spPr>
          <a:ln>
            <a:solidFill>
              <a:schemeClr val="bg1"/>
            </a:solidFill>
          </a:ln>
        </c:spPr>
        <c:crossAx val="411724848"/>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s-ES"/>
              </a:p>
            </c:txPr>
          </c:dispUnitsLbl>
        </c:dispUnits>
      </c:valAx>
    </c:plotArea>
    <c:legend>
      <c:legendPos val="b"/>
      <c:layout>
        <c:manualLayout>
          <c:xMode val="edge"/>
          <c:yMode val="edge"/>
          <c:x val="0.23062968528943861"/>
          <c:y val="6.8379002138282713E-2"/>
          <c:w val="0.52947389261897937"/>
          <c:h val="4.1468220777699086E-2"/>
        </c:manualLayout>
      </c:layout>
      <c:overlay val="0"/>
      <c:txPr>
        <a:bodyPr/>
        <a:lstStyle/>
        <a:p>
          <a:pPr>
            <a:defRPr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106461350126122E-2"/>
          <c:y val="6.633159595156754E-2"/>
          <c:w val="0.93931090664867656"/>
          <c:h val="0.7833259337908608"/>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Ene-Abr.16</c:v>
                </c:pt>
              </c:strCache>
            </c:strRef>
          </c:cat>
          <c:val>
            <c:numRef>
              <c:f>'IV.1.4. Recaudo x sector'!$B$4:$B$17</c:f>
              <c:numCache>
                <c:formatCode>_(* #,##0.00_);_(* \(#,##0.00\);_(* "-"??_);_(@_)</c:formatCode>
                <c:ptCount val="14"/>
                <c:pt idx="0">
                  <c:v>211522228.03</c:v>
                </c:pt>
                <c:pt idx="1">
                  <c:v>2104921284.339</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10900425512.759998</c:v>
                </c:pt>
              </c:numCache>
            </c:numRef>
          </c:val>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Ene-Abr.16</c:v>
                </c:pt>
              </c:strCache>
            </c:strRef>
          </c:cat>
          <c:val>
            <c:numRef>
              <c:f>'IV.1.4. Recaudo x sector'!$C$4:$C$17</c:f>
              <c:numCache>
                <c:formatCode>_(* #,##0.00_);_(* \(#,##0.00\);_(* "-"??_);_(@_)</c:formatCode>
                <c:ptCount val="14"/>
                <c:pt idx="0">
                  <c:v>1627801493.98</c:v>
                </c:pt>
                <c:pt idx="1">
                  <c:v>5315526427.3509998</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17704282924.279999</c:v>
                </c:pt>
              </c:numCache>
            </c:numRef>
          </c:val>
        </c:ser>
        <c:dLbls>
          <c:showLegendKey val="0"/>
          <c:showVal val="0"/>
          <c:showCatName val="0"/>
          <c:showSerName val="0"/>
          <c:showPercent val="0"/>
          <c:showBubbleSize val="0"/>
        </c:dLbls>
        <c:gapWidth val="24"/>
        <c:overlap val="87"/>
        <c:axId val="411726024"/>
        <c:axId val="411726416"/>
      </c:barChart>
      <c:catAx>
        <c:axId val="411726024"/>
        <c:scaling>
          <c:orientation val="minMax"/>
        </c:scaling>
        <c:delete val="0"/>
        <c:axPos val="b"/>
        <c:numFmt formatCode="General" sourceLinked="1"/>
        <c:majorTickMark val="out"/>
        <c:minorTickMark val="none"/>
        <c:tickLblPos val="nextTo"/>
        <c:txPr>
          <a:bodyPr/>
          <a:lstStyle/>
          <a:p>
            <a:pPr>
              <a:defRPr sz="1100"/>
            </a:pPr>
            <a:endParaRPr lang="es-ES"/>
          </a:p>
        </c:txPr>
        <c:crossAx val="411726416"/>
        <c:crosses val="autoZero"/>
        <c:auto val="1"/>
        <c:lblAlgn val="ctr"/>
        <c:lblOffset val="100"/>
        <c:noMultiLvlLbl val="0"/>
      </c:catAx>
      <c:valAx>
        <c:axId val="411726416"/>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s-ES"/>
          </a:p>
        </c:txPr>
        <c:crossAx val="411726024"/>
        <c:crosses val="autoZero"/>
        <c:crossBetween val="between"/>
        <c:dispUnits>
          <c:builtInUnit val="billions"/>
          <c:dispUnitsLbl>
            <c:layout>
              <c:manualLayout>
                <c:xMode val="edge"/>
                <c:yMode val="edge"/>
                <c:x val="2.5214255761906491E-2"/>
                <c:y val="0.33296905909968"/>
              </c:manualLayout>
            </c:layout>
            <c:txPr>
              <a:bodyPr/>
              <a:lstStyle/>
              <a:p>
                <a:pPr>
                  <a:defRPr sz="1100" b="1"/>
                </a:pPr>
                <a:endParaRPr lang="es-ES"/>
              </a:p>
            </c:txPr>
          </c:dispUnitsLbl>
        </c:dispUnits>
      </c:valAx>
    </c:plotArea>
    <c:legend>
      <c:legendPos val="r"/>
      <c:layout>
        <c:manualLayout>
          <c:xMode val="edge"/>
          <c:yMode val="edge"/>
          <c:x val="0.31770084425273137"/>
          <c:y val="6.9093538866437487E-2"/>
          <c:w val="0.42926758418570254"/>
          <c:h val="5.8515971529759646E-2"/>
        </c:manualLayout>
      </c:layout>
      <c:overlay val="0"/>
      <c:txPr>
        <a:bodyPr/>
        <a:lstStyle/>
        <a:p>
          <a:pPr>
            <a:defRPr sz="1200" b="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5883437006258064E-2"/>
          <c:y val="0.18437751404603053"/>
          <c:w val="0.96568729253659502"/>
          <c:h val="0.6762348171418332"/>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Ene-Abr.16</c:v>
                </c:pt>
              </c:strCache>
            </c:strRef>
          </c:cat>
          <c:val>
            <c:numRef>
              <c:f>'IV.1.5 Rec. x origen'!$B$4:$B$17</c:f>
              <c:numCache>
                <c:formatCode>_(* #,##0.00_);_(* \(#,##0.00\);_(* "-"??_);_(@_)</c:formatCode>
                <c:ptCount val="14"/>
                <c:pt idx="0">
                  <c:v>63456668.409345008</c:v>
                </c:pt>
                <c:pt idx="1">
                  <c:v>547279533.92999995</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3106621271.1365991</c:v>
                </c:pt>
              </c:numCache>
            </c:numRef>
          </c:val>
        </c:ser>
        <c:ser>
          <c:idx val="1"/>
          <c:order val="1"/>
          <c:tx>
            <c:strRef>
              <c:f>'IV.1.5 Rec. x origen'!$C$3</c:f>
              <c:strCache>
                <c:ptCount val="1"/>
                <c:pt idx="0">
                  <c:v>Trabajador Sector Privado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Ene-Abr.16</c:v>
                </c:pt>
              </c:strCache>
            </c:strRef>
          </c:cat>
          <c:val>
            <c:numRef>
              <c:f>'IV.1.5 Rec. x origen'!$C$4:$C$17</c:f>
              <c:numCache>
                <c:formatCode>_(* #,##0.00_);_(* \(#,##0.00\);_(* "-"??_);_(@_)</c:formatCode>
                <c:ptCount val="14"/>
                <c:pt idx="0">
                  <c:v>488340448.19365501</c:v>
                </c:pt>
                <c:pt idx="1">
                  <c:v>1382036871.1099999</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5045720633.4197989</c:v>
                </c:pt>
              </c:numCache>
            </c:numRef>
          </c:val>
        </c:ser>
        <c:ser>
          <c:idx val="2"/>
          <c:order val="2"/>
          <c:tx>
            <c:strRef>
              <c:f>'IV.1.5 Rec. x origen'!$D$3</c:f>
              <c:strCache>
                <c:ptCount val="1"/>
                <c:pt idx="0">
                  <c:v> Empleador Sector Público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Ene-Abr.16</c:v>
                </c:pt>
              </c:strCache>
            </c:strRef>
          </c:cat>
          <c:val>
            <c:numRef>
              <c:f>'IV.1.5 Rec. x origen'!$D$4:$D$17</c:f>
              <c:numCache>
                <c:formatCode>_(* #,##0.00_);_(* \(#,##0.00\);_(* "-"??_);_(@_)</c:formatCode>
                <c:ptCount val="14"/>
                <c:pt idx="0">
                  <c:v>148065559.62180501</c:v>
                </c:pt>
                <c:pt idx="1">
                  <c:v>1557641750.4100001</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7793804241.6233988</c:v>
                </c:pt>
              </c:numCache>
            </c:numRef>
          </c:val>
        </c:ser>
        <c:ser>
          <c:idx val="3"/>
          <c:order val="3"/>
          <c:tx>
            <c:strRef>
              <c:f>'IV.1.5 Rec. x origen'!$E$3</c:f>
              <c:strCache>
                <c:ptCount val="1"/>
                <c:pt idx="0">
                  <c:v>Empleador  Sector Privado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Ene-Abr.16</c:v>
                </c:pt>
              </c:strCache>
            </c:strRef>
          </c:cat>
          <c:val>
            <c:numRef>
              <c:f>'IV.1.5 Rec. x origen'!$E$4:$E$17</c:f>
              <c:numCache>
                <c:formatCode>_(* #,##0.00_);_(* \(#,##0.00\);_(* "-"??_);_(@_)</c:formatCode>
                <c:ptCount val="14"/>
                <c:pt idx="0">
                  <c:v>1139461045.7851951</c:v>
                </c:pt>
                <c:pt idx="1">
                  <c:v>3933489556.2399998</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12658562290.860199</c:v>
                </c:pt>
              </c:numCache>
            </c:numRef>
          </c:val>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Ene-Abr.16</c:v>
                </c:pt>
              </c:strCache>
            </c:strRef>
          </c:cat>
          <c:val>
            <c:numRef>
              <c:f>'IV.1.5 Rec. x origen'!$F$4:$F$17</c:f>
              <c:numCache>
                <c:formatCode>_(* #,##0.00_);_(* \(#,##0.00\);_(* "-"??_);_(@_)</c:formatCode>
                <c:ptCount val="14"/>
                <c:pt idx="0">
                  <c:v>1839323722.0100002</c:v>
                </c:pt>
                <c:pt idx="1">
                  <c:v>7420447711.6899996</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28604708437.039997</c:v>
                </c:pt>
              </c:numCache>
            </c:numRef>
          </c:val>
        </c:ser>
        <c:dLbls>
          <c:showLegendKey val="0"/>
          <c:showVal val="0"/>
          <c:showCatName val="0"/>
          <c:showSerName val="0"/>
          <c:showPercent val="0"/>
          <c:showBubbleSize val="0"/>
        </c:dLbls>
        <c:gapWidth val="75"/>
        <c:shape val="cylinder"/>
        <c:axId val="411727200"/>
        <c:axId val="411727592"/>
        <c:axId val="413053448"/>
      </c:bar3DChart>
      <c:catAx>
        <c:axId val="411727200"/>
        <c:scaling>
          <c:orientation val="minMax"/>
        </c:scaling>
        <c:delete val="0"/>
        <c:axPos val="b"/>
        <c:numFmt formatCode="General" sourceLinked="1"/>
        <c:majorTickMark val="none"/>
        <c:minorTickMark val="none"/>
        <c:tickLblPos val="nextTo"/>
        <c:txPr>
          <a:bodyPr/>
          <a:lstStyle/>
          <a:p>
            <a:pPr>
              <a:defRPr sz="1200"/>
            </a:pPr>
            <a:endParaRPr lang="es-ES"/>
          </a:p>
        </c:txPr>
        <c:crossAx val="411727592"/>
        <c:crosses val="autoZero"/>
        <c:auto val="1"/>
        <c:lblAlgn val="ctr"/>
        <c:lblOffset val="600"/>
        <c:tickLblSkip val="1"/>
        <c:noMultiLvlLbl val="0"/>
      </c:catAx>
      <c:valAx>
        <c:axId val="411727592"/>
        <c:scaling>
          <c:orientation val="minMax"/>
        </c:scaling>
        <c:delete val="1"/>
        <c:axPos val="l"/>
        <c:numFmt formatCode="_(* #,##0.00_);_(* \(#,##0.00\);_(* &quot;-&quot;??_);_(@_)" sourceLinked="1"/>
        <c:majorTickMark val="none"/>
        <c:minorTickMark val="none"/>
        <c:tickLblPos val="nextTo"/>
        <c:crossAx val="411727200"/>
        <c:crosses val="autoZero"/>
        <c:crossBetween val="between"/>
        <c:dispUnits>
          <c:builtInUnit val="billions"/>
          <c:dispUnitsLbl>
            <c:layout/>
          </c:dispUnitsLbl>
        </c:dispUnits>
      </c:valAx>
      <c:serAx>
        <c:axId val="413053448"/>
        <c:scaling>
          <c:orientation val="minMax"/>
        </c:scaling>
        <c:delete val="1"/>
        <c:axPos val="b"/>
        <c:majorTickMark val="out"/>
        <c:minorTickMark val="none"/>
        <c:tickLblPos val="nextTo"/>
        <c:crossAx val="411727592"/>
        <c:crosses val="autoZero"/>
      </c:serAx>
    </c:plotArea>
    <c:legend>
      <c:legendPos val="l"/>
      <c:layout>
        <c:manualLayout>
          <c:xMode val="edge"/>
          <c:yMode val="edge"/>
          <c:x val="0.12939952990482537"/>
          <c:y val="7.4779060538250272E-2"/>
          <c:w val="0.71704162786103354"/>
          <c:h val="5.6433711147833153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4712837482292325E-2"/>
          <c:y val="0.20833438950386179"/>
          <c:w val="0.95134244242859978"/>
          <c:h val="0.59012371770336136"/>
        </c:manualLayout>
      </c:layout>
      <c:bar3DChart>
        <c:barDir val="col"/>
        <c:grouping val="standard"/>
        <c:varyColors val="0"/>
        <c:ser>
          <c:idx val="0"/>
          <c:order val="0"/>
          <c:tx>
            <c:strRef>
              <c:f>'IV.1.6 Aport.Gob.SS'!$B$4</c:f>
              <c:strCache>
                <c:ptCount val="1"/>
                <c:pt idx="0">
                  <c:v>Salud Pensionados</c:v>
                </c:pt>
              </c:strCache>
            </c:strRef>
          </c:tx>
          <c:spPr>
            <a:solidFill>
              <a:schemeClr val="accent6">
                <a:lumMod val="75000"/>
              </a:schemeClr>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Ene-Abr. 16</c:v>
                </c:pt>
              </c:strCache>
            </c:strRef>
          </c:cat>
          <c:val>
            <c:numRef>
              <c:f>'IV.1.6 Aport.Gob.SS'!$B$5:$B$16</c:f>
              <c:numCache>
                <c:formatCode>_(* #,##0.00_);_(* \(#,##0.00\);_(* "-"??_);_(@_)</c:formatCode>
                <c:ptCount val="12"/>
                <c:pt idx="4">
                  <c:v>178872817.62</c:v>
                </c:pt>
                <c:pt idx="5">
                  <c:v>95767340.060000002</c:v>
                </c:pt>
                <c:pt idx="6">
                  <c:v>320281085.42000002</c:v>
                </c:pt>
                <c:pt idx="7">
                  <c:v>349151178.95999998</c:v>
                </c:pt>
                <c:pt idx="8">
                  <c:v>362641633.79000002</c:v>
                </c:pt>
                <c:pt idx="9">
                  <c:v>332071916.05000001</c:v>
                </c:pt>
                <c:pt idx="10">
                  <c:v>355290192.04999995</c:v>
                </c:pt>
                <c:pt idx="11">
                  <c:v>111952939.36</c:v>
                </c:pt>
              </c:numCache>
            </c:numRef>
          </c:val>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Ene-Abr. 16</c:v>
                </c:pt>
              </c:strCache>
            </c:strRef>
          </c:cat>
          <c:val>
            <c:numRef>
              <c:f>'IV.1.6 Aport.Gob.SS'!$C$5:$C$16</c:f>
              <c:numCache>
                <c:formatCode>_(* #,##0.00_);_(* \(#,##0.00\);_(* "-"??_);_(@_)</c:formatCode>
                <c:ptCount val="12"/>
                <c:pt idx="0">
                  <c:v>0</c:v>
                </c:pt>
                <c:pt idx="1">
                  <c:v>0</c:v>
                </c:pt>
                <c:pt idx="2">
                  <c:v>125000000</c:v>
                </c:pt>
                <c:pt idx="3">
                  <c:v>256250000</c:v>
                </c:pt>
                <c:pt idx="4">
                  <c:v>18750000</c:v>
                </c:pt>
                <c:pt idx="5">
                  <c:v>0</c:v>
                </c:pt>
                <c:pt idx="6">
                  <c:v>0</c:v>
                </c:pt>
                <c:pt idx="7">
                  <c:v>0</c:v>
                </c:pt>
                <c:pt idx="8">
                  <c:v>0</c:v>
                </c:pt>
                <c:pt idx="9">
                  <c:v>0</c:v>
                </c:pt>
                <c:pt idx="10">
                  <c:v>0</c:v>
                </c:pt>
                <c:pt idx="11">
                  <c:v>0</c:v>
                </c:pt>
              </c:numCache>
            </c:numRef>
          </c:val>
        </c:ser>
        <c:ser>
          <c:idx val="2"/>
          <c:order val="2"/>
          <c:tx>
            <c:strRef>
              <c:f>'IV.1.6 Aport.Gob.SS'!$D$4</c:f>
              <c:strCache>
                <c:ptCount val="1"/>
                <c:pt idx="0">
                  <c:v>Aportes del Gob. (SFS RS)</c:v>
                </c:pt>
              </c:strCache>
            </c:strRef>
          </c:tx>
          <c:spPr>
            <a:solidFill>
              <a:schemeClr val="accent2"/>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Ene-Abr. 16</c:v>
                </c:pt>
              </c:strCache>
            </c:strRef>
          </c:cat>
          <c:val>
            <c:numRef>
              <c:f>'IV.1.6 Aport.Gob.SS'!$D$5:$D$16</c:f>
              <c:numCache>
                <c:formatCode>_(* #,##0.00_);_(* \(#,##0.00\);_(* "-"??_);_(@_)</c:formatCode>
                <c:ptCount val="12"/>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2804479479</c:v>
                </c:pt>
              </c:numCache>
            </c:numRef>
          </c:val>
        </c:ser>
        <c:ser>
          <c:idx val="3"/>
          <c:order val="3"/>
          <c:tx>
            <c:strRef>
              <c:f>'IV.1.6 Aport.Gob.SS'!$E$4</c:f>
              <c:strCache>
                <c:ptCount val="1"/>
                <c:pt idx="0">
                  <c:v>RC (Empleador)</c:v>
                </c:pt>
              </c:strCache>
            </c:strRef>
          </c:tx>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Ene-Abr. 16</c:v>
                </c:pt>
              </c:strCache>
            </c:strRef>
          </c:cat>
          <c:val>
            <c:numRef>
              <c:f>'IV.1.6 Aport.Gob.SS'!$E$5:$E$16</c:f>
              <c:numCache>
                <c:formatCode>_(* #,##0.00_);_(* \(#,##0.00\);_(* "-"??_);_(@_)</c:formatCode>
                <c:ptCount val="12"/>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7793804241.6233988</c:v>
                </c:pt>
              </c:numCache>
            </c:numRef>
          </c:val>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Ene-Abr. 16</c:v>
                </c:pt>
              </c:strCache>
            </c:strRef>
          </c:cat>
          <c:val>
            <c:numRef>
              <c:f>'IV.1.6 Aport.Gob.SS'!$F$5:$F$16</c:f>
              <c:numCache>
                <c:formatCode>_(* #,##0.00_);_(* \(#,##0.00\);_(* "-"??_);_(@_)</c:formatCode>
                <c:ptCount val="12"/>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10710236659.983398</c:v>
                </c:pt>
              </c:numCache>
            </c:numRef>
          </c:val>
        </c:ser>
        <c:dLbls>
          <c:showLegendKey val="0"/>
          <c:showVal val="0"/>
          <c:showCatName val="0"/>
          <c:showSerName val="0"/>
          <c:showPercent val="0"/>
          <c:showBubbleSize val="0"/>
        </c:dLbls>
        <c:gapWidth val="75"/>
        <c:shape val="cylinder"/>
        <c:axId val="411728376"/>
        <c:axId val="411728768"/>
        <c:axId val="413055992"/>
      </c:bar3DChart>
      <c:catAx>
        <c:axId val="411728376"/>
        <c:scaling>
          <c:orientation val="minMax"/>
        </c:scaling>
        <c:delete val="0"/>
        <c:axPos val="b"/>
        <c:numFmt formatCode="General" sourceLinked="1"/>
        <c:majorTickMark val="none"/>
        <c:minorTickMark val="none"/>
        <c:tickLblPos val="nextTo"/>
        <c:txPr>
          <a:bodyPr/>
          <a:lstStyle/>
          <a:p>
            <a:pPr>
              <a:defRPr sz="1400" b="0"/>
            </a:pPr>
            <a:endParaRPr lang="es-ES"/>
          </a:p>
        </c:txPr>
        <c:crossAx val="411728768"/>
        <c:crosses val="autoZero"/>
        <c:auto val="1"/>
        <c:lblAlgn val="ctr"/>
        <c:lblOffset val="600"/>
        <c:noMultiLvlLbl val="0"/>
      </c:catAx>
      <c:valAx>
        <c:axId val="411728768"/>
        <c:scaling>
          <c:orientation val="minMax"/>
        </c:scaling>
        <c:delete val="1"/>
        <c:axPos val="l"/>
        <c:numFmt formatCode="_(* #,##0.00_);_(* \(#,##0.00\);_(* &quot;-&quot;??_);_(@_)" sourceLinked="1"/>
        <c:majorTickMark val="none"/>
        <c:minorTickMark val="none"/>
        <c:tickLblPos val="nextTo"/>
        <c:crossAx val="411728376"/>
        <c:crosses val="autoZero"/>
        <c:crossBetween val="between"/>
        <c:dispUnits>
          <c:builtInUnit val="billions"/>
          <c:dispUnitsLbl>
            <c:layout/>
          </c:dispUnitsLbl>
        </c:dispUnits>
      </c:valAx>
      <c:serAx>
        <c:axId val="413055992"/>
        <c:scaling>
          <c:orientation val="minMax"/>
        </c:scaling>
        <c:delete val="1"/>
        <c:axPos val="b"/>
        <c:majorTickMark val="out"/>
        <c:minorTickMark val="none"/>
        <c:tickLblPos val="nextTo"/>
        <c:crossAx val="411728768"/>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Familiar de Salud (SFS) del Régimen Contributivo (RC)</a:t>
            </a:r>
          </a:p>
          <a:p>
            <a:pPr>
              <a:defRPr sz="1600"/>
            </a:pPr>
            <a:r>
              <a:rPr lang="es-DO" sz="1600"/>
              <a:t>Fondos Pagados Anualmente por Cuentas al SFS del RC</a:t>
            </a:r>
          </a:p>
        </c:rich>
      </c:tx>
      <c:layout>
        <c:manualLayout>
          <c:xMode val="edge"/>
          <c:yMode val="edge"/>
          <c:x val="0.38895984907930226"/>
          <c:y val="2.5233275451575474E-2"/>
        </c:manualLayout>
      </c:layout>
      <c:overlay val="1"/>
    </c:title>
    <c:autoTitleDeleted val="0"/>
    <c:view3D>
      <c:rotX val="20"/>
      <c:rotY val="20"/>
      <c:depthPercent val="100"/>
      <c:rAngAx val="1"/>
    </c:view3D>
    <c:floor>
      <c:thickness val="0"/>
    </c:floor>
    <c:sideWall>
      <c:thickness val="0"/>
    </c:sideWall>
    <c:backWall>
      <c:thickness val="0"/>
    </c:backWall>
    <c:plotArea>
      <c:layout>
        <c:manualLayout>
          <c:layoutTarget val="inner"/>
          <c:xMode val="edge"/>
          <c:yMode val="edge"/>
          <c:x val="1.0824224304785321E-2"/>
          <c:y val="0.29000944827452535"/>
          <c:w val="0.97767990162546581"/>
          <c:h val="0.54857337265705974"/>
        </c:manualLayout>
      </c:layout>
      <c:bar3DChart>
        <c:barDir val="col"/>
        <c:grouping val="clustered"/>
        <c:varyColors val="0"/>
        <c:ser>
          <c:idx val="0"/>
          <c:order val="0"/>
          <c:tx>
            <c:strRef>
              <c:f>'IV.2.2. Pagos SFS A'!$A$3</c:f>
              <c:strCache>
                <c:ptCount val="1"/>
                <c:pt idx="0">
                  <c:v>Cuidado de la Salud *</c:v>
                </c:pt>
              </c:strCache>
            </c:strRef>
          </c:tx>
          <c:spPr>
            <a:solidFill>
              <a:schemeClr val="accent3">
                <a:lumMod val="75000"/>
              </a:schemeClr>
            </a:solidFill>
          </c:spPr>
          <c:invertIfNegative val="0"/>
          <c:dLbls>
            <c:dLbl>
              <c:idx val="0"/>
              <c:layout>
                <c:manualLayout>
                  <c:x val="2.5699287589052073E-3"/>
                  <c:y val="-1.581729834846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50634321679475E-3"/>
                  <c:y val="-1.465002650928865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2607092041484225E-4"/>
                  <c:y val="-2.46112761835679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90719762713982E-3"/>
                  <c:y val="-2.7476245973726707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12620535988056E-3"/>
                  <c:y val="-2.6379743587662052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74754242293722E-3"/>
                  <c:y val="-1.7925698757293485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5933015277008172E-3"/>
                  <c:y val="-1.597303267291265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311005092335809E-3"/>
                  <c:y val="-1.306884491420126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-Abr. 2016</c:v>
                </c:pt>
              </c:strCache>
            </c:strRef>
          </c:cat>
          <c:val>
            <c:numRef>
              <c:f>'IV.2.2. Pagos SFS A'!$B$3:$K$3</c:f>
              <c:numCache>
                <c:formatCode>_(* #,##0.00_);_(* \(#,##0.00\);_(* "-"??_);_(@_)</c:formatCode>
                <c:ptCount val="10"/>
                <c:pt idx="0">
                  <c:v>2756085890.3800001</c:v>
                </c:pt>
                <c:pt idx="1">
                  <c:v>12262043622.240002</c:v>
                </c:pt>
                <c:pt idx="2">
                  <c:v>14997271060.829998</c:v>
                </c:pt>
                <c:pt idx="3">
                  <c:v>20037998054.760002</c:v>
                </c:pt>
                <c:pt idx="4">
                  <c:v>22215656750.489998</c:v>
                </c:pt>
                <c:pt idx="5">
                  <c:v>25323798457.93</c:v>
                </c:pt>
                <c:pt idx="6">
                  <c:v>27866096681.57</c:v>
                </c:pt>
                <c:pt idx="7">
                  <c:v>31167111771.200001</c:v>
                </c:pt>
                <c:pt idx="8">
                  <c:v>34405605883.889999</c:v>
                </c:pt>
                <c:pt idx="9">
                  <c:v>12871206951.799999</c:v>
                </c:pt>
              </c:numCache>
            </c:numRef>
          </c:val>
        </c:ser>
        <c:ser>
          <c:idx val="1"/>
          <c:order val="1"/>
          <c:tx>
            <c:strRef>
              <c:f>'IV.2.2. Pagos SFS A'!$A$4</c:f>
              <c:strCache>
                <c:ptCount val="1"/>
                <c:pt idx="0">
                  <c:v>FONAMAT </c:v>
                </c:pt>
              </c:strCache>
            </c:strRef>
          </c:tx>
          <c:invertIfNegative val="0"/>
          <c:dLbls>
            <c:dLbl>
              <c:idx val="0"/>
              <c:spPr/>
              <c:txPr>
                <a:bodyPr rot="-5400000" vert="horz"/>
                <a:lstStyle/>
                <a:p>
                  <a:pPr>
                    <a:defRPr lang="en-US" sz="1600" b="0"/>
                  </a:pPr>
                  <a:endParaRPr lang="es-ES"/>
                </a:p>
              </c:txPr>
              <c:showLegendKey val="0"/>
              <c:showVal val="1"/>
              <c:showCatName val="0"/>
              <c:showSerName val="0"/>
              <c:showPercent val="0"/>
              <c:showBubbleSize val="0"/>
            </c:dLbl>
            <c:dLbl>
              <c:idx val="1"/>
              <c:spPr/>
              <c:txPr>
                <a:bodyPr rot="-5400000" vert="horz"/>
                <a:lstStyle/>
                <a:p>
                  <a:pPr>
                    <a:defRPr lang="en-US" sz="1600" b="0"/>
                  </a:pPr>
                  <a:endParaRPr lang="es-ES"/>
                </a:p>
              </c:txPr>
              <c:showLegendKey val="0"/>
              <c:showVal val="1"/>
              <c:showCatName val="0"/>
              <c:showSerName val="0"/>
              <c:showPercent val="0"/>
              <c:showBubbleSize val="0"/>
            </c:dLbl>
            <c:dLbl>
              <c:idx val="2"/>
              <c:spPr/>
              <c:txPr>
                <a:bodyPr rot="-5400000" vert="horz"/>
                <a:lstStyle/>
                <a:p>
                  <a:pPr>
                    <a:defRPr lang="en-US" sz="1600" b="0"/>
                  </a:pPr>
                  <a:endParaRPr lang="es-ES"/>
                </a:p>
              </c:txPr>
              <c:showLegendKey val="0"/>
              <c:showVal val="1"/>
              <c:showCatName val="0"/>
              <c:showSerName val="0"/>
              <c:showPercent val="0"/>
              <c:showBubbleSize val="0"/>
            </c:dLbl>
            <c:dLbl>
              <c:idx val="3"/>
              <c:layout>
                <c:manualLayout>
                  <c:x val="6.4247922920302371E-3"/>
                  <c:y val="-1.7932491089881761E-3"/>
                </c:manualLayout>
              </c:layout>
              <c:tx>
                <c:rich>
                  <a:bodyPr rot="0" vert="horz"/>
                  <a:lstStyle/>
                  <a:p>
                    <a:pPr>
                      <a:defRPr lang="en-US" sz="1600" b="0"/>
                    </a:pPr>
                    <a:r>
                      <a:rPr lang="en-US" sz="1600" b="0"/>
                      <a:t>0</a:t>
                    </a:r>
                    <a:endParaRPr lang="en-US" sz="1200" b="0"/>
                  </a:p>
                </c:rich>
              </c:tx>
              <c:spPr/>
              <c:showLegendKey val="0"/>
              <c:showVal val="0"/>
              <c:showCatName val="0"/>
              <c:showSerName val="0"/>
              <c:showPercent val="0"/>
              <c:showBubbleSize val="0"/>
              <c:extLst>
                <c:ext xmlns:c15="http://schemas.microsoft.com/office/drawing/2012/chart" uri="{CE6537A1-D6FC-4f65-9D91-7224C49458BB}">
                  <c15:layout/>
                </c:ext>
              </c:extLst>
            </c:dLbl>
            <c:dLbl>
              <c:idx val="4"/>
              <c:spPr/>
              <c:txPr>
                <a:bodyPr rot="-5400000" vert="horz"/>
                <a:lstStyle/>
                <a:p>
                  <a:pPr>
                    <a:defRPr lang="en-US" sz="1600" b="0"/>
                  </a:pPr>
                  <a:endParaRPr lang="es-ES"/>
                </a:p>
              </c:txPr>
              <c:showLegendKey val="0"/>
              <c:showVal val="1"/>
              <c:showCatName val="0"/>
              <c:showSerName val="0"/>
              <c:showPercent val="0"/>
              <c:showBubbleSize val="0"/>
            </c:dLbl>
            <c:dLbl>
              <c:idx val="5"/>
              <c:spPr/>
              <c:txPr>
                <a:bodyPr rot="-5400000" vert="horz"/>
                <a:lstStyle/>
                <a:p>
                  <a:pPr>
                    <a:defRPr lang="en-US" sz="1600" b="0"/>
                  </a:pPr>
                  <a:endParaRPr lang="es-ES"/>
                </a:p>
              </c:txPr>
              <c:showLegendKey val="0"/>
              <c:showVal val="1"/>
              <c:showCatName val="0"/>
              <c:showSerName val="0"/>
              <c:showPercent val="0"/>
              <c:showBubbleSize val="0"/>
            </c:dLbl>
            <c:dLbl>
              <c:idx val="6"/>
              <c:layout>
                <c:manualLayout>
                  <c:x val="3.3079679048971036E-3"/>
                  <c:y val="-7.4169289358926218E-3"/>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600" b="0"/>
                  </a:pPr>
                  <a:endParaRPr lang="es-ES"/>
                </a:p>
              </c:txPr>
              <c:showLegendKey val="0"/>
              <c:showVal val="1"/>
              <c:showCatName val="0"/>
              <c:showSerName val="0"/>
              <c:showPercent val="0"/>
              <c:showBubbleSize val="0"/>
            </c:dLbl>
            <c:dLbl>
              <c:idx val="8"/>
              <c:spPr/>
              <c:txPr>
                <a:bodyPr rot="-5400000" vert="horz"/>
                <a:lstStyle/>
                <a:p>
                  <a:pPr>
                    <a:defRPr lang="en-US" sz="1600" b="0"/>
                  </a:pPr>
                  <a:endParaRPr lang="es-ES"/>
                </a:p>
              </c:txPr>
              <c:showLegendKey val="0"/>
              <c:showVal val="1"/>
              <c:showCatName val="0"/>
              <c:showSerName val="0"/>
              <c:showPercent val="0"/>
              <c:showBubbleSize val="0"/>
            </c:dLbl>
            <c:spPr>
              <a:noFill/>
              <a:ln>
                <a:noFill/>
              </a:ln>
              <a:effectLst/>
            </c:spPr>
            <c:txPr>
              <a:bodyPr rot="-5400000" vert="horz"/>
              <a:lstStyle/>
              <a:p>
                <a:pPr>
                  <a:defRPr lang="en-US"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-Abr. 2016</c:v>
                </c:pt>
              </c:strCache>
            </c:strRef>
          </c:cat>
          <c:val>
            <c:numRef>
              <c:f>'IV.2.2. Pagos SFS A'!$B$4:$K$4</c:f>
              <c:numCache>
                <c:formatCode>_(* #,##0.00_);_(* \(#,##0.00\);_(* "-"??_);_(@_)</c:formatCode>
                <c:ptCount val="10"/>
                <c:pt idx="0">
                  <c:v>71139452</c:v>
                </c:pt>
                <c:pt idx="1">
                  <c:v>245511975</c:v>
                </c:pt>
                <c:pt idx="2">
                  <c:v>83348568.400000006</c:v>
                </c:pt>
                <c:pt idx="3">
                  <c:v>0</c:v>
                </c:pt>
                <c:pt idx="4">
                  <c:v>149163844</c:v>
                </c:pt>
                <c:pt idx="5">
                  <c:v>182825831.59999999</c:v>
                </c:pt>
                <c:pt idx="6">
                  <c:v>213705747.60000002</c:v>
                </c:pt>
                <c:pt idx="7">
                  <c:v>260908691.69999999</c:v>
                </c:pt>
                <c:pt idx="8">
                  <c:v>338503602</c:v>
                </c:pt>
                <c:pt idx="9">
                  <c:v>118360743</c:v>
                </c:pt>
              </c:numCache>
            </c:numRef>
          </c:val>
        </c:ser>
        <c:ser>
          <c:idx val="2"/>
          <c:order val="2"/>
          <c:tx>
            <c:strRef>
              <c:f>'IV.2.2. Pagos SFS A'!$A$5</c:f>
              <c:strCache>
                <c:ptCount val="1"/>
                <c:pt idx="0">
                  <c:v>Subsidios </c:v>
                </c:pt>
              </c:strCache>
            </c:strRef>
          </c:tx>
          <c:invertIfNegative val="0"/>
          <c:dLbls>
            <c:dLbl>
              <c:idx val="0"/>
              <c:layout/>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2.5917753790834779E-3"/>
                  <c:y val="4.903417533432392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-Abr. 2016</c:v>
                </c:pt>
              </c:strCache>
            </c:strRef>
          </c:cat>
          <c:val>
            <c:numRef>
              <c:f>'IV.2.2. Pagos SFS A'!$B$5:$K$5</c:f>
              <c:numCache>
                <c:formatCode>_(* #,##0.00_);_(* \(#,##0.00\);_(* "-"??_);_(@_)</c:formatCode>
                <c:ptCount val="10"/>
                <c:pt idx="0">
                  <c:v>0</c:v>
                </c:pt>
                <c:pt idx="1">
                  <c:v>283848938.23000002</c:v>
                </c:pt>
                <c:pt idx="2">
                  <c:v>717406862.31000018</c:v>
                </c:pt>
                <c:pt idx="3">
                  <c:v>958993042.63</c:v>
                </c:pt>
                <c:pt idx="4">
                  <c:v>1126433498.0599999</c:v>
                </c:pt>
                <c:pt idx="5">
                  <c:v>1222112428.3699999</c:v>
                </c:pt>
                <c:pt idx="6">
                  <c:v>1358265601.1399999</c:v>
                </c:pt>
                <c:pt idx="7">
                  <c:v>1556233315.7999997</c:v>
                </c:pt>
                <c:pt idx="8">
                  <c:v>1680220901.95</c:v>
                </c:pt>
                <c:pt idx="9">
                  <c:v>610572398.27999997</c:v>
                </c:pt>
              </c:numCache>
            </c:numRef>
          </c:val>
        </c:ser>
        <c:ser>
          <c:idx val="3"/>
          <c:order val="3"/>
          <c:tx>
            <c:strRef>
              <c:f>'IV.2.2. Pagos SFS A'!$A$6</c:f>
              <c:strCache>
                <c:ptCount val="1"/>
                <c:pt idx="0">
                  <c:v>Comisión SISALRIL</c:v>
                </c:pt>
              </c:strCache>
            </c:strRef>
          </c:tx>
          <c:invertIfNegative val="0"/>
          <c:dLbls>
            <c:dLbl>
              <c:idx val="0"/>
              <c:layout/>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65444069216833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-Abr. 2016</c:v>
                </c:pt>
              </c:strCache>
            </c:strRef>
          </c:cat>
          <c:val>
            <c:numRef>
              <c:f>'IV.2.2. Pagos SFS A'!$B$6:$K$6</c:f>
              <c:numCache>
                <c:formatCode>_(* #,##0.00_);_(* \(#,##0.00\);_(* "-"??_);_(@_)</c:formatCode>
                <c:ptCount val="10"/>
                <c:pt idx="0">
                  <c:v>0</c:v>
                </c:pt>
                <c:pt idx="1">
                  <c:v>38720972.609999999</c:v>
                </c:pt>
                <c:pt idx="2">
                  <c:v>121903634.47</c:v>
                </c:pt>
                <c:pt idx="3">
                  <c:v>138388657.69999999</c:v>
                </c:pt>
                <c:pt idx="4">
                  <c:v>155182686.03</c:v>
                </c:pt>
                <c:pt idx="5">
                  <c:v>171240027.52000004</c:v>
                </c:pt>
                <c:pt idx="6">
                  <c:v>190492244.19999999</c:v>
                </c:pt>
                <c:pt idx="7">
                  <c:v>215918628.93000001</c:v>
                </c:pt>
                <c:pt idx="8">
                  <c:v>243551739.90000001</c:v>
                </c:pt>
                <c:pt idx="9">
                  <c:v>88577430.199999988</c:v>
                </c:pt>
              </c:numCache>
            </c:numRef>
          </c:val>
        </c:ser>
        <c:ser>
          <c:idx val="4"/>
          <c:order val="4"/>
          <c:tx>
            <c:strRef>
              <c:f>'IV.2.2. Pagos SFS A'!$A$7</c:f>
              <c:strCache>
                <c:ptCount val="1"/>
                <c:pt idx="0">
                  <c:v>Estancias Infantiles (EI)</c:v>
                </c:pt>
              </c:strCache>
            </c:strRef>
          </c:tx>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-Abr. 2016</c:v>
                </c:pt>
              </c:strCache>
            </c:strRef>
          </c:cat>
          <c:val>
            <c:numRef>
              <c:f>'IV.2.2. Pagos SFS A'!$B$7:$K$7</c:f>
              <c:numCache>
                <c:formatCode>_(* #,##0.00_);_(* \(#,##0.00\);_(* "-"??_);_(@_)</c:formatCode>
                <c:ptCount val="10"/>
                <c:pt idx="0">
                  <c:v>0</c:v>
                </c:pt>
                <c:pt idx="1">
                  <c:v>0</c:v>
                </c:pt>
                <c:pt idx="2">
                  <c:v>16656000</c:v>
                </c:pt>
                <c:pt idx="3">
                  <c:v>68030000</c:v>
                </c:pt>
                <c:pt idx="4">
                  <c:v>168385579.84999999</c:v>
                </c:pt>
                <c:pt idx="5">
                  <c:v>182376500</c:v>
                </c:pt>
                <c:pt idx="6">
                  <c:v>215786255.86000001</c:v>
                </c:pt>
                <c:pt idx="7">
                  <c:v>262429320</c:v>
                </c:pt>
                <c:pt idx="8">
                  <c:v>302993808</c:v>
                </c:pt>
                <c:pt idx="9">
                  <c:v>98925936</c:v>
                </c:pt>
              </c:numCache>
            </c:numRef>
          </c:val>
        </c:ser>
        <c:dLbls>
          <c:showLegendKey val="0"/>
          <c:showVal val="0"/>
          <c:showCatName val="0"/>
          <c:showSerName val="0"/>
          <c:showPercent val="0"/>
          <c:showBubbleSize val="0"/>
        </c:dLbls>
        <c:gapWidth val="99"/>
        <c:gapDepth val="311"/>
        <c:shape val="cylinder"/>
        <c:axId val="411729552"/>
        <c:axId val="411729944"/>
        <c:axId val="0"/>
      </c:bar3DChart>
      <c:catAx>
        <c:axId val="411729552"/>
        <c:scaling>
          <c:orientation val="minMax"/>
        </c:scaling>
        <c:delete val="0"/>
        <c:axPos val="b"/>
        <c:numFmt formatCode="General" sourceLinked="1"/>
        <c:majorTickMark val="none"/>
        <c:minorTickMark val="none"/>
        <c:tickLblPos val="nextTo"/>
        <c:txPr>
          <a:bodyPr/>
          <a:lstStyle/>
          <a:p>
            <a:pPr>
              <a:defRPr lang="en-US" sz="1800"/>
            </a:pPr>
            <a:endParaRPr lang="es-ES"/>
          </a:p>
        </c:txPr>
        <c:crossAx val="411729944"/>
        <c:crosses val="autoZero"/>
        <c:auto val="1"/>
        <c:lblAlgn val="ctr"/>
        <c:lblOffset val="100"/>
        <c:noMultiLvlLbl val="0"/>
      </c:catAx>
      <c:valAx>
        <c:axId val="411729944"/>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411729552"/>
        <c:crosses val="autoZero"/>
        <c:crossBetween val="between"/>
        <c:dispUnits>
          <c:builtInUnit val="millions"/>
          <c:dispUnitsLbl>
            <c:layout>
              <c:manualLayout>
                <c:xMode val="edge"/>
                <c:yMode val="edge"/>
                <c:x val="1.389082849080259E-2"/>
                <c:y val="0.46660510685805739"/>
              </c:manualLayout>
            </c:layout>
            <c:txPr>
              <a:bodyPr/>
              <a:lstStyle/>
              <a:p>
                <a:pPr>
                  <a:defRPr lang="en-US" sz="1800" b="1"/>
                </a:pPr>
                <a:endParaRPr lang="es-ES"/>
              </a:p>
            </c:txPr>
          </c:dispUnitsLbl>
        </c:dispUnits>
      </c:valAx>
      <c:spPr>
        <a:noFill/>
        <a:ln w="25400">
          <a:noFill/>
        </a:ln>
      </c:spPr>
    </c:plotArea>
    <c:legend>
      <c:legendPos val="b"/>
      <c:layout>
        <c:manualLayout>
          <c:xMode val="edge"/>
          <c:yMode val="edge"/>
          <c:x val="0.18574351526115249"/>
          <c:y val="8.6544823940083615E-2"/>
          <c:w val="0.62684058370147855"/>
          <c:h val="4.0878484994934253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Fondos Pagados Mensualmente por Cuentas al SFS del RC</a:t>
            </a:r>
            <a:endParaRPr lang="es-ES">
              <a:effectLst/>
            </a:endParaRPr>
          </a:p>
        </c:rich>
      </c:tx>
      <c:layout>
        <c:manualLayout>
          <c:xMode val="edge"/>
          <c:yMode val="edge"/>
          <c:x val="0.31931036327465429"/>
          <c:y val="1.429128002888625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981734687177241E-2"/>
          <c:y val="0.22914895106836097"/>
          <c:w val="0.86561991859728293"/>
          <c:h val="0.65185190558858264"/>
        </c:manualLayout>
      </c:layout>
      <c:bar3DChart>
        <c:barDir val="col"/>
        <c:grouping val="clustered"/>
        <c:varyColors val="0"/>
        <c:ser>
          <c:idx val="0"/>
          <c:order val="0"/>
          <c:tx>
            <c:strRef>
              <c:f>'IV.2.3.Pagos_SFS M'!$B$3</c:f>
              <c:strCache>
                <c:ptCount val="1"/>
                <c:pt idx="0">
                  <c:v> Cuidado de la Salud </c:v>
                </c:pt>
              </c:strCache>
            </c:strRef>
          </c:tx>
          <c:spPr>
            <a:solidFill>
              <a:schemeClr val="accent3">
                <a:lumMod val="75000"/>
              </a:schemeClr>
            </a:solidFill>
          </c:spPr>
          <c:invertIfNegative val="0"/>
          <c:dLbls>
            <c:dLbl>
              <c:idx val="10"/>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spPr/>
              <c:txPr>
                <a:bodyPr rot="-5400000" vert="horz"/>
                <a:lstStyle/>
                <a:p>
                  <a:pPr>
                    <a:defRPr sz="1200" b="1"/>
                  </a:pPr>
                  <a:endParaRPr lang="es-ES"/>
                </a:p>
              </c:txPr>
              <c:showLegendKey val="0"/>
              <c:showVal val="1"/>
              <c:showCatName val="0"/>
              <c:showSerName val="0"/>
              <c:showPercent val="0"/>
              <c:showBubbleSize val="0"/>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42109</c:v>
                </c:pt>
                <c:pt idx="1">
                  <c:v>42139</c:v>
                </c:pt>
                <c:pt idx="2">
                  <c:v>42170</c:v>
                </c:pt>
                <c:pt idx="3">
                  <c:v>42200</c:v>
                </c:pt>
                <c:pt idx="4">
                  <c:v>42231</c:v>
                </c:pt>
                <c:pt idx="5">
                  <c:v>42262</c:v>
                </c:pt>
                <c:pt idx="6">
                  <c:v>42292</c:v>
                </c:pt>
                <c:pt idx="7">
                  <c:v>42323</c:v>
                </c:pt>
                <c:pt idx="8">
                  <c:v>42353</c:v>
                </c:pt>
                <c:pt idx="9">
                  <c:v>42384</c:v>
                </c:pt>
                <c:pt idx="10">
                  <c:v>42415</c:v>
                </c:pt>
                <c:pt idx="11">
                  <c:v>42444</c:v>
                </c:pt>
                <c:pt idx="12">
                  <c:v>42475</c:v>
                </c:pt>
              </c:numCache>
            </c:numRef>
          </c:cat>
          <c:val>
            <c:numRef>
              <c:f>'IV.2.3.Pagos_SFS M'!$B$4:$B$16</c:f>
              <c:numCache>
                <c:formatCode>_(* #,##0.00_);_(* \(#,##0.00\);_(* "-"??_);_(@_)</c:formatCode>
                <c:ptCount val="13"/>
                <c:pt idx="0">
                  <c:v>2783474943.29</c:v>
                </c:pt>
                <c:pt idx="1">
                  <c:v>2799017569.7600002</c:v>
                </c:pt>
                <c:pt idx="2">
                  <c:v>2808485248.3299999</c:v>
                </c:pt>
                <c:pt idx="3">
                  <c:v>2813198539.2199998</c:v>
                </c:pt>
                <c:pt idx="4">
                  <c:v>2830325804.3299999</c:v>
                </c:pt>
                <c:pt idx="5">
                  <c:v>2820974591.46</c:v>
                </c:pt>
                <c:pt idx="6">
                  <c:v>2866567079.54</c:v>
                </c:pt>
                <c:pt idx="7">
                  <c:v>3375946224.3999996</c:v>
                </c:pt>
                <c:pt idx="8">
                  <c:v>3115844602.25</c:v>
                </c:pt>
                <c:pt idx="9">
                  <c:v>3179566124.8199997</c:v>
                </c:pt>
                <c:pt idx="10">
                  <c:v>3160659813.4099998</c:v>
                </c:pt>
                <c:pt idx="11">
                  <c:v>3274419649.9200001</c:v>
                </c:pt>
                <c:pt idx="12">
                  <c:v>3256561363.6500001</c:v>
                </c:pt>
              </c:numCache>
            </c:numRef>
          </c:val>
        </c:ser>
        <c:ser>
          <c:idx val="1"/>
          <c:order val="1"/>
          <c:tx>
            <c:strRef>
              <c:f>'IV.2.3.Pagos_SFS M'!$C$3</c:f>
              <c:strCache>
                <c:ptCount val="1"/>
                <c:pt idx="0">
                  <c:v> FONAMAT </c:v>
                </c:pt>
              </c:strCache>
            </c:strRef>
          </c:tx>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1.1466010726588461E-3"/>
                  <c:y val="1.0233916714935298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42109</c:v>
                </c:pt>
                <c:pt idx="1">
                  <c:v>42139</c:v>
                </c:pt>
                <c:pt idx="2">
                  <c:v>42170</c:v>
                </c:pt>
                <c:pt idx="3">
                  <c:v>42200</c:v>
                </c:pt>
                <c:pt idx="4">
                  <c:v>42231</c:v>
                </c:pt>
                <c:pt idx="5">
                  <c:v>42262</c:v>
                </c:pt>
                <c:pt idx="6">
                  <c:v>42292</c:v>
                </c:pt>
                <c:pt idx="7">
                  <c:v>42323</c:v>
                </c:pt>
                <c:pt idx="8">
                  <c:v>42353</c:v>
                </c:pt>
                <c:pt idx="9">
                  <c:v>42384</c:v>
                </c:pt>
                <c:pt idx="10">
                  <c:v>42415</c:v>
                </c:pt>
                <c:pt idx="11">
                  <c:v>42444</c:v>
                </c:pt>
                <c:pt idx="12">
                  <c:v>42475</c:v>
                </c:pt>
              </c:numCache>
            </c:numRef>
          </c:cat>
          <c:val>
            <c:numRef>
              <c:f>'IV.2.3.Pagos_SFS M'!$C$4:$C$16</c:f>
              <c:numCache>
                <c:formatCode>_(* #,##0.00_);_(* \(#,##0.00\);_(* "-"??_);_(@_)</c:formatCode>
                <c:ptCount val="13"/>
                <c:pt idx="0">
                  <c:v>28317622.5</c:v>
                </c:pt>
                <c:pt idx="1">
                  <c:v>28285198.5</c:v>
                </c:pt>
                <c:pt idx="2">
                  <c:v>28281892.5</c:v>
                </c:pt>
                <c:pt idx="3">
                  <c:v>28280568</c:v>
                </c:pt>
                <c:pt idx="4">
                  <c:v>28714021.5</c:v>
                </c:pt>
                <c:pt idx="5">
                  <c:v>28235092.5</c:v>
                </c:pt>
                <c:pt idx="6">
                  <c:v>28659573</c:v>
                </c:pt>
                <c:pt idx="7">
                  <c:v>29057208</c:v>
                </c:pt>
                <c:pt idx="8">
                  <c:v>28655221.5</c:v>
                </c:pt>
                <c:pt idx="9">
                  <c:v>29457327</c:v>
                </c:pt>
                <c:pt idx="10">
                  <c:v>28700748</c:v>
                </c:pt>
                <c:pt idx="11">
                  <c:v>29882526</c:v>
                </c:pt>
                <c:pt idx="12">
                  <c:v>30320142</c:v>
                </c:pt>
              </c:numCache>
            </c:numRef>
          </c:val>
        </c:ser>
        <c:ser>
          <c:idx val="2"/>
          <c:order val="2"/>
          <c:tx>
            <c:strRef>
              <c:f>'IV.2.3.Pagos_SFS M'!$D$3</c:f>
              <c:strCache>
                <c:ptCount val="1"/>
                <c:pt idx="0">
                  <c:v> Subsidios  </c:v>
                </c:pt>
              </c:strCache>
            </c:strRef>
          </c:tx>
          <c:spPr>
            <a:solidFill>
              <a:srgbClr val="249AA6"/>
            </a:solidFill>
          </c:spPr>
          <c:invertIfNegative val="0"/>
          <c:dLbls>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42109</c:v>
                </c:pt>
                <c:pt idx="1">
                  <c:v>42139</c:v>
                </c:pt>
                <c:pt idx="2">
                  <c:v>42170</c:v>
                </c:pt>
                <c:pt idx="3">
                  <c:v>42200</c:v>
                </c:pt>
                <c:pt idx="4">
                  <c:v>42231</c:v>
                </c:pt>
                <c:pt idx="5">
                  <c:v>42262</c:v>
                </c:pt>
                <c:pt idx="6">
                  <c:v>42292</c:v>
                </c:pt>
                <c:pt idx="7">
                  <c:v>42323</c:v>
                </c:pt>
                <c:pt idx="8">
                  <c:v>42353</c:v>
                </c:pt>
                <c:pt idx="9">
                  <c:v>42384</c:v>
                </c:pt>
                <c:pt idx="10">
                  <c:v>42415</c:v>
                </c:pt>
                <c:pt idx="11">
                  <c:v>42444</c:v>
                </c:pt>
                <c:pt idx="12">
                  <c:v>42475</c:v>
                </c:pt>
              </c:numCache>
            </c:numRef>
          </c:cat>
          <c:val>
            <c:numRef>
              <c:f>'IV.2.3.Pagos_SFS M'!$D$4:$D$16</c:f>
              <c:numCache>
                <c:formatCode>_(* #,##0.00_);_(* \(#,##0.00\);_(* "-"??_);_(@_)</c:formatCode>
                <c:ptCount val="13"/>
                <c:pt idx="0">
                  <c:v>134538299.06</c:v>
                </c:pt>
                <c:pt idx="1">
                  <c:v>136303790.02000001</c:v>
                </c:pt>
                <c:pt idx="2">
                  <c:v>145785015.66</c:v>
                </c:pt>
                <c:pt idx="3">
                  <c:v>142908166.75999999</c:v>
                </c:pt>
                <c:pt idx="4">
                  <c:v>138439463.38</c:v>
                </c:pt>
                <c:pt idx="5">
                  <c:v>142178850.41999999</c:v>
                </c:pt>
                <c:pt idx="6">
                  <c:v>144117327.62</c:v>
                </c:pt>
                <c:pt idx="7">
                  <c:v>145092739.86000001</c:v>
                </c:pt>
                <c:pt idx="8">
                  <c:v>152227426.43000001</c:v>
                </c:pt>
                <c:pt idx="9">
                  <c:v>144387830.97999999</c:v>
                </c:pt>
                <c:pt idx="10">
                  <c:v>151958048.81</c:v>
                </c:pt>
                <c:pt idx="11">
                  <c:v>158353496.97999999</c:v>
                </c:pt>
                <c:pt idx="12">
                  <c:v>155873021.50999999</c:v>
                </c:pt>
              </c:numCache>
            </c:numRef>
          </c:val>
        </c:ser>
        <c:ser>
          <c:idx val="3"/>
          <c:order val="3"/>
          <c:tx>
            <c:strRef>
              <c:f>'IV.2.3.Pagos_SFS M'!$E$3</c:f>
              <c:strCache>
                <c:ptCount val="1"/>
                <c:pt idx="0">
                  <c:v> Comisión SISALRIL </c:v>
                </c:pt>
              </c:strCache>
            </c:strRef>
          </c:tx>
          <c:invertIfNegative val="0"/>
          <c:dLbls>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42109</c:v>
                </c:pt>
                <c:pt idx="1">
                  <c:v>42139</c:v>
                </c:pt>
                <c:pt idx="2">
                  <c:v>42170</c:v>
                </c:pt>
                <c:pt idx="3">
                  <c:v>42200</c:v>
                </c:pt>
                <c:pt idx="4">
                  <c:v>42231</c:v>
                </c:pt>
                <c:pt idx="5">
                  <c:v>42262</c:v>
                </c:pt>
                <c:pt idx="6">
                  <c:v>42292</c:v>
                </c:pt>
                <c:pt idx="7">
                  <c:v>42323</c:v>
                </c:pt>
                <c:pt idx="8">
                  <c:v>42353</c:v>
                </c:pt>
                <c:pt idx="9">
                  <c:v>42384</c:v>
                </c:pt>
                <c:pt idx="10">
                  <c:v>42415</c:v>
                </c:pt>
                <c:pt idx="11">
                  <c:v>42444</c:v>
                </c:pt>
                <c:pt idx="12">
                  <c:v>42475</c:v>
                </c:pt>
              </c:numCache>
            </c:numRef>
          </c:cat>
          <c:val>
            <c:numRef>
              <c:f>'IV.2.3.Pagos_SFS M'!$E$4:$E$16</c:f>
              <c:numCache>
                <c:formatCode>_(* #,##0.00_);_(* \(#,##0.00\);_(* "-"??_);_(@_)</c:formatCode>
                <c:ptCount val="13"/>
                <c:pt idx="0">
                  <c:v>19553715.449999999</c:v>
                </c:pt>
                <c:pt idx="1">
                  <c:v>19771677.609999999</c:v>
                </c:pt>
                <c:pt idx="2">
                  <c:v>20180806.620000001</c:v>
                </c:pt>
                <c:pt idx="3">
                  <c:v>20508504.91</c:v>
                </c:pt>
                <c:pt idx="4">
                  <c:v>20470315.219999999</c:v>
                </c:pt>
                <c:pt idx="5">
                  <c:v>20740592.91</c:v>
                </c:pt>
                <c:pt idx="6">
                  <c:v>21184823.920000002</c:v>
                </c:pt>
                <c:pt idx="7">
                  <c:v>21330587.039999999</c:v>
                </c:pt>
                <c:pt idx="8">
                  <c:v>22610592.989999998</c:v>
                </c:pt>
                <c:pt idx="9">
                  <c:v>21131410.789999999</c:v>
                </c:pt>
                <c:pt idx="10">
                  <c:v>21874734.199999999</c:v>
                </c:pt>
                <c:pt idx="11">
                  <c:v>22854486.5</c:v>
                </c:pt>
                <c:pt idx="12">
                  <c:v>22716798.710000001</c:v>
                </c:pt>
              </c:numCache>
            </c:numRef>
          </c:val>
        </c:ser>
        <c:ser>
          <c:idx val="4"/>
          <c:order val="4"/>
          <c:tx>
            <c:strRef>
              <c:f>'IV.2.3.Pagos_SFS M'!$F$3</c:f>
              <c:strCache>
                <c:ptCount val="1"/>
                <c:pt idx="0">
                  <c:v> Estancias Infantiles (Pago cápitas/niños </c:v>
                </c:pt>
              </c:strCache>
            </c:strRef>
          </c:tx>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9.1728085812707687E-3"/>
                  <c:y val="4.0935666859741194E-3"/>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42109</c:v>
                </c:pt>
                <c:pt idx="1">
                  <c:v>42139</c:v>
                </c:pt>
                <c:pt idx="2">
                  <c:v>42170</c:v>
                </c:pt>
                <c:pt idx="3">
                  <c:v>42200</c:v>
                </c:pt>
                <c:pt idx="4">
                  <c:v>42231</c:v>
                </c:pt>
                <c:pt idx="5">
                  <c:v>42262</c:v>
                </c:pt>
                <c:pt idx="6">
                  <c:v>42292</c:v>
                </c:pt>
                <c:pt idx="7">
                  <c:v>42323</c:v>
                </c:pt>
                <c:pt idx="8">
                  <c:v>42353</c:v>
                </c:pt>
                <c:pt idx="9">
                  <c:v>42384</c:v>
                </c:pt>
                <c:pt idx="10">
                  <c:v>42415</c:v>
                </c:pt>
                <c:pt idx="11">
                  <c:v>42444</c:v>
                </c:pt>
                <c:pt idx="12">
                  <c:v>42475</c:v>
                </c:pt>
              </c:numCache>
            </c:numRef>
          </c:cat>
          <c:val>
            <c:numRef>
              <c:f>'IV.2.3.Pagos_SFS M'!$F$4:$F$16</c:f>
              <c:numCache>
                <c:formatCode>_(* #,##0.00_);_(* \(#,##0.00\);_(* "-"??_);_(@_)</c:formatCode>
                <c:ptCount val="13"/>
                <c:pt idx="0">
                  <c:v>11500000</c:v>
                </c:pt>
                <c:pt idx="1">
                  <c:v>11478000</c:v>
                </c:pt>
                <c:pt idx="2">
                  <c:v>11180000</c:v>
                </c:pt>
                <c:pt idx="3">
                  <c:v>11450000</c:v>
                </c:pt>
                <c:pt idx="4">
                  <c:v>12058000</c:v>
                </c:pt>
                <c:pt idx="5">
                  <c:v>12250000</c:v>
                </c:pt>
                <c:pt idx="6">
                  <c:v>12362000</c:v>
                </c:pt>
                <c:pt idx="7">
                  <c:v>24913484</c:v>
                </c:pt>
                <c:pt idx="8">
                  <c:v>24705484</c:v>
                </c:pt>
                <c:pt idx="9">
                  <c:v>11836000</c:v>
                </c:pt>
                <c:pt idx="10">
                  <c:v>12152000</c:v>
                </c:pt>
                <c:pt idx="11">
                  <c:v>11912000</c:v>
                </c:pt>
                <c:pt idx="12">
                  <c:v>11772000</c:v>
                </c:pt>
              </c:numCache>
            </c:numRef>
          </c:val>
        </c:ser>
        <c:ser>
          <c:idx val="6"/>
          <c:order val="6"/>
          <c:tx>
            <c:strRef>
              <c:f>'IV.2.3.Pagos_SFS M'!$G$3</c:f>
              <c:strCache>
                <c:ptCount val="1"/>
                <c:pt idx="0">
                  <c:v> AEISS  (Pago nómina Res. CNSS 369-04)   </c:v>
                </c:pt>
              </c:strCache>
            </c:strRef>
          </c:tx>
          <c:invertIfNegative val="0"/>
          <c:cat>
            <c:numRef>
              <c:f>'IV.2.3.Pagos_SFS M'!$A$4:$A$16</c:f>
              <c:numCache>
                <c:formatCode>mmm\-yy</c:formatCode>
                <c:ptCount val="13"/>
                <c:pt idx="0">
                  <c:v>42109</c:v>
                </c:pt>
                <c:pt idx="1">
                  <c:v>42139</c:v>
                </c:pt>
                <c:pt idx="2">
                  <c:v>42170</c:v>
                </c:pt>
                <c:pt idx="3">
                  <c:v>42200</c:v>
                </c:pt>
                <c:pt idx="4">
                  <c:v>42231</c:v>
                </c:pt>
                <c:pt idx="5">
                  <c:v>42262</c:v>
                </c:pt>
                <c:pt idx="6">
                  <c:v>42292</c:v>
                </c:pt>
                <c:pt idx="7">
                  <c:v>42323</c:v>
                </c:pt>
                <c:pt idx="8">
                  <c:v>42353</c:v>
                </c:pt>
                <c:pt idx="9">
                  <c:v>42384</c:v>
                </c:pt>
                <c:pt idx="10">
                  <c:v>42415</c:v>
                </c:pt>
                <c:pt idx="11">
                  <c:v>42444</c:v>
                </c:pt>
                <c:pt idx="12">
                  <c:v>42475</c:v>
                </c:pt>
              </c:numCache>
            </c:numRef>
          </c:cat>
          <c:val>
            <c:numRef>
              <c:f>'IV.2.3.Pagos_SFS M'!$G$4:$G$16</c:f>
              <c:numCache>
                <c:formatCode>_(* #,##0.00_);_(* \(#,##0.00\);_(* "-"??_);_(@_)</c:formatCode>
                <c:ptCount val="13"/>
                <c:pt idx="0">
                  <c:v>38440452</c:v>
                </c:pt>
                <c:pt idx="1">
                  <c:v>12813484</c:v>
                </c:pt>
                <c:pt idx="2">
                  <c:v>12813484</c:v>
                </c:pt>
                <c:pt idx="3">
                  <c:v>12813484</c:v>
                </c:pt>
                <c:pt idx="4">
                  <c:v>12813484</c:v>
                </c:pt>
                <c:pt idx="5">
                  <c:v>0</c:v>
                </c:pt>
                <c:pt idx="6">
                  <c:v>12813484</c:v>
                </c:pt>
                <c:pt idx="7">
                  <c:v>12813484</c:v>
                </c:pt>
                <c:pt idx="8">
                  <c:v>12813484</c:v>
                </c:pt>
                <c:pt idx="9">
                  <c:v>0</c:v>
                </c:pt>
                <c:pt idx="10">
                  <c:v>25626968</c:v>
                </c:pt>
                <c:pt idx="11">
                  <c:v>12813484</c:v>
                </c:pt>
                <c:pt idx="12">
                  <c:v>12813484</c:v>
                </c:pt>
              </c:numCache>
            </c:numRef>
          </c:val>
        </c:ser>
        <c:dLbls>
          <c:showLegendKey val="0"/>
          <c:showVal val="0"/>
          <c:showCatName val="0"/>
          <c:showSerName val="0"/>
          <c:showPercent val="0"/>
          <c:showBubbleSize val="0"/>
        </c:dLbls>
        <c:gapWidth val="25"/>
        <c:shape val="cylinder"/>
        <c:axId val="411730728"/>
        <c:axId val="411731120"/>
        <c:axId val="0"/>
        <c:extLst>
          <c:ext xmlns:c15="http://schemas.microsoft.com/office/drawing/2012/chart" uri="{02D57815-91ED-43cb-92C2-25804820EDAC}">
            <c15:filteredBarSeries>
              <c15:ser>
                <c:idx val="5"/>
                <c:order val="5"/>
                <c:tx>
                  <c:strRef>
                    <c:extLst>
                      <c:ext uri="{02D57815-91ED-43cb-92C2-25804820EDAC}">
                        <c15:formulaRef>
                          <c15:sqref>'IV.1.2.3 Dip. SFS mensual'!#REF!</c15:sqref>
                        </c15:formulaRef>
                      </c:ext>
                    </c:extLst>
                    <c:strCache>
                      <c:ptCount val="1"/>
                      <c:pt idx="0">
                        <c:v>#REF!</c:v>
                      </c:pt>
                    </c:strCache>
                  </c:strRef>
                </c:tx>
                <c:invertIfNegative val="0"/>
                <c:cat>
                  <c:numRef>
                    <c:extLst>
                      <c:ext uri="{02D57815-91ED-43cb-92C2-25804820EDAC}">
                        <c15:formulaRef>
                          <c15:sqref>'IV.2.3.Pagos_SFS M'!$A$4:$A$16</c15:sqref>
                        </c15:formulaRef>
                      </c:ext>
                    </c:extLst>
                    <c:numCache>
                      <c:formatCode>mmm\-yy</c:formatCode>
                      <c:ptCount val="13"/>
                      <c:pt idx="0">
                        <c:v>42109</c:v>
                      </c:pt>
                      <c:pt idx="1">
                        <c:v>42139</c:v>
                      </c:pt>
                      <c:pt idx="2">
                        <c:v>42170</c:v>
                      </c:pt>
                      <c:pt idx="3">
                        <c:v>42200</c:v>
                      </c:pt>
                      <c:pt idx="4">
                        <c:v>42231</c:v>
                      </c:pt>
                      <c:pt idx="5">
                        <c:v>42262</c:v>
                      </c:pt>
                      <c:pt idx="6">
                        <c:v>42292</c:v>
                      </c:pt>
                      <c:pt idx="7">
                        <c:v>42323</c:v>
                      </c:pt>
                      <c:pt idx="8">
                        <c:v>42353</c:v>
                      </c:pt>
                      <c:pt idx="9">
                        <c:v>42384</c:v>
                      </c:pt>
                      <c:pt idx="10">
                        <c:v>42415</c:v>
                      </c:pt>
                      <c:pt idx="11">
                        <c:v>42444</c:v>
                      </c:pt>
                      <c:pt idx="12">
                        <c:v>42475</c:v>
                      </c:pt>
                    </c:numCache>
                  </c:numRef>
                </c:cat>
                <c:val>
                  <c:numRef>
                    <c:extLst>
                      <c:ext uri="{02D57815-91ED-43cb-92C2-25804820EDAC}">
                        <c15:formulaRef>
                          <c15:sqref>'IV.1.2.3 Dip. SFS mensual'!#REF!</c15:sqref>
                        </c15:formulaRef>
                      </c:ext>
                    </c:extLst>
                    <c:numCache>
                      <c:formatCode>General</c:formatCode>
                      <c:ptCount val="1"/>
                      <c:pt idx="0">
                        <c:v>1</c:v>
                      </c:pt>
                    </c:numCache>
                  </c:numRef>
                </c:val>
              </c15:ser>
            </c15:filteredBarSeries>
          </c:ext>
        </c:extLst>
      </c:bar3DChart>
      <c:dateAx>
        <c:axId val="411730728"/>
        <c:scaling>
          <c:orientation val="minMax"/>
        </c:scaling>
        <c:delete val="1"/>
        <c:axPos val="b"/>
        <c:numFmt formatCode="mmm\-yy" sourceLinked="0"/>
        <c:majorTickMark val="none"/>
        <c:minorTickMark val="none"/>
        <c:tickLblPos val="nextTo"/>
        <c:crossAx val="411731120"/>
        <c:crosses val="autoZero"/>
        <c:auto val="1"/>
        <c:lblOffset val="100"/>
        <c:baseTimeUnit val="months"/>
      </c:dateAx>
      <c:valAx>
        <c:axId val="411731120"/>
        <c:scaling>
          <c:orientation val="minMax"/>
        </c:scaling>
        <c:delete val="0"/>
        <c:axPos val="l"/>
        <c:numFmt formatCode="_(* #,##0.00_);_(* \(#,##0.00\);_(* &quot;-&quot;??_);_(@_)" sourceLinked="1"/>
        <c:majorTickMark val="none"/>
        <c:minorTickMark val="none"/>
        <c:tickLblPos val="nextTo"/>
        <c:spPr>
          <a:ln w="9525">
            <a:noFill/>
          </a:ln>
        </c:spPr>
        <c:crossAx val="411730728"/>
        <c:crosses val="autoZero"/>
        <c:crossBetween val="between"/>
        <c:dispUnits>
          <c:builtInUnit val="millions"/>
          <c:dispUnitsLbl>
            <c:layout>
              <c:manualLayout>
                <c:xMode val="edge"/>
                <c:yMode val="edge"/>
                <c:x val="2.0615485564304464E-2"/>
                <c:y val="0.55284357366613368"/>
              </c:manualLayout>
            </c:layout>
            <c:txPr>
              <a:bodyPr/>
              <a:lstStyle/>
              <a:p>
                <a:pPr>
                  <a:defRPr sz="1400" b="0"/>
                </a:pPr>
                <a:endParaRPr lang="es-ES"/>
              </a:p>
            </c:txPr>
          </c:dispUnitsLbl>
        </c:dispUnits>
      </c:valAx>
      <c:spPr>
        <a:noFill/>
        <a:ln w="25400">
          <a:noFill/>
        </a:ln>
      </c:spPr>
    </c:plotArea>
    <c:legend>
      <c:legendPos val="t"/>
      <c:layout>
        <c:manualLayout>
          <c:xMode val="edge"/>
          <c:yMode val="edge"/>
          <c:x val="0.11981305888316647"/>
          <c:y val="7.3162608436088863E-2"/>
          <c:w val="0.82405288541844512"/>
          <c:h val="4.551286190903807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200"/>
            </a:pPr>
            <a:r>
              <a:rPr lang="es-DO" sz="1200"/>
              <a:t>Fondos Pagados a las  Administradora de Riesgos de Salud (ARS) del SFS del RC</a:t>
            </a:r>
          </a:p>
        </c:rich>
      </c:tx>
      <c:layout>
        <c:manualLayout>
          <c:xMode val="edge"/>
          <c:yMode val="edge"/>
          <c:x val="0.35168323201251162"/>
          <c:y val="3.2594733461785493E-2"/>
        </c:manualLayout>
      </c:layout>
      <c:overlay val="0"/>
    </c:title>
    <c:autoTitleDeleted val="0"/>
    <c:plotArea>
      <c:layout>
        <c:manualLayout>
          <c:layoutTarget val="inner"/>
          <c:xMode val="edge"/>
          <c:yMode val="edge"/>
          <c:x val="0.11053315685029672"/>
          <c:y val="0.11579901036595051"/>
          <c:w val="0.85918421598350958"/>
          <c:h val="0.78903309542061173"/>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dPt>
          <c:dPt>
            <c:idx val="1"/>
            <c:invertIfNegative val="0"/>
            <c:bubble3D val="0"/>
            <c:spPr>
              <a:solidFill>
                <a:schemeClr val="tx2">
                  <a:lumMod val="60000"/>
                  <a:lumOff val="40000"/>
                </a:schemeClr>
              </a:solidFill>
            </c:spPr>
          </c:dPt>
          <c:dPt>
            <c:idx val="2"/>
            <c:invertIfNegative val="0"/>
            <c:bubble3D val="0"/>
            <c:spPr>
              <a:solidFill>
                <a:schemeClr val="accent5">
                  <a:lumMod val="50000"/>
                </a:schemeClr>
              </a:solidFill>
            </c:spPr>
          </c:dPt>
          <c:dPt>
            <c:idx val="3"/>
            <c:invertIfNegative val="0"/>
            <c:bubble3D val="0"/>
            <c:spPr>
              <a:solidFill>
                <a:schemeClr val="tx2">
                  <a:lumMod val="60000"/>
                  <a:lumOff val="40000"/>
                </a:schemeClr>
              </a:solidFill>
            </c:spPr>
          </c:dPt>
          <c:dPt>
            <c:idx val="4"/>
            <c:invertIfNegative val="0"/>
            <c:bubble3D val="0"/>
            <c:spPr>
              <a:solidFill>
                <a:srgbClr val="00B050"/>
              </a:solidFill>
            </c:spPr>
          </c:dPt>
          <c:dPt>
            <c:idx val="5"/>
            <c:invertIfNegative val="0"/>
            <c:bubble3D val="0"/>
            <c:spPr>
              <a:solidFill>
                <a:srgbClr val="00B050"/>
              </a:solidFill>
            </c:spPr>
          </c:dPt>
          <c:dPt>
            <c:idx val="6"/>
            <c:invertIfNegative val="0"/>
            <c:bubble3D val="0"/>
            <c:spPr>
              <a:solidFill>
                <a:srgbClr val="FF0000"/>
              </a:solidFill>
            </c:spPr>
          </c:dPt>
          <c:dPt>
            <c:idx val="7"/>
            <c:invertIfNegative val="0"/>
            <c:bubble3D val="0"/>
            <c:spPr>
              <a:solidFill>
                <a:schemeClr val="tx2">
                  <a:lumMod val="60000"/>
                  <a:lumOff val="40000"/>
                </a:schemeClr>
              </a:solidFill>
            </c:spPr>
          </c:dPt>
          <c:dPt>
            <c:idx val="8"/>
            <c:invertIfNegative val="0"/>
            <c:bubble3D val="0"/>
            <c:spPr>
              <a:solidFill>
                <a:schemeClr val="tx2">
                  <a:lumMod val="60000"/>
                  <a:lumOff val="40000"/>
                </a:schemeClr>
              </a:solidFill>
            </c:spPr>
          </c:dPt>
          <c:dPt>
            <c:idx val="9"/>
            <c:invertIfNegative val="0"/>
            <c:bubble3D val="0"/>
            <c:spPr>
              <a:solidFill>
                <a:srgbClr val="FF0000"/>
              </a:solidFill>
            </c:spPr>
          </c:dPt>
          <c:dPt>
            <c:idx val="10"/>
            <c:invertIfNegative val="0"/>
            <c:bubble3D val="0"/>
            <c:spPr>
              <a:solidFill>
                <a:schemeClr val="tx2">
                  <a:lumMod val="60000"/>
                  <a:lumOff val="40000"/>
                </a:schemeClr>
              </a:solidFill>
            </c:spPr>
          </c:dPt>
          <c:dPt>
            <c:idx val="11"/>
            <c:invertIfNegative val="0"/>
            <c:bubble3D val="0"/>
            <c:spPr>
              <a:solidFill>
                <a:schemeClr val="tx2">
                  <a:lumMod val="60000"/>
                  <a:lumOff val="40000"/>
                </a:schemeClr>
              </a:solidFill>
            </c:spPr>
          </c:dPt>
          <c:dPt>
            <c:idx val="12"/>
            <c:invertIfNegative val="0"/>
            <c:bubble3D val="0"/>
            <c:spPr>
              <a:solidFill>
                <a:schemeClr val="tx2">
                  <a:lumMod val="60000"/>
                  <a:lumOff val="40000"/>
                </a:schemeClr>
              </a:solidFill>
            </c:spPr>
          </c:dPt>
          <c:dPt>
            <c:idx val="13"/>
            <c:invertIfNegative val="0"/>
            <c:bubble3D val="0"/>
            <c:spPr>
              <a:solidFill>
                <a:srgbClr val="00B050"/>
              </a:solidFill>
            </c:spPr>
          </c:dPt>
          <c:dPt>
            <c:idx val="14"/>
            <c:invertIfNegative val="0"/>
            <c:bubble3D val="0"/>
            <c:spPr>
              <a:solidFill>
                <a:schemeClr val="tx2">
                  <a:lumMod val="60000"/>
                  <a:lumOff val="40000"/>
                </a:schemeClr>
              </a:solidFill>
            </c:spPr>
          </c:dPt>
          <c:dPt>
            <c:idx val="15"/>
            <c:invertIfNegative val="0"/>
            <c:bubble3D val="0"/>
            <c:spPr>
              <a:solidFill>
                <a:srgbClr val="00B050"/>
              </a:solidFill>
            </c:spPr>
          </c:dPt>
          <c:dPt>
            <c:idx val="16"/>
            <c:invertIfNegative val="0"/>
            <c:bubble3D val="0"/>
            <c:spPr>
              <a:solidFill>
                <a:schemeClr val="tx2">
                  <a:lumMod val="60000"/>
                  <a:lumOff val="40000"/>
                </a:schemeClr>
              </a:solidFill>
            </c:spPr>
          </c:dPt>
          <c:dPt>
            <c:idx val="17"/>
            <c:invertIfNegative val="0"/>
            <c:bubble3D val="0"/>
            <c:spPr>
              <a:solidFill>
                <a:schemeClr val="tx2">
                  <a:lumMod val="60000"/>
                  <a:lumOff val="40000"/>
                </a:schemeClr>
              </a:solidFill>
            </c:spPr>
          </c:dPt>
          <c:dPt>
            <c:idx val="18"/>
            <c:invertIfNegative val="0"/>
            <c:bubble3D val="0"/>
            <c:spPr>
              <a:solidFill>
                <a:schemeClr val="tx2">
                  <a:lumMod val="60000"/>
                  <a:lumOff val="40000"/>
                </a:schemeClr>
              </a:solidFill>
            </c:spPr>
          </c:dPt>
          <c:dPt>
            <c:idx val="19"/>
            <c:invertIfNegative val="0"/>
            <c:bubble3D val="0"/>
            <c:spPr>
              <a:solidFill>
                <a:schemeClr val="tx2">
                  <a:lumMod val="60000"/>
                  <a:lumOff val="40000"/>
                </a:schemeClr>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rgbClr val="FF0000"/>
              </a:solidFill>
            </c:spPr>
          </c:dPt>
          <c:dPt>
            <c:idx val="23"/>
            <c:invertIfNegative val="0"/>
            <c:bubble3D val="0"/>
            <c:spPr>
              <a:solidFill>
                <a:srgbClr val="FF0000"/>
              </a:solidFill>
            </c:spPr>
          </c:dPt>
          <c:dPt>
            <c:idx val="24"/>
            <c:invertIfNegative val="0"/>
            <c:bubble3D val="0"/>
            <c:spPr>
              <a:solidFill>
                <a:srgbClr val="00B050"/>
              </a:solidFill>
            </c:spPr>
          </c:dPt>
          <c:dPt>
            <c:idx val="25"/>
            <c:invertIfNegative val="0"/>
            <c:bubble3D val="0"/>
            <c:spPr>
              <a:solidFill>
                <a:srgbClr val="FF0000"/>
              </a:solidFill>
            </c:spPr>
          </c:dPt>
          <c:dPt>
            <c:idx val="26"/>
            <c:invertIfNegative val="0"/>
            <c:bubble3D val="0"/>
            <c:spPr>
              <a:solidFill>
                <a:srgbClr val="FF0000"/>
              </a:solidFill>
            </c:spPr>
          </c:dPt>
          <c:dPt>
            <c:idx val="27"/>
            <c:invertIfNegative val="0"/>
            <c:bubble3D val="0"/>
            <c:spPr>
              <a:solidFill>
                <a:srgbClr val="FF0000"/>
              </a:solidFill>
            </c:spPr>
          </c:dPt>
          <c:dPt>
            <c:idx val="28"/>
            <c:invertIfNegative val="0"/>
            <c:bubble3D val="0"/>
            <c:spPr>
              <a:solidFill>
                <a:srgbClr val="FF0000"/>
              </a:solidFill>
            </c:spPr>
          </c:dPt>
          <c:dLbls>
            <c:spPr>
              <a:noFill/>
              <a:ln>
                <a:noFill/>
              </a:ln>
              <a:effectLst/>
            </c:spPr>
            <c:txPr>
              <a:bodyPr/>
              <a:lstStyle/>
              <a:p>
                <a:pPr>
                  <a:defRPr sz="1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Humano</c:v>
                </c:pt>
                <c:pt idx="1">
                  <c:v>Palic Salud</c:v>
                </c:pt>
                <c:pt idx="2">
                  <c:v>SENASA RC</c:v>
                </c:pt>
                <c:pt idx="3">
                  <c:v>Universal</c:v>
                </c:pt>
                <c:pt idx="4">
                  <c:v>Salud Segura</c:v>
                </c:pt>
                <c:pt idx="5">
                  <c:v>SEMMA</c:v>
                </c:pt>
                <c:pt idx="6">
                  <c:v>Serv. Dominicano de Salud</c:v>
                </c:pt>
                <c:pt idx="7">
                  <c:v>Futuro</c:v>
                </c:pt>
                <c:pt idx="8">
                  <c:v>Serv. de Igualas Méd. Dr. Abel G.</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66829278850.410004</c:v>
                </c:pt>
                <c:pt idx="1">
                  <c:v>28946061275.809998</c:v>
                </c:pt>
                <c:pt idx="2">
                  <c:v>27537351201.759998</c:v>
                </c:pt>
                <c:pt idx="3">
                  <c:v>24306924954.560001</c:v>
                </c:pt>
                <c:pt idx="4">
                  <c:v>13816450526.41</c:v>
                </c:pt>
                <c:pt idx="5">
                  <c:v>10158332019.379999</c:v>
                </c:pt>
                <c:pt idx="6">
                  <c:v>3119370268.7700009</c:v>
                </c:pt>
                <c:pt idx="7">
                  <c:v>4817616443.5699997</c:v>
                </c:pt>
                <c:pt idx="8">
                  <c:v>3262944610.9600005</c:v>
                </c:pt>
                <c:pt idx="9">
                  <c:v>2163231786.7200003</c:v>
                </c:pt>
                <c:pt idx="10">
                  <c:v>2839704631.6599998</c:v>
                </c:pt>
                <c:pt idx="11">
                  <c:v>2194190616.3000002</c:v>
                </c:pt>
                <c:pt idx="12">
                  <c:v>2328539091.27</c:v>
                </c:pt>
                <c:pt idx="13">
                  <c:v>1908196280.6800001</c:v>
                </c:pt>
                <c:pt idx="14">
                  <c:v>2039560960.28</c:v>
                </c:pt>
                <c:pt idx="15">
                  <c:v>1540394601.8799999</c:v>
                </c:pt>
                <c:pt idx="16">
                  <c:v>1573640170.8200002</c:v>
                </c:pt>
                <c:pt idx="17">
                  <c:v>1569144529.1600003</c:v>
                </c:pt>
                <c:pt idx="18">
                  <c:v>1263104422.1000001</c:v>
                </c:pt>
                <c:pt idx="19">
                  <c:v>1068501199.9099994</c:v>
                </c:pt>
                <c:pt idx="20">
                  <c:v>554704683.16000009</c:v>
                </c:pt>
                <c:pt idx="21">
                  <c:v>591961047.18999994</c:v>
                </c:pt>
                <c:pt idx="22">
                  <c:v>387469499.48000002</c:v>
                </c:pt>
                <c:pt idx="23">
                  <c:v>260644027.96000001</c:v>
                </c:pt>
                <c:pt idx="24">
                  <c:v>192934618.85999998</c:v>
                </c:pt>
                <c:pt idx="25">
                  <c:v>114002984.84</c:v>
                </c:pt>
                <c:pt idx="26">
                  <c:v>75538660.520000011</c:v>
                </c:pt>
                <c:pt idx="27">
                  <c:v>65746073.510000005</c:v>
                </c:pt>
                <c:pt idx="28">
                  <c:v>40803540.200000003</c:v>
                </c:pt>
              </c:numCache>
            </c:numRef>
          </c:val>
        </c:ser>
        <c:dLbls>
          <c:showLegendKey val="0"/>
          <c:showVal val="0"/>
          <c:showCatName val="0"/>
          <c:showSerName val="0"/>
          <c:showPercent val="0"/>
          <c:showBubbleSize val="0"/>
        </c:dLbls>
        <c:gapWidth val="20"/>
        <c:axId val="411731904"/>
        <c:axId val="411732296"/>
      </c:barChart>
      <c:catAx>
        <c:axId val="411731904"/>
        <c:scaling>
          <c:orientation val="minMax"/>
        </c:scaling>
        <c:delete val="0"/>
        <c:axPos val="l"/>
        <c:numFmt formatCode="General" sourceLinked="1"/>
        <c:majorTickMark val="out"/>
        <c:minorTickMark val="none"/>
        <c:tickLblPos val="nextTo"/>
        <c:txPr>
          <a:bodyPr rot="-2700000" vert="horz"/>
          <a:lstStyle/>
          <a:p>
            <a:pPr>
              <a:defRPr sz="1000"/>
            </a:pPr>
            <a:endParaRPr lang="es-ES"/>
          </a:p>
        </c:txPr>
        <c:crossAx val="411732296"/>
        <c:crosses val="autoZero"/>
        <c:auto val="1"/>
        <c:lblAlgn val="ctr"/>
        <c:lblOffset val="100"/>
        <c:noMultiLvlLbl val="0"/>
      </c:catAx>
      <c:valAx>
        <c:axId val="411732296"/>
        <c:scaling>
          <c:orientation val="minMax"/>
        </c:scaling>
        <c:delete val="1"/>
        <c:axPos val="b"/>
        <c:numFmt formatCode="_(* #,##0.00_);_(* \(#,##0.00\);_(* &quot;-&quot;??_);_(@_)" sourceLinked="1"/>
        <c:majorTickMark val="out"/>
        <c:minorTickMark val="none"/>
        <c:tickLblPos val="nextTo"/>
        <c:crossAx val="411731904"/>
        <c:crosses val="autoZero"/>
        <c:crossBetween val="between"/>
      </c:valAx>
    </c:plotArea>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4294991817156434"/>
          <c:y val="1.9867480618771333E-2"/>
        </c:manualLayout>
      </c:layout>
      <c:overlay val="0"/>
    </c:title>
    <c:autoTitleDeleted val="0"/>
    <c:plotArea>
      <c:layout>
        <c:manualLayout>
          <c:layoutTarget val="inner"/>
          <c:xMode val="edge"/>
          <c:yMode val="edge"/>
          <c:x val="6.4822906967996113E-2"/>
          <c:y val="0.20868968428140255"/>
          <c:w val="0.86473936984152544"/>
          <c:h val="0.57787535965378933"/>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Abr.16</c:v>
                </c:pt>
              </c:strCache>
            </c:strRef>
          </c:cat>
          <c:val>
            <c:numRef>
              <c:f>III.1.3.Afil.SFSPob.Nac.!$C$4:$C$15</c:f>
              <c:numCache>
                <c:formatCode>#,##0_);[Red]\(#,##0\)</c:formatCode>
                <c:ptCount val="12"/>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10059857</c:v>
                </c:pt>
              </c:numCache>
            </c:numRef>
          </c:val>
        </c:ser>
        <c:dLbls>
          <c:showLegendKey val="0"/>
          <c:showVal val="0"/>
          <c:showCatName val="0"/>
          <c:showSerName val="0"/>
          <c:showPercent val="0"/>
          <c:showBubbleSize val="0"/>
        </c:dLbls>
        <c:gapWidth val="39"/>
        <c:axId val="406441552"/>
        <c:axId val="406441944"/>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Abr.16</c:v>
                </c:pt>
              </c:strCache>
            </c:strRef>
          </c:cat>
          <c:val>
            <c:numRef>
              <c:f>III.1.3.Afil.SFSPob.Nac.!$D$4:$D$15</c:f>
              <c:numCache>
                <c:formatCode>0.0%</c:formatCode>
                <c:ptCount val="12"/>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0.67618326980194654</c:v>
                </c:pt>
              </c:numCache>
            </c:numRef>
          </c:val>
          <c:smooth val="0"/>
        </c:ser>
        <c:dLbls>
          <c:showLegendKey val="0"/>
          <c:showVal val="0"/>
          <c:showCatName val="0"/>
          <c:showSerName val="0"/>
          <c:showPercent val="0"/>
          <c:showBubbleSize val="0"/>
        </c:dLbls>
        <c:marker val="1"/>
        <c:smooth val="0"/>
        <c:axId val="406442728"/>
        <c:axId val="406442336"/>
      </c:lineChart>
      <c:catAx>
        <c:axId val="406441552"/>
        <c:scaling>
          <c:orientation val="minMax"/>
        </c:scaling>
        <c:delete val="0"/>
        <c:axPos val="b"/>
        <c:numFmt formatCode="General" sourceLinked="0"/>
        <c:majorTickMark val="none"/>
        <c:minorTickMark val="none"/>
        <c:tickLblPos val="nextTo"/>
        <c:txPr>
          <a:bodyPr/>
          <a:lstStyle/>
          <a:p>
            <a:pPr>
              <a:defRPr sz="1800"/>
            </a:pPr>
            <a:endParaRPr lang="es-ES"/>
          </a:p>
        </c:txPr>
        <c:crossAx val="406441944"/>
        <c:crosses val="autoZero"/>
        <c:auto val="1"/>
        <c:lblAlgn val="ctr"/>
        <c:lblOffset val="100"/>
        <c:noMultiLvlLbl val="0"/>
      </c:catAx>
      <c:valAx>
        <c:axId val="406441944"/>
        <c:scaling>
          <c:orientation val="minMax"/>
        </c:scaling>
        <c:delete val="0"/>
        <c:axPos val="l"/>
        <c:numFmt formatCode="#,##0_);[Red]\(#,##0\)" sourceLinked="1"/>
        <c:majorTickMark val="none"/>
        <c:minorTickMark val="none"/>
        <c:tickLblPos val="nextTo"/>
        <c:txPr>
          <a:bodyPr/>
          <a:lstStyle/>
          <a:p>
            <a:pPr>
              <a:defRPr sz="1200"/>
            </a:pPr>
            <a:endParaRPr lang="es-ES"/>
          </a:p>
        </c:txPr>
        <c:crossAx val="406441552"/>
        <c:crosses val="autoZero"/>
        <c:crossBetween val="between"/>
      </c:valAx>
      <c:valAx>
        <c:axId val="406442336"/>
        <c:scaling>
          <c:orientation val="minMax"/>
          <c:max val="1"/>
        </c:scaling>
        <c:delete val="0"/>
        <c:axPos val="r"/>
        <c:numFmt formatCode="0.0%" sourceLinked="1"/>
        <c:majorTickMark val="out"/>
        <c:minorTickMark val="none"/>
        <c:tickLblPos val="nextTo"/>
        <c:txPr>
          <a:bodyPr/>
          <a:lstStyle/>
          <a:p>
            <a:pPr>
              <a:defRPr sz="1200"/>
            </a:pPr>
            <a:endParaRPr lang="es-ES"/>
          </a:p>
        </c:txPr>
        <c:crossAx val="406442728"/>
        <c:crosses val="max"/>
        <c:crossBetween val="between"/>
      </c:valAx>
      <c:catAx>
        <c:axId val="406442728"/>
        <c:scaling>
          <c:orientation val="minMax"/>
        </c:scaling>
        <c:delete val="1"/>
        <c:axPos val="b"/>
        <c:numFmt formatCode="General" sourceLinked="1"/>
        <c:majorTickMark val="out"/>
        <c:minorTickMark val="none"/>
        <c:tickLblPos val="nextTo"/>
        <c:crossAx val="406442336"/>
        <c:crosses val="autoZero"/>
        <c:auto val="1"/>
        <c:lblAlgn val="ctr"/>
        <c:lblOffset val="100"/>
        <c:noMultiLvlLbl val="0"/>
      </c:catAx>
    </c:plotArea>
    <c:legend>
      <c:legendPos val="t"/>
      <c:layout>
        <c:manualLayout>
          <c:xMode val="edge"/>
          <c:yMode val="edge"/>
          <c:x val="0.31835316219721033"/>
          <c:y val="7.2909572777144049E-2"/>
          <c:w val="0.34152028152573005"/>
          <c:h val="4.653988189647893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8875895807018464"/>
          <c:y val="6.6633619820532161E-2"/>
          <c:w val="0.69535106067154717"/>
          <c:h val="0.83731101463527191"/>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dPt>
          <c:dPt>
            <c:idx val="5"/>
            <c:invertIfNegative val="0"/>
            <c:bubble3D val="0"/>
            <c:spPr>
              <a:solidFill>
                <a:srgbClr val="00B050"/>
              </a:solidFill>
            </c:spPr>
          </c:dPt>
          <c:dPt>
            <c:idx val="12"/>
            <c:invertIfNegative val="0"/>
            <c:bubble3D val="0"/>
            <c:spPr>
              <a:solidFill>
                <a:schemeClr val="tx2">
                  <a:lumMod val="60000"/>
                  <a:lumOff val="40000"/>
                </a:schemeClr>
              </a:solidFill>
            </c:spPr>
          </c:dPt>
          <c:dPt>
            <c:idx val="13"/>
            <c:invertIfNegative val="0"/>
            <c:bubble3D val="0"/>
            <c:spPr>
              <a:solidFill>
                <a:schemeClr val="tx2">
                  <a:lumMod val="60000"/>
                  <a:lumOff val="40000"/>
                </a:schemeClr>
              </a:solidFill>
            </c:spPr>
          </c:dPt>
          <c:dPt>
            <c:idx val="14"/>
            <c:invertIfNegative val="0"/>
            <c:bubble3D val="0"/>
            <c:spPr>
              <a:solidFill>
                <a:srgbClr val="00B050"/>
              </a:solidFill>
            </c:spPr>
          </c:dPt>
          <c:dPt>
            <c:idx val="17"/>
            <c:invertIfNegative val="0"/>
            <c:bubble3D val="0"/>
            <c:spPr>
              <a:solidFill>
                <a:srgbClr val="00B050"/>
              </a:solidFill>
            </c:spPr>
          </c:dPt>
          <c:dPt>
            <c:idx val="18"/>
            <c:invertIfNegative val="0"/>
            <c:bubble3D val="0"/>
            <c:spPr>
              <a:solidFill>
                <a:srgbClr val="00B050"/>
              </a:solidFill>
            </c:spPr>
          </c:dPt>
          <c:dPt>
            <c:idx val="19"/>
            <c:invertIfNegative val="0"/>
            <c:bubble3D val="0"/>
            <c:spPr>
              <a:solidFill>
                <a:srgbClr val="00B050"/>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chemeClr val="accent6">
                  <a:lumMod val="50000"/>
                </a:schemeClr>
              </a:solidFill>
            </c:spPr>
          </c:dPt>
          <c:dPt>
            <c:idx val="24"/>
            <c:invertIfNegative val="0"/>
            <c:bubble3D val="0"/>
            <c:spPr>
              <a:solidFill>
                <a:schemeClr val="accent6">
                  <a:lumMod val="50000"/>
                </a:schemeClr>
              </a:solidFill>
            </c:spPr>
          </c:dPt>
          <c:dLbls>
            <c:dLbl>
              <c:idx val="0"/>
              <c:layout>
                <c:manualLayout>
                  <c:x val="9.4546978978989789E-3"/>
                  <c:y val="-4.69372881787834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ARS'!$I$4:$I$24</c:f>
              <c:strCache>
                <c:ptCount val="21"/>
                <c:pt idx="0">
                  <c:v>Humano</c:v>
                </c:pt>
                <c:pt idx="1">
                  <c:v>SENASA RC</c:v>
                </c:pt>
                <c:pt idx="2">
                  <c:v>Palic Salud</c:v>
                </c:pt>
                <c:pt idx="3">
                  <c:v>Universal</c:v>
                </c:pt>
                <c:pt idx="4">
                  <c:v>Futuro</c:v>
                </c:pt>
                <c:pt idx="5">
                  <c:v>SEMMA</c:v>
                </c:pt>
                <c:pt idx="6">
                  <c:v>Serv. de Igualas Méd. Dr. Abel</c:v>
                </c:pt>
                <c:pt idx="7">
                  <c:v>Dr. Yunen</c:v>
                </c:pt>
                <c:pt idx="8">
                  <c:v>Salud Segura</c:v>
                </c:pt>
                <c:pt idx="9">
                  <c:v>Renacer</c:v>
                </c:pt>
                <c:pt idx="10">
                  <c:v>Grupo Med. Asociado</c:v>
                </c:pt>
                <c:pt idx="11">
                  <c:v>Adm. Serv. Médicos Amor y Paz</c:v>
                </c:pt>
                <c:pt idx="12">
                  <c:v>Monumental </c:v>
                </c:pt>
                <c:pt idx="13">
                  <c:v>METASALUD</c:v>
                </c:pt>
                <c:pt idx="14">
                  <c:v>Reservas</c:v>
                </c:pt>
                <c:pt idx="15">
                  <c:v>CMD</c:v>
                </c:pt>
                <c:pt idx="16">
                  <c:v>Asoc. de Profesionales de la Salud</c:v>
                </c:pt>
                <c:pt idx="17">
                  <c:v>Constitución (ex IGMAN)</c:v>
                </c:pt>
                <c:pt idx="18">
                  <c:v>Plan Salud </c:v>
                </c:pt>
                <c:pt idx="19">
                  <c:v>FFAA</c:v>
                </c:pt>
                <c:pt idx="20">
                  <c:v>SEMUNASED</c:v>
                </c:pt>
              </c:strCache>
            </c:strRef>
          </c:cat>
          <c:val>
            <c:numRef>
              <c:f>'IV.2.5.Pagos x ARS'!$J$4:$J$24</c:f>
              <c:numCache>
                <c:formatCode>_(* #,##0.00_);_(* \(#,##0.00\);_(* "-"??_);_(@_)</c:formatCode>
                <c:ptCount val="21"/>
                <c:pt idx="0">
                  <c:v>1140324321.3199999</c:v>
                </c:pt>
                <c:pt idx="1">
                  <c:v>550828796.41999996</c:v>
                </c:pt>
                <c:pt idx="2">
                  <c:v>515967912.91000003</c:v>
                </c:pt>
                <c:pt idx="3">
                  <c:v>375384580.55000001</c:v>
                </c:pt>
                <c:pt idx="4">
                  <c:v>144895266.88</c:v>
                </c:pt>
                <c:pt idx="5">
                  <c:v>116434462.89</c:v>
                </c:pt>
                <c:pt idx="6">
                  <c:v>58316641.649999999</c:v>
                </c:pt>
                <c:pt idx="7">
                  <c:v>56383081.530000001</c:v>
                </c:pt>
                <c:pt idx="8">
                  <c:v>56320154.850000001</c:v>
                </c:pt>
                <c:pt idx="9">
                  <c:v>43116917.909999996</c:v>
                </c:pt>
                <c:pt idx="10">
                  <c:v>37746099.299999997</c:v>
                </c:pt>
                <c:pt idx="11">
                  <c:v>35256894.43</c:v>
                </c:pt>
                <c:pt idx="12">
                  <c:v>33833867.939999998</c:v>
                </c:pt>
                <c:pt idx="13">
                  <c:v>25720890.359999999</c:v>
                </c:pt>
                <c:pt idx="14">
                  <c:v>25142623.120000001</c:v>
                </c:pt>
                <c:pt idx="15">
                  <c:v>20702862.210000001</c:v>
                </c:pt>
                <c:pt idx="16">
                  <c:v>20373302.309999999</c:v>
                </c:pt>
                <c:pt idx="17">
                  <c:v>17521844.030000001</c:v>
                </c:pt>
                <c:pt idx="18">
                  <c:v>7422015.5999999996</c:v>
                </c:pt>
                <c:pt idx="19">
                  <c:v>3173415.12</c:v>
                </c:pt>
                <c:pt idx="20">
                  <c:v>2015554.32</c:v>
                </c:pt>
              </c:numCache>
            </c:numRef>
          </c:val>
        </c:ser>
        <c:dLbls>
          <c:showLegendKey val="0"/>
          <c:showVal val="0"/>
          <c:showCatName val="0"/>
          <c:showSerName val="0"/>
          <c:showPercent val="0"/>
          <c:showBubbleSize val="0"/>
        </c:dLbls>
        <c:gapWidth val="36"/>
        <c:shape val="cylinder"/>
        <c:axId val="411732688"/>
        <c:axId val="411733080"/>
        <c:axId val="0"/>
      </c:bar3DChart>
      <c:catAx>
        <c:axId val="411732688"/>
        <c:scaling>
          <c:orientation val="minMax"/>
        </c:scaling>
        <c:delete val="0"/>
        <c:axPos val="l"/>
        <c:numFmt formatCode="General" sourceLinked="1"/>
        <c:majorTickMark val="none"/>
        <c:minorTickMark val="none"/>
        <c:tickLblPos val="nextTo"/>
        <c:txPr>
          <a:bodyPr rot="-2700000" vert="horz"/>
          <a:lstStyle/>
          <a:p>
            <a:pPr>
              <a:defRPr lang="en-US" sz="1200"/>
            </a:pPr>
            <a:endParaRPr lang="es-ES"/>
          </a:p>
        </c:txPr>
        <c:crossAx val="411733080"/>
        <c:crosses val="autoZero"/>
        <c:auto val="1"/>
        <c:lblAlgn val="ctr"/>
        <c:lblOffset val="100"/>
        <c:noMultiLvlLbl val="0"/>
      </c:catAx>
      <c:valAx>
        <c:axId val="411733080"/>
        <c:scaling>
          <c:orientation val="minMax"/>
        </c:scaling>
        <c:delete val="1"/>
        <c:axPos val="b"/>
        <c:numFmt formatCode="_(* #,##0.00_);_(* \(#,##0.00\);_(* &quot;-&quot;??_);_(@_)" sourceLinked="1"/>
        <c:majorTickMark val="out"/>
        <c:minorTickMark val="none"/>
        <c:tickLblPos val="nextTo"/>
        <c:crossAx val="411732688"/>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13795873622936816"/>
          <c:y val="3.8034541978548976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80"/>
      <c:rotY val="0"/>
      <c:depthPercent val="100"/>
      <c:rAngAx val="0"/>
      <c:perspective val="4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348617364515121"/>
          <c:y val="0.26844189874565599"/>
          <c:w val="0.64802714393325833"/>
          <c:h val="0.58227730792910148"/>
        </c:manualLayout>
      </c:layout>
      <c:pie3DChart>
        <c:varyColors val="1"/>
        <c:ser>
          <c:idx val="0"/>
          <c:order val="0"/>
          <c:tx>
            <c:strRef>
              <c:f>'IV.2.6.INV_SFS x Entidad'!$B$3</c:f>
              <c:strCache>
                <c:ptCount val="1"/>
                <c:pt idx="0">
                  <c:v> Total Invertido</c:v>
                </c:pt>
              </c:strCache>
            </c:strRef>
          </c:tx>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2.0648969470092163E-2"/>
                  <c:y val="1.361693092085707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69FC51D7-008F-45FB-99F5-F81D6CD89F71}" type="CATEGORYNAME">
                      <a:rPr lang="en-US"/>
                      <a:pPr>
                        <a:defRPr sz="1600"/>
                      </a:pPr>
                      <a:t>[NOMBRE DE CATEGORÍA]</a:t>
                    </a:fld>
                    <a:r>
                      <a:rPr lang="en-US" baseline="0"/>
                      <a:t> </a:t>
                    </a:r>
                    <a:fld id="{4A878F0E-3D82-459D-950D-C453455DD7B7}" type="VALUE">
                      <a:rPr lang="en-US" baseline="0"/>
                      <a:pPr>
                        <a:defRPr sz="1600"/>
                      </a:pPr>
                      <a:t>[VALOR]</a:t>
                    </a:fld>
                    <a:r>
                      <a:rPr lang="en-US" baseline="0"/>
                      <a:t>                           </a:t>
                    </a:r>
                    <a:fld id="{BE657A84-49A8-4FE6-A878-CFA2AA25F128}" type="PERCENTAGE">
                      <a:rPr lang="en-US" baseline="0"/>
                      <a:pPr>
                        <a:defRPr sz="1600"/>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2777032752842565E-2"/>
                  <c:y val="4.544528155449888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fld id="{ABD0B146-B642-43C8-8059-94A42F071D48}" type="CATEGORYNAME">
                      <a:rPr lang="en-US">
                        <a:solidFill>
                          <a:srgbClr val="FF0000"/>
                        </a:solidFill>
                      </a:rPr>
                      <a:pPr>
                        <a:defRPr sz="1600">
                          <a:solidFill>
                            <a:srgbClr val="FF0000"/>
                          </a:solidFill>
                        </a:defRPr>
                      </a:pPr>
                      <a:t>[NOMBRE DE CATEGORÍA]</a:t>
                    </a:fld>
                    <a:endParaRPr lang="en-US" baseline="0">
                      <a:solidFill>
                        <a:srgbClr val="FF0000"/>
                      </a:solidFill>
                    </a:endParaRPr>
                  </a:p>
                  <a:p>
                    <a:pPr>
                      <a:defRPr sz="1600">
                        <a:solidFill>
                          <a:srgbClr val="FF0000"/>
                        </a:solidFill>
                      </a:defRPr>
                    </a:pPr>
                    <a:r>
                      <a:rPr lang="en-US" baseline="0">
                        <a:solidFill>
                          <a:srgbClr val="FF0000"/>
                        </a:solidFill>
                      </a:rPr>
                      <a:t> </a:t>
                    </a:r>
                    <a:fld id="{630034AB-1033-4150-9C1B-76AD66DD4F05}" type="VALUE">
                      <a:rPr lang="en-US" baseline="0">
                        <a:solidFill>
                          <a:srgbClr val="FF0000"/>
                        </a:solidFill>
                      </a:rPr>
                      <a:pPr>
                        <a:defRPr sz="1600">
                          <a:solidFill>
                            <a:srgbClr val="FF0000"/>
                          </a:solidFill>
                        </a:defRPr>
                      </a:pPr>
                      <a:t>[VALOR]</a:t>
                    </a:fld>
                    <a:r>
                      <a:rPr lang="en-US" baseline="0">
                        <a:solidFill>
                          <a:srgbClr val="FF0000"/>
                        </a:solidFill>
                      </a:rPr>
                      <a:t>                   </a:t>
                    </a:r>
                    <a:fld id="{9229A1F0-15E0-46E8-B346-CB07C75DBB39}" type="PERCENTAGE">
                      <a:rPr lang="en-US" baseline="0">
                        <a:solidFill>
                          <a:srgbClr val="FF0000"/>
                        </a:solidFill>
                      </a:rPr>
                      <a:pPr>
                        <a:defRPr sz="1600">
                          <a:solidFill>
                            <a:srgbClr val="FF0000"/>
                          </a:solidFill>
                        </a:defRPr>
                      </a:pPr>
                      <a:t>[PORCENTAJE]</a:t>
                    </a:fld>
                    <a:endParaRPr lang="en-US" baseline="0">
                      <a:solidFill>
                        <a:srgbClr val="FF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4.257004553179064E-2"/>
                  <c:y val="-2.678556781962832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fld id="{A04CF839-85CE-415B-9164-6FD88C171D56}" type="CATEGORYNAME">
                      <a:rPr lang="en-US">
                        <a:solidFill>
                          <a:schemeClr val="accent3">
                            <a:lumMod val="50000"/>
                          </a:schemeClr>
                        </a:solidFill>
                      </a:rPr>
                      <a:pPr>
                        <a:defRPr sz="1600">
                          <a:solidFill>
                            <a:schemeClr val="accent3">
                              <a:lumMod val="50000"/>
                            </a:schemeClr>
                          </a:solidFill>
                        </a:defRPr>
                      </a:pPr>
                      <a:t>[NOMBRE DE CATEGORÍA]</a:t>
                    </a:fld>
                    <a:r>
                      <a:rPr lang="en-US" baseline="0">
                        <a:solidFill>
                          <a:schemeClr val="accent3">
                            <a:lumMod val="50000"/>
                          </a:schemeClr>
                        </a:solidFill>
                      </a:rPr>
                      <a:t> </a:t>
                    </a:r>
                  </a:p>
                  <a:p>
                    <a:pPr>
                      <a:defRPr sz="1600">
                        <a:solidFill>
                          <a:schemeClr val="accent3">
                            <a:lumMod val="50000"/>
                          </a:schemeClr>
                        </a:solidFill>
                      </a:defRPr>
                    </a:pPr>
                    <a:fld id="{4D8B5E52-A18B-46C8-B149-68C38E2F4127}" type="VALUE">
                      <a:rPr lang="en-US" baseline="0">
                        <a:solidFill>
                          <a:schemeClr val="accent3">
                            <a:lumMod val="50000"/>
                          </a:schemeClr>
                        </a:solidFill>
                      </a:rPr>
                      <a:pPr>
                        <a:defRPr sz="1600">
                          <a:solidFill>
                            <a:schemeClr val="accent3">
                              <a:lumMod val="50000"/>
                            </a:schemeClr>
                          </a:solidFill>
                        </a:defRPr>
                      </a:pPr>
                      <a:t>[VALOR]</a:t>
                    </a:fld>
                    <a:r>
                      <a:rPr lang="en-US" baseline="0">
                        <a:solidFill>
                          <a:schemeClr val="accent3">
                            <a:lumMod val="50000"/>
                          </a:schemeClr>
                        </a:solidFill>
                      </a:rPr>
                      <a:t> </a:t>
                    </a:r>
                  </a:p>
                  <a:p>
                    <a:pPr>
                      <a:defRPr sz="1600">
                        <a:solidFill>
                          <a:schemeClr val="accent3">
                            <a:lumMod val="50000"/>
                          </a:schemeClr>
                        </a:solidFill>
                      </a:defRPr>
                    </a:pPr>
                    <a:r>
                      <a:rPr lang="en-US">
                        <a:solidFill>
                          <a:schemeClr val="accent3">
                            <a:lumMod val="50000"/>
                          </a:schemeClr>
                        </a:solidFill>
                      </a:rPr>
                      <a:t>16.25%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1.5961084334293482E-2"/>
                  <c:y val="-0.19619346406738375"/>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4">
                            <a:lumMod val="75000"/>
                          </a:schemeClr>
                        </a:solidFill>
                        <a:latin typeface="+mn-lt"/>
                        <a:ea typeface="+mn-ea"/>
                        <a:cs typeface="+mn-cs"/>
                      </a:defRPr>
                    </a:pPr>
                    <a:fld id="{7C567E8B-38C9-434D-AE8C-92E10E587420}" type="CATEGORYNAME">
                      <a:rPr lang="en-US">
                        <a:solidFill>
                          <a:schemeClr val="accent4">
                            <a:lumMod val="75000"/>
                          </a:schemeClr>
                        </a:solidFill>
                      </a:rPr>
                      <a:pPr>
                        <a:defRPr sz="1600">
                          <a:solidFill>
                            <a:schemeClr val="accent4">
                              <a:lumMod val="75000"/>
                            </a:schemeClr>
                          </a:solidFill>
                        </a:defRPr>
                      </a:pPr>
                      <a:t>[NOMBRE DE CATEGORÍA]</a:t>
                    </a:fld>
                    <a:r>
                      <a:rPr lang="en-US" baseline="0">
                        <a:solidFill>
                          <a:schemeClr val="accent4">
                            <a:lumMod val="75000"/>
                          </a:schemeClr>
                        </a:solidFill>
                      </a:rPr>
                      <a:t> </a:t>
                    </a:r>
                    <a:fld id="{E5C8E838-5A9D-4E53-8608-49369CFE8A74}" type="VALUE">
                      <a:rPr lang="en-US" baseline="0">
                        <a:solidFill>
                          <a:schemeClr val="accent4">
                            <a:lumMod val="75000"/>
                          </a:schemeClr>
                        </a:solidFill>
                      </a:rPr>
                      <a:pPr>
                        <a:defRPr sz="1600">
                          <a:solidFill>
                            <a:schemeClr val="accent4">
                              <a:lumMod val="75000"/>
                            </a:schemeClr>
                          </a:solidFill>
                        </a:defRPr>
                      </a:pPr>
                      <a:t>[VALOR]</a:t>
                    </a:fld>
                    <a:r>
                      <a:rPr lang="en-US" baseline="0">
                        <a:solidFill>
                          <a:schemeClr val="accent4">
                            <a:lumMod val="75000"/>
                          </a:schemeClr>
                        </a:solidFill>
                      </a:rPr>
                      <a:t>                                </a:t>
                    </a:r>
                    <a:fld id="{97EEF8A3-1C64-4F7B-B640-9CBC763BDAE0}" type="PERCENTAGE">
                      <a:rPr lang="en-US" baseline="0">
                        <a:solidFill>
                          <a:schemeClr val="accent4">
                            <a:lumMod val="75000"/>
                          </a:schemeClr>
                        </a:solidFill>
                      </a:rPr>
                      <a:pPr>
                        <a:defRPr sz="1600">
                          <a:solidFill>
                            <a:schemeClr val="accent4">
                              <a:lumMod val="75000"/>
                            </a:schemeClr>
                          </a:solidFill>
                        </a:defRPr>
                      </a:pPr>
                      <a:t>[PORCENTAJE]</a:t>
                    </a:fld>
                    <a:endParaRPr lang="en-US" baseline="0">
                      <a:solidFill>
                        <a:schemeClr val="accent4">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4">
                          <a:lumMod val="75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0.17345134354877417"/>
                  <c:y val="-7.666667672791033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'IV.2.6.INV_SFS x Entidad'!$A$4:$A$8</c:f>
              <c:strCache>
                <c:ptCount val="5"/>
                <c:pt idx="0">
                  <c:v>Certificados Financieros</c:v>
                </c:pt>
                <c:pt idx="1">
                  <c:v>Títulos Desmaterializados del BC</c:v>
                </c:pt>
                <c:pt idx="2">
                  <c:v>Inversión Renta de valores</c:v>
                </c:pt>
                <c:pt idx="3">
                  <c:v>Depositos Flexibles</c:v>
                </c:pt>
                <c:pt idx="4">
                  <c:v>Títulos Desmaterializados de Pacto de Recompra (REPO)</c:v>
                </c:pt>
              </c:strCache>
            </c:strRef>
          </c:cat>
          <c:val>
            <c:numRef>
              <c:f>'IV.2.6.INV_SFS x Entidad'!$B$4:$B$8</c:f>
              <c:numCache>
                <c:formatCode>_(* #,##0.00_);_(* \(#,##0.00\);_(* "-"??_);_(@_)</c:formatCode>
                <c:ptCount val="5"/>
                <c:pt idx="0">
                  <c:v>3868741907.7800002</c:v>
                </c:pt>
                <c:pt idx="1">
                  <c:v>800000000</c:v>
                </c:pt>
                <c:pt idx="2">
                  <c:v>30000000</c:v>
                </c:pt>
                <c:pt idx="3">
                  <c:v>20000000</c:v>
                </c:pt>
                <c:pt idx="4">
                  <c:v>1684373384.52</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a:t>Distribución de Fondos del SFS del RC en Certificados Financieros</a:t>
            </a:r>
          </a:p>
        </c:rich>
      </c:tx>
      <c:layout>
        <c:manualLayout>
          <c:xMode val="edge"/>
          <c:yMode val="edge"/>
          <c:x val="0.20235244601528096"/>
          <c:y val="4.1609730888462454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6469644431065208"/>
          <c:y val="0.31758797462459154"/>
          <c:w val="0.6128951724177617"/>
          <c:h val="0.5321113615829387"/>
        </c:manualLayout>
      </c:layout>
      <c:pie3DChart>
        <c:varyColors val="1"/>
        <c:ser>
          <c:idx val="0"/>
          <c:order val="0"/>
          <c:explosion val="31"/>
          <c:dPt>
            <c:idx val="1"/>
            <c:bubble3D val="0"/>
            <c:spPr>
              <a:solidFill>
                <a:schemeClr val="accent6">
                  <a:lumMod val="75000"/>
                </a:schemeClr>
              </a:solidFill>
            </c:spPr>
          </c:dPt>
          <c:dPt>
            <c:idx val="2"/>
            <c:bubble3D val="0"/>
            <c:spPr>
              <a:solidFill>
                <a:schemeClr val="accent3">
                  <a:lumMod val="50000"/>
                </a:schemeClr>
              </a:solidFill>
            </c:spPr>
          </c:dPt>
          <c:dLbls>
            <c:dLbl>
              <c:idx val="0"/>
              <c:layout>
                <c:manualLayout>
                  <c:x val="-2.5694001168125865E-2"/>
                  <c:y val="2.8320596829309517E-2"/>
                </c:manualLayout>
              </c:layout>
              <c:tx>
                <c:rich>
                  <a:bodyPr wrap="square" lIns="38100" tIns="19050" rIns="38100" bIns="19050" anchor="ctr">
                    <a:spAutoFit/>
                  </a:bodyPr>
                  <a:lstStyle/>
                  <a:p>
                    <a:pPr>
                      <a:defRPr sz="1600" b="1">
                        <a:solidFill>
                          <a:schemeClr val="accent5">
                            <a:lumMod val="75000"/>
                          </a:schemeClr>
                        </a:solidFill>
                      </a:defRPr>
                    </a:pPr>
                    <a:fld id="{73A698BE-4C2C-4B87-A27B-E3D691075888}" type="CATEGORYNAME">
                      <a:rPr lang="en-US" sz="1600" b="1">
                        <a:solidFill>
                          <a:schemeClr val="accent5">
                            <a:lumMod val="75000"/>
                          </a:schemeClr>
                        </a:solidFill>
                      </a:rPr>
                      <a:pPr>
                        <a:defRPr sz="1600" b="1">
                          <a:solidFill>
                            <a:schemeClr val="accent5">
                              <a:lumMod val="75000"/>
                            </a:schemeClr>
                          </a:solidFill>
                        </a:defRPr>
                      </a:pPr>
                      <a:t>[NOMBRE DE CATEGORÍA]</a:t>
                    </a:fld>
                    <a:r>
                      <a:rPr lang="en-US" sz="1600" b="1" baseline="0">
                        <a:solidFill>
                          <a:schemeClr val="accent5">
                            <a:lumMod val="75000"/>
                          </a:schemeClr>
                        </a:solidFill>
                      </a:rPr>
                      <a:t> </a:t>
                    </a:r>
                    <a:fld id="{96E559AF-91C2-4911-93E1-6A04DC386639}" type="VALUE">
                      <a:rPr lang="en-US" sz="1600" b="1" baseline="0">
                        <a:solidFill>
                          <a:schemeClr val="accent5">
                            <a:lumMod val="75000"/>
                          </a:schemeClr>
                        </a:solidFill>
                      </a:rPr>
                      <a:pPr>
                        <a:defRPr sz="1600" b="1">
                          <a:solidFill>
                            <a:schemeClr val="accent5">
                              <a:lumMod val="75000"/>
                            </a:schemeClr>
                          </a:solidFill>
                        </a:defRPr>
                      </a:pPr>
                      <a:t>[VALOR]</a:t>
                    </a:fld>
                    <a:endParaRPr lang="en-US" sz="1600" b="1" baseline="0">
                      <a:solidFill>
                        <a:schemeClr val="accent5">
                          <a:lumMod val="75000"/>
                        </a:schemeClr>
                      </a:solidFill>
                    </a:endParaRPr>
                  </a:p>
                  <a:p>
                    <a:pPr>
                      <a:defRPr sz="1600" b="1">
                        <a:solidFill>
                          <a:schemeClr val="accent5">
                            <a:lumMod val="75000"/>
                          </a:schemeClr>
                        </a:solidFill>
                      </a:defRPr>
                    </a:pPr>
                    <a:r>
                      <a:rPr lang="en-US" sz="1600" b="1" baseline="0">
                        <a:solidFill>
                          <a:schemeClr val="accent5">
                            <a:lumMod val="75000"/>
                          </a:schemeClr>
                        </a:solidFill>
                      </a:rPr>
                      <a:t> </a:t>
                    </a:r>
                    <a:fld id="{302B6464-47A8-40E6-8A72-953E7E7F7668}" type="PERCENTAGE">
                      <a:rPr lang="en-US" sz="1600" b="1" baseline="0">
                        <a:solidFill>
                          <a:schemeClr val="accent5">
                            <a:lumMod val="75000"/>
                          </a:schemeClr>
                        </a:solidFill>
                      </a:rPr>
                      <a:pPr>
                        <a:defRPr sz="1600" b="1">
                          <a:solidFill>
                            <a:schemeClr val="accent5">
                              <a:lumMod val="75000"/>
                            </a:schemeClr>
                          </a:solidFill>
                        </a:defRPr>
                      </a:pPr>
                      <a:t>[PORCENTAJE]</a:t>
                    </a:fld>
                    <a:endParaRPr lang="en-US" sz="1600" b="1" baseline="0">
                      <a:solidFill>
                        <a:schemeClr val="accent5">
                          <a:lumMod val="75000"/>
                        </a:schemeClr>
                      </a:solidFill>
                    </a:endParaRP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6440417976972056E-2"/>
                  <c:y val="2.8683251595743538E-2"/>
                </c:manualLayout>
              </c:layout>
              <c:tx>
                <c:rich>
                  <a:bodyPr wrap="square" lIns="38100" tIns="19050" rIns="38100" bIns="19050" anchor="ctr">
                    <a:spAutoFit/>
                  </a:bodyPr>
                  <a:lstStyle/>
                  <a:p>
                    <a:pPr>
                      <a:defRPr sz="1600" b="1">
                        <a:solidFill>
                          <a:schemeClr val="accent6">
                            <a:lumMod val="75000"/>
                          </a:schemeClr>
                        </a:solidFill>
                      </a:defRPr>
                    </a:pPr>
                    <a:fld id="{871483A1-02F7-4F9B-893C-0365FD9D2AD1}" type="CATEGORYNAME">
                      <a:rPr lang="en-US" sz="1600" b="1">
                        <a:solidFill>
                          <a:schemeClr val="accent6">
                            <a:lumMod val="75000"/>
                          </a:schemeClr>
                        </a:solidFill>
                      </a:rPr>
                      <a:pPr>
                        <a:defRPr sz="1600" b="1">
                          <a:solidFill>
                            <a:schemeClr val="accent6">
                              <a:lumMod val="75000"/>
                            </a:schemeClr>
                          </a:solidFill>
                        </a:defRPr>
                      </a:pPr>
                      <a:t>[NOMBRE DE CATEGORÍA]</a:t>
                    </a:fld>
                    <a:r>
                      <a:rPr lang="en-US" sz="1600" b="1" baseline="0">
                        <a:solidFill>
                          <a:schemeClr val="accent6">
                            <a:lumMod val="75000"/>
                          </a:schemeClr>
                        </a:solidFill>
                      </a:rPr>
                      <a:t> </a:t>
                    </a:r>
                    <a:fld id="{EAE5D7E7-8F4A-40F6-842D-8681081E0FC9}" type="VALUE">
                      <a:rPr lang="en-US" sz="1600" b="1" baseline="0">
                        <a:solidFill>
                          <a:schemeClr val="accent6">
                            <a:lumMod val="75000"/>
                          </a:schemeClr>
                        </a:solidFill>
                      </a:rPr>
                      <a:pPr>
                        <a:defRPr sz="1600" b="1">
                          <a:solidFill>
                            <a:schemeClr val="accent6">
                              <a:lumMod val="75000"/>
                            </a:schemeClr>
                          </a:solidFill>
                        </a:defRPr>
                      </a:pPr>
                      <a:t>[VALOR]</a:t>
                    </a:fld>
                    <a:r>
                      <a:rPr lang="en-US" sz="1600" b="1" baseline="0">
                        <a:solidFill>
                          <a:schemeClr val="accent6">
                            <a:lumMod val="75000"/>
                          </a:schemeClr>
                        </a:solidFill>
                      </a:rPr>
                      <a:t> </a:t>
                    </a:r>
                  </a:p>
                  <a:p>
                    <a:pPr>
                      <a:defRPr sz="1600" b="1">
                        <a:solidFill>
                          <a:schemeClr val="accent6">
                            <a:lumMod val="75000"/>
                          </a:schemeClr>
                        </a:solidFill>
                      </a:defRPr>
                    </a:pPr>
                    <a:r>
                      <a:rPr lang="en-US" sz="1600"/>
                      <a:t>11.78%</a:t>
                    </a: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8.8689113699913238E-2"/>
                  <c:y val="-9.2911678192930548E-3"/>
                </c:manualLayout>
              </c:layout>
              <c:tx>
                <c:rich>
                  <a:bodyPr wrap="square" lIns="38100" tIns="19050" rIns="38100" bIns="19050" anchor="ctr">
                    <a:spAutoFit/>
                  </a:bodyPr>
                  <a:lstStyle/>
                  <a:p>
                    <a:pPr>
                      <a:defRPr sz="1600" b="1">
                        <a:solidFill>
                          <a:schemeClr val="accent3">
                            <a:lumMod val="50000"/>
                          </a:schemeClr>
                        </a:solidFill>
                      </a:defRPr>
                    </a:pPr>
                    <a:fld id="{5288538B-8767-4F0B-B04E-71BA664C8A1C}" type="CATEGORYNAME">
                      <a:rPr lang="en-US" sz="1600" b="1">
                        <a:solidFill>
                          <a:schemeClr val="accent3">
                            <a:lumMod val="50000"/>
                          </a:schemeClr>
                        </a:solidFill>
                      </a:rPr>
                      <a:pPr>
                        <a:defRPr sz="1600" b="1">
                          <a:solidFill>
                            <a:schemeClr val="accent3">
                              <a:lumMod val="50000"/>
                            </a:schemeClr>
                          </a:solidFill>
                        </a:defRPr>
                      </a:pPr>
                      <a:t>[NOMBRE DE CATEGORÍA]</a:t>
                    </a:fld>
                    <a:r>
                      <a:rPr lang="en-US" sz="1600" b="1" baseline="0">
                        <a:solidFill>
                          <a:schemeClr val="accent3">
                            <a:lumMod val="50000"/>
                          </a:schemeClr>
                        </a:solidFill>
                      </a:rPr>
                      <a:t> </a:t>
                    </a:r>
                    <a:fld id="{ADBA7D7E-E120-4427-9FCB-9DBC87E2373D}" type="VALUE">
                      <a:rPr lang="en-US" sz="1600" b="1" baseline="0">
                        <a:solidFill>
                          <a:schemeClr val="accent3">
                            <a:lumMod val="50000"/>
                          </a:schemeClr>
                        </a:solidFill>
                      </a:rPr>
                      <a:pPr>
                        <a:defRPr sz="1600" b="1">
                          <a:solidFill>
                            <a:schemeClr val="accent3">
                              <a:lumMod val="50000"/>
                            </a:schemeClr>
                          </a:solidFill>
                        </a:defRPr>
                      </a:pPr>
                      <a:t>[VALOR]</a:t>
                    </a:fld>
                    <a:r>
                      <a:rPr lang="en-US" sz="1600" b="1" baseline="0">
                        <a:solidFill>
                          <a:schemeClr val="accent3">
                            <a:lumMod val="50000"/>
                          </a:schemeClr>
                        </a:solidFill>
                      </a:rPr>
                      <a:t> </a:t>
                    </a:r>
                  </a:p>
                  <a:p>
                    <a:pPr>
                      <a:defRPr sz="1600" b="1">
                        <a:solidFill>
                          <a:schemeClr val="accent3">
                            <a:lumMod val="50000"/>
                          </a:schemeClr>
                        </a:solidFill>
                      </a:defRPr>
                    </a:pPr>
                    <a:fld id="{CAEBBFE1-85FB-4657-832A-81C8683699E5}" type="PERCENTAGE">
                      <a:rPr lang="en-US" sz="1600" b="1" baseline="0">
                        <a:solidFill>
                          <a:schemeClr val="accent3">
                            <a:lumMod val="50000"/>
                          </a:schemeClr>
                        </a:solidFill>
                      </a:rPr>
                      <a:pPr>
                        <a:defRPr sz="1600" b="1">
                          <a:solidFill>
                            <a:schemeClr val="accent3">
                              <a:lumMod val="50000"/>
                            </a:schemeClr>
                          </a:solidFill>
                        </a:defRPr>
                      </a:pPr>
                      <a:t>[PORCENTAJE]</a:t>
                    </a:fld>
                    <a:endParaRPr lang="es-ES"/>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wrap="square" lIns="38100" tIns="19050" rIns="38100" bIns="19050" anchor="ctr">
                <a:spAutoFit/>
              </a:bodyPr>
              <a:lstStyle/>
              <a:p>
                <a:pPr>
                  <a:defRPr sz="1600"/>
                </a:pPr>
                <a:endParaRPr lang="es-ES"/>
              </a:p>
            </c:txPr>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'IV.2.7.INV_SFS x cuentas'!$A$3:$A$5</c:f>
              <c:strCache>
                <c:ptCount val="3"/>
                <c:pt idx="0">
                  <c:v>Cuidado de la Salud</c:v>
                </c:pt>
                <c:pt idx="1">
                  <c:v>Estancias Infantiles</c:v>
                </c:pt>
                <c:pt idx="2">
                  <c:v>Pensionados de Hacienda</c:v>
                </c:pt>
              </c:strCache>
            </c:strRef>
          </c:cat>
          <c:val>
            <c:numRef>
              <c:f>'IV.2.7.INV_SFS x cuentas'!$B$3:$B$5</c:f>
              <c:numCache>
                <c:formatCode>_(* #,##0.00_);_(* \(#,##0.00\);_(* "-"??_);_(@_)</c:formatCode>
                <c:ptCount val="3"/>
                <c:pt idx="0">
                  <c:v>6403115292.3000011</c:v>
                </c:pt>
                <c:pt idx="1">
                  <c:v>927135368.63</c:v>
                </c:pt>
                <c:pt idx="2">
                  <c:v>147661324.63999999</c:v>
                </c:pt>
              </c:numCache>
            </c:numRef>
          </c:val>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4752111122792823"/>
          <c:y val="2.596259088255886E-2"/>
        </c:manualLayout>
      </c:layout>
      <c:overlay val="0"/>
    </c:title>
    <c:autoTitleDeleted val="0"/>
    <c:plotArea>
      <c:layout>
        <c:manualLayout>
          <c:layoutTarget val="inner"/>
          <c:xMode val="edge"/>
          <c:yMode val="edge"/>
          <c:x val="2.2935268326320288E-2"/>
          <c:y val="0.12867822813318344"/>
          <c:w val="0.89936683500314751"/>
          <c:h val="0.64346232810556125"/>
        </c:manualLayout>
      </c:layout>
      <c:barChart>
        <c:barDir val="col"/>
        <c:grouping val="clustered"/>
        <c:varyColors val="0"/>
        <c:ser>
          <c:idx val="0"/>
          <c:order val="0"/>
          <c:tx>
            <c:strRef>
              <c:f>'IV.2.8.Aport.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Ene-Abr.16</c:v>
                </c:pt>
              </c:strCache>
            </c:strRef>
          </c:cat>
          <c:val>
            <c:numRef>
              <c:f>'IV.2.8.Aport. GOB. y Pagos RS'!$B$4:$B$17</c:f>
              <c:numCache>
                <c:formatCode>#,##0.00_);[Red]\(#,##0.00\)</c:formatCode>
                <c:ptCount val="14"/>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2804479479</c:v>
                </c:pt>
              </c:numCache>
            </c:numRef>
          </c:val>
        </c:ser>
        <c:ser>
          <c:idx val="1"/>
          <c:order val="1"/>
          <c:tx>
            <c:strRef>
              <c:f>'IV.2.8.Aport.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Ene-Abr.16</c:v>
                </c:pt>
              </c:strCache>
            </c:strRef>
          </c:cat>
          <c:val>
            <c:numRef>
              <c:f>'IV.2.8.Aport. GOB. y Pagos RS'!$C$4:$C$17</c:f>
              <c:numCache>
                <c:formatCode>#,##0.00_);[Red]\(#,##0.00\)</c:formatCode>
                <c:ptCount val="14"/>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2706781911.3600001</c:v>
                </c:pt>
              </c:numCache>
            </c:numRef>
          </c:val>
        </c:ser>
        <c:ser>
          <c:idx val="2"/>
          <c:order val="2"/>
          <c:tx>
            <c:strRef>
              <c:f>'IV.2.8.Aport. GOB. y Pagos RS'!$D$3</c:f>
              <c:strCache>
                <c:ptCount val="1"/>
                <c:pt idx="0">
                  <c:v>Saldos</c:v>
                </c:pt>
              </c:strCache>
            </c:strRef>
          </c:tx>
          <c:spPr>
            <a:solidFill>
              <a:srgbClr val="FFC000"/>
            </a:solidFill>
          </c:spPr>
          <c:invertIfNegative val="0"/>
          <c:dPt>
            <c:idx val="1"/>
            <c:invertIfNegative val="0"/>
            <c:bubble3D val="0"/>
          </c:dPt>
          <c:dPt>
            <c:idx val="2"/>
            <c:invertIfNegative val="0"/>
            <c:bubble3D val="0"/>
          </c:dPt>
          <c:dPt>
            <c:idx val="4"/>
            <c:invertIfNegative val="0"/>
            <c:bubble3D val="0"/>
          </c:dPt>
          <c:dPt>
            <c:idx val="5"/>
            <c:invertIfNegative val="0"/>
            <c:bubble3D val="0"/>
          </c:dPt>
          <c:dPt>
            <c:idx val="6"/>
            <c:invertIfNegative val="0"/>
            <c:bubble3D val="0"/>
          </c:dPt>
          <c:dPt>
            <c:idx val="9"/>
            <c:invertIfNegative val="0"/>
            <c:bubble3D val="0"/>
          </c:dPt>
          <c:dPt>
            <c:idx val="10"/>
            <c:invertIfNegative val="0"/>
            <c:bubble3D val="0"/>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Ene-Abr.16</c:v>
                </c:pt>
              </c:strCache>
            </c:strRef>
          </c:cat>
          <c:val>
            <c:numRef>
              <c:f>'IV.2.8.Aport. GOB. y Pagos RS'!$D$4:$D$17</c:f>
              <c:numCache>
                <c:formatCode>#,##0.00_);[Red]\(#,##0.00\)</c:formatCode>
                <c:ptCount val="14"/>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97697567.639999866</c:v>
                </c:pt>
              </c:numCache>
            </c:numRef>
          </c:val>
        </c:ser>
        <c:dLbls>
          <c:showLegendKey val="0"/>
          <c:showVal val="0"/>
          <c:showCatName val="0"/>
          <c:showSerName val="0"/>
          <c:showPercent val="0"/>
          <c:showBubbleSize val="0"/>
        </c:dLbls>
        <c:gapWidth val="75"/>
        <c:overlap val="-25"/>
        <c:axId val="411734256"/>
        <c:axId val="411735040"/>
      </c:barChart>
      <c:catAx>
        <c:axId val="411734256"/>
        <c:scaling>
          <c:orientation val="minMax"/>
        </c:scaling>
        <c:delete val="0"/>
        <c:axPos val="b"/>
        <c:numFmt formatCode="General" sourceLinked="1"/>
        <c:majorTickMark val="none"/>
        <c:minorTickMark val="none"/>
        <c:tickLblPos val="low"/>
        <c:txPr>
          <a:bodyPr/>
          <a:lstStyle/>
          <a:p>
            <a:pPr>
              <a:defRPr sz="1400"/>
            </a:pPr>
            <a:endParaRPr lang="es-ES"/>
          </a:p>
        </c:txPr>
        <c:crossAx val="411735040"/>
        <c:crosses val="autoZero"/>
        <c:auto val="1"/>
        <c:lblAlgn val="ctr"/>
        <c:lblOffset val="100"/>
        <c:noMultiLvlLbl val="0"/>
      </c:catAx>
      <c:valAx>
        <c:axId val="411735040"/>
        <c:scaling>
          <c:orientation val="minMax"/>
        </c:scaling>
        <c:delete val="0"/>
        <c:axPos val="l"/>
        <c:numFmt formatCode="#,##0.00_);[Red]\(#,##0.00\)" sourceLinked="1"/>
        <c:majorTickMark val="none"/>
        <c:minorTickMark val="none"/>
        <c:tickLblPos val="none"/>
        <c:spPr>
          <a:ln w="9525">
            <a:noFill/>
          </a:ln>
        </c:spPr>
        <c:crossAx val="411734256"/>
        <c:crosses val="autoZero"/>
        <c:crossBetween val="midCat"/>
        <c:dispUnits>
          <c:builtInUnit val="millions"/>
          <c:dispUnitsLbl>
            <c:layout>
              <c:manualLayout>
                <c:xMode val="edge"/>
                <c:yMode val="edge"/>
                <c:x val="3.4102336361643616E-3"/>
                <c:y val="0.43641968749756765"/>
              </c:manualLayout>
            </c:layout>
          </c:dispUnitsLbl>
        </c:dispUnits>
      </c:valAx>
    </c:plotArea>
    <c:legend>
      <c:legendPos val="b"/>
      <c:layout>
        <c:manualLayout>
          <c:xMode val="edge"/>
          <c:yMode val="edge"/>
          <c:x val="0.25937440255937677"/>
          <c:y val="0.10825571206629797"/>
          <c:w val="0.46011755411646693"/>
          <c:h val="6.186153322007594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DO" sz="1400" b="1">
                <a:effectLst/>
              </a:rPr>
              <a:t>Seguro Familiar de Salud (SFS) del Régimen Subsidiado (RS)</a:t>
            </a:r>
            <a:endParaRPr lang="es-ES" sz="14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DO" sz="14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ES" sz="1400" b="1" i="0" baseline="0">
                <a:effectLst/>
              </a:rPr>
              <a:t>Millones (RD$)</a:t>
            </a:r>
            <a:endParaRPr lang="es-ES" sz="11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endParaRPr lang="es-ES" sz="1400">
              <a:effectLst/>
            </a:endParaRPr>
          </a:p>
        </c:rich>
      </c:tx>
      <c:layout>
        <c:manualLayout>
          <c:xMode val="edge"/>
          <c:yMode val="edge"/>
          <c:x val="0.30904961698295769"/>
          <c:y val="4.7666575257577753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1.0175709918545888E-2"/>
          <c:y val="0.23276819960895903"/>
          <c:w val="0.97679166331307188"/>
          <c:h val="0.59251074650360236"/>
        </c:manualLayout>
      </c:layout>
      <c:bar3DChart>
        <c:barDir val="col"/>
        <c:grouping val="clustered"/>
        <c:varyColors val="0"/>
        <c:ser>
          <c:idx val="0"/>
          <c:order val="0"/>
          <c:tx>
            <c:strRef>
              <c:f>'IV.2.9.Saldos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 Abr.15 </c:v>
                </c:pt>
                <c:pt idx="1">
                  <c:v> May.15 </c:v>
                </c:pt>
                <c:pt idx="2">
                  <c:v> Jun.15 </c:v>
                </c:pt>
                <c:pt idx="3">
                  <c:v> Jul.15 </c:v>
                </c:pt>
                <c:pt idx="4">
                  <c:v> Ago.15 </c:v>
                </c:pt>
                <c:pt idx="5">
                  <c:v> Sep.15 </c:v>
                </c:pt>
                <c:pt idx="6">
                  <c:v> Oct.15 </c:v>
                </c:pt>
                <c:pt idx="7">
                  <c:v>Nov.15 </c:v>
                </c:pt>
                <c:pt idx="8">
                  <c:v>Dic.15 </c:v>
                </c:pt>
                <c:pt idx="9">
                  <c:v>Ene.16</c:v>
                </c:pt>
                <c:pt idx="10">
                  <c:v>Feb.16</c:v>
                </c:pt>
                <c:pt idx="11">
                  <c:v>Mar.16</c:v>
                </c:pt>
                <c:pt idx="12">
                  <c:v>Abr.16</c:v>
                </c:pt>
              </c:strCache>
            </c:strRef>
          </c:cat>
          <c:val>
            <c:numRef>
              <c:f>'IV.2.9.Saldos RS mensual'!$B$3:$B$15</c:f>
              <c:numCache>
                <c:formatCode>_(* #,##0.00_);_(* \(#,##0.00\);_(* "-"??_);_(@_)</c:formatCode>
                <c:ptCount val="13"/>
                <c:pt idx="0">
                  <c:v>629346479.75</c:v>
                </c:pt>
                <c:pt idx="1">
                  <c:v>629346479.75</c:v>
                </c:pt>
                <c:pt idx="2">
                  <c:v>629346479.75</c:v>
                </c:pt>
                <c:pt idx="3">
                  <c:v>629346479.75</c:v>
                </c:pt>
                <c:pt idx="4">
                  <c:v>629346479.75</c:v>
                </c:pt>
                <c:pt idx="5">
                  <c:v>629346479</c:v>
                </c:pt>
                <c:pt idx="6">
                  <c:v>629346479</c:v>
                </c:pt>
                <c:pt idx="7">
                  <c:v>629346479</c:v>
                </c:pt>
                <c:pt idx="8">
                  <c:v>629346479</c:v>
                </c:pt>
                <c:pt idx="9">
                  <c:v>669346479</c:v>
                </c:pt>
                <c:pt idx="10">
                  <c:v>711711000</c:v>
                </c:pt>
                <c:pt idx="11">
                  <c:v>711711000</c:v>
                </c:pt>
                <c:pt idx="12">
                  <c:v>711711000</c:v>
                </c:pt>
              </c:numCache>
            </c:numRef>
          </c:val>
        </c:ser>
        <c:ser>
          <c:idx val="1"/>
          <c:order val="1"/>
          <c:tx>
            <c:strRef>
              <c:f>'IV.2.9.Saldos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 Abr.15 </c:v>
                </c:pt>
                <c:pt idx="1">
                  <c:v> May.15 </c:v>
                </c:pt>
                <c:pt idx="2">
                  <c:v> Jun.15 </c:v>
                </c:pt>
                <c:pt idx="3">
                  <c:v> Jul.15 </c:v>
                </c:pt>
                <c:pt idx="4">
                  <c:v> Ago.15 </c:v>
                </c:pt>
                <c:pt idx="5">
                  <c:v> Sep.15 </c:v>
                </c:pt>
                <c:pt idx="6">
                  <c:v> Oct.15 </c:v>
                </c:pt>
                <c:pt idx="7">
                  <c:v>Nov.15 </c:v>
                </c:pt>
                <c:pt idx="8">
                  <c:v>Dic.15 </c:v>
                </c:pt>
                <c:pt idx="9">
                  <c:v>Ene.16</c:v>
                </c:pt>
                <c:pt idx="10">
                  <c:v>Feb.16</c:v>
                </c:pt>
                <c:pt idx="11">
                  <c:v>Mar.16</c:v>
                </c:pt>
                <c:pt idx="12">
                  <c:v>Abr.16</c:v>
                </c:pt>
              </c:strCache>
            </c:strRef>
          </c:cat>
          <c:val>
            <c:numRef>
              <c:f>'IV.2.9.Saldos RS mensual'!$C$3:$C$15</c:f>
              <c:numCache>
                <c:formatCode>_(* #,##0.00_);_(* \(#,##0.00\);_(* "-"??_);_(@_)</c:formatCode>
                <c:ptCount val="13"/>
                <c:pt idx="0">
                  <c:v>622706897.10000002</c:v>
                </c:pt>
                <c:pt idx="1">
                  <c:v>622927021.58000004</c:v>
                </c:pt>
                <c:pt idx="2">
                  <c:v>623730106.32000005</c:v>
                </c:pt>
                <c:pt idx="3">
                  <c:v>625066868.48000002</c:v>
                </c:pt>
                <c:pt idx="4">
                  <c:v>628985578.27999997</c:v>
                </c:pt>
                <c:pt idx="5">
                  <c:v>632014000.86000001</c:v>
                </c:pt>
                <c:pt idx="6">
                  <c:v>631627688.05999994</c:v>
                </c:pt>
                <c:pt idx="7">
                  <c:v>634397904.48000002</c:v>
                </c:pt>
                <c:pt idx="8">
                  <c:v>638710250.38</c:v>
                </c:pt>
                <c:pt idx="9">
                  <c:v>681195942.70000005</c:v>
                </c:pt>
                <c:pt idx="10">
                  <c:v>680778701.48000002</c:v>
                </c:pt>
                <c:pt idx="11">
                  <c:v>671867551.84000003</c:v>
                </c:pt>
                <c:pt idx="12">
                  <c:v>672939685.34000003</c:v>
                </c:pt>
              </c:numCache>
            </c:numRef>
          </c:val>
        </c:ser>
        <c:ser>
          <c:idx val="2"/>
          <c:order val="2"/>
          <c:tx>
            <c:strRef>
              <c:f>'IV.2.9.Saldos RS mensual'!$D$2</c:f>
              <c:strCache>
                <c:ptCount val="1"/>
                <c:pt idx="0">
                  <c:v>Saldos</c:v>
                </c:pt>
              </c:strCache>
            </c:strRef>
          </c:tx>
          <c:spPr>
            <a:solidFill>
              <a:srgbClr val="FFC000"/>
            </a:solidFill>
          </c:spPr>
          <c:invertIfNegative val="0"/>
          <c:cat>
            <c:strRef>
              <c:f>'IV.2.9.Saldos RS mensual'!$A$3:$A$15</c:f>
              <c:strCache>
                <c:ptCount val="13"/>
                <c:pt idx="0">
                  <c:v> Abr.15 </c:v>
                </c:pt>
                <c:pt idx="1">
                  <c:v> May.15 </c:v>
                </c:pt>
                <c:pt idx="2">
                  <c:v> Jun.15 </c:v>
                </c:pt>
                <c:pt idx="3">
                  <c:v> Jul.15 </c:v>
                </c:pt>
                <c:pt idx="4">
                  <c:v> Ago.15 </c:v>
                </c:pt>
                <c:pt idx="5">
                  <c:v> Sep.15 </c:v>
                </c:pt>
                <c:pt idx="6">
                  <c:v> Oct.15 </c:v>
                </c:pt>
                <c:pt idx="7">
                  <c:v>Nov.15 </c:v>
                </c:pt>
                <c:pt idx="8">
                  <c:v>Dic.15 </c:v>
                </c:pt>
                <c:pt idx="9">
                  <c:v>Ene.16</c:v>
                </c:pt>
                <c:pt idx="10">
                  <c:v>Feb.16</c:v>
                </c:pt>
                <c:pt idx="11">
                  <c:v>Mar.16</c:v>
                </c:pt>
                <c:pt idx="12">
                  <c:v>Abr.16</c:v>
                </c:pt>
              </c:strCache>
            </c:strRef>
          </c:cat>
          <c:val>
            <c:numRef>
              <c:f>'IV.2.9.Saldos RS mensual'!$D$3:$D$15</c:f>
              <c:numCache>
                <c:formatCode>General</c:formatCode>
                <c:ptCount val="13"/>
                <c:pt idx="0">
                  <c:v>6639582.6499999762</c:v>
                </c:pt>
                <c:pt idx="1">
                  <c:v>6419458.1699999571</c:v>
                </c:pt>
                <c:pt idx="2">
                  <c:v>5616373.4299999475</c:v>
                </c:pt>
                <c:pt idx="3">
                  <c:v>4279611.2699999809</c:v>
                </c:pt>
                <c:pt idx="4">
                  <c:v>360901.47000002861</c:v>
                </c:pt>
                <c:pt idx="5">
                  <c:v>-2667521.8600000143</c:v>
                </c:pt>
                <c:pt idx="6">
                  <c:v>-2281209.0599999428</c:v>
                </c:pt>
                <c:pt idx="7">
                  <c:v>-5051425.4800000191</c:v>
                </c:pt>
                <c:pt idx="8">
                  <c:v>-9363771.3799999952</c:v>
                </c:pt>
                <c:pt idx="9">
                  <c:v>-11849463.700000048</c:v>
                </c:pt>
                <c:pt idx="10">
                  <c:v>30932298.519999981</c:v>
                </c:pt>
                <c:pt idx="11">
                  <c:v>39843448.159999967</c:v>
                </c:pt>
                <c:pt idx="12">
                  <c:v>38771314.659999967</c:v>
                </c:pt>
              </c:numCache>
            </c:numRef>
          </c:val>
        </c:ser>
        <c:dLbls>
          <c:showLegendKey val="0"/>
          <c:showVal val="0"/>
          <c:showCatName val="0"/>
          <c:showSerName val="0"/>
          <c:showPercent val="0"/>
          <c:showBubbleSize val="0"/>
        </c:dLbls>
        <c:gapWidth val="75"/>
        <c:shape val="cylinder"/>
        <c:axId val="411735824"/>
        <c:axId val="411736216"/>
        <c:axId val="0"/>
      </c:bar3DChart>
      <c:catAx>
        <c:axId val="411735824"/>
        <c:scaling>
          <c:orientation val="minMax"/>
        </c:scaling>
        <c:delete val="0"/>
        <c:axPos val="b"/>
        <c:numFmt formatCode="mmm\-yy" sourceLinked="0"/>
        <c:majorTickMark val="none"/>
        <c:minorTickMark val="none"/>
        <c:tickLblPos val="low"/>
        <c:txPr>
          <a:bodyPr/>
          <a:lstStyle/>
          <a:p>
            <a:pPr>
              <a:defRPr lang="en-US" sz="1600"/>
            </a:pPr>
            <a:endParaRPr lang="es-ES"/>
          </a:p>
        </c:txPr>
        <c:crossAx val="411736216"/>
        <c:crosses val="autoZero"/>
        <c:auto val="1"/>
        <c:lblAlgn val="ctr"/>
        <c:lblOffset val="100"/>
        <c:noMultiLvlLbl val="1"/>
      </c:catAx>
      <c:valAx>
        <c:axId val="411736216"/>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s-ES"/>
          </a:p>
        </c:txPr>
        <c:crossAx val="411735824"/>
        <c:crosses val="autoZero"/>
        <c:crossBetween val="between"/>
        <c:dispUnits>
          <c:builtInUnit val="millions"/>
        </c:dispUnits>
      </c:valAx>
      <c:spPr>
        <a:noFill/>
        <a:ln w="25400">
          <a:noFill/>
        </a:ln>
      </c:spPr>
    </c:plotArea>
    <c:legend>
      <c:legendPos val="b"/>
      <c:layout>
        <c:manualLayout>
          <c:xMode val="edge"/>
          <c:yMode val="edge"/>
          <c:x val="0.30106671605003188"/>
          <c:y val="0.17919920889588506"/>
          <c:w val="0.35389992379984758"/>
          <c:h val="4.9493817080081687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48967594128"/>
          <c:y val="1.820544602785929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9.9819785058709296E-2"/>
          <c:y val="0.12432171064755004"/>
          <c:w val="0.82493531097363615"/>
          <c:h val="0.65156805068878654"/>
        </c:manualLayout>
      </c:layout>
      <c:barChart>
        <c:barDir val="bar"/>
        <c:grouping val="clustered"/>
        <c:varyColors val="0"/>
        <c:ser>
          <c:idx val="0"/>
          <c:order val="0"/>
          <c:tx>
            <c:strRef>
              <c:f>'IV.2.10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Pens.'!$A$7:$A$13</c:f>
              <c:strCache>
                <c:ptCount val="7"/>
                <c:pt idx="0">
                  <c:v>Jul. 2010</c:v>
                </c:pt>
                <c:pt idx="1">
                  <c:v>2011</c:v>
                </c:pt>
                <c:pt idx="2">
                  <c:v>2012</c:v>
                </c:pt>
                <c:pt idx="3">
                  <c:v>2013</c:v>
                </c:pt>
                <c:pt idx="4">
                  <c:v>2014</c:v>
                </c:pt>
                <c:pt idx="5">
                  <c:v>2015</c:v>
                </c:pt>
                <c:pt idx="6">
                  <c:v>Ene-Abr. 2016</c:v>
                </c:pt>
              </c:strCache>
            </c:strRef>
          </c:cat>
          <c:val>
            <c:numRef>
              <c:f>'IV.2.10 Pagos.SFS Pens.'!$B$7:$B$13</c:f>
              <c:numCache>
                <c:formatCode>#,##0.00</c:formatCode>
                <c:ptCount val="7"/>
                <c:pt idx="0">
                  <c:v>115952658.19999999</c:v>
                </c:pt>
                <c:pt idx="1">
                  <c:v>291946073.39999998</c:v>
                </c:pt>
                <c:pt idx="2">
                  <c:v>331635794.92000002</c:v>
                </c:pt>
                <c:pt idx="3">
                  <c:v>333800248.55999994</c:v>
                </c:pt>
                <c:pt idx="4">
                  <c:v>329249337.19999999</c:v>
                </c:pt>
                <c:pt idx="5">
                  <c:v>335652778.95999998</c:v>
                </c:pt>
                <c:pt idx="6">
                  <c:v>111188929.28</c:v>
                </c:pt>
              </c:numCache>
            </c:numRef>
          </c:val>
        </c:ser>
        <c:dLbls>
          <c:showLegendKey val="0"/>
          <c:showVal val="0"/>
          <c:showCatName val="0"/>
          <c:showSerName val="0"/>
          <c:showPercent val="0"/>
          <c:showBubbleSize val="0"/>
        </c:dLbls>
        <c:gapWidth val="80"/>
        <c:overlap val="-100"/>
        <c:axId val="411737000"/>
        <c:axId val="411737392"/>
      </c:barChart>
      <c:catAx>
        <c:axId val="411737000"/>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411737392"/>
        <c:crosses val="autoZero"/>
        <c:auto val="1"/>
        <c:lblAlgn val="ctr"/>
        <c:lblOffset val="100"/>
        <c:noMultiLvlLbl val="0"/>
      </c:catAx>
      <c:valAx>
        <c:axId val="411737392"/>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4117370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n-US" sz="2000">
                <a:solidFill>
                  <a:sysClr val="windowText" lastClr="000000"/>
                </a:solidFill>
              </a:rPr>
              <a:t>Pagos Mensuales del SFSP por ARS</a:t>
            </a:r>
          </a:p>
        </c:rich>
      </c:tx>
      <c:layout>
        <c:manualLayout>
          <c:xMode val="edge"/>
          <c:yMode val="edge"/>
          <c:x val="0.35121723513479502"/>
          <c:y val="2.660852172449605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ES"/>
        </a:p>
      </c:txPr>
    </c:title>
    <c:autoTitleDeleted val="0"/>
    <c:view3D>
      <c:rotX val="1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5265494815132219E-2"/>
          <c:y val="0.30357748569817183"/>
          <c:w val="0.91697594960347306"/>
          <c:h val="0.46933719040229666"/>
        </c:manualLayout>
      </c:layout>
      <c:bar3DChart>
        <c:barDir val="col"/>
        <c:grouping val="clustered"/>
        <c:varyColors val="0"/>
        <c:ser>
          <c:idx val="1"/>
          <c:order val="0"/>
          <c:tx>
            <c:strRef>
              <c:f>'IV.2.11.Pagos.SFS Pens.Mens.'!$C$6</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FF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Abr.15 </c:v>
                </c:pt>
                <c:pt idx="1">
                  <c:v> May.15 </c:v>
                </c:pt>
                <c:pt idx="2">
                  <c:v> Jun.15 </c:v>
                </c:pt>
                <c:pt idx="3">
                  <c:v> Jul.15 </c:v>
                </c:pt>
                <c:pt idx="4">
                  <c:v> Ago.15 </c:v>
                </c:pt>
                <c:pt idx="5">
                  <c:v> Sep.15 </c:v>
                </c:pt>
                <c:pt idx="6">
                  <c:v> Oct.15 </c:v>
                </c:pt>
                <c:pt idx="7">
                  <c:v>Nov.15 </c:v>
                </c:pt>
                <c:pt idx="8">
                  <c:v>Dic.15 </c:v>
                </c:pt>
                <c:pt idx="9">
                  <c:v>Ene.16</c:v>
                </c:pt>
                <c:pt idx="10">
                  <c:v>Feb.16</c:v>
                </c:pt>
                <c:pt idx="11">
                  <c:v>Mar. 16</c:v>
                </c:pt>
                <c:pt idx="12">
                  <c:v>Abr. 16</c:v>
                </c:pt>
              </c:strCache>
            </c:strRef>
          </c:cat>
          <c:val>
            <c:numRef>
              <c:f>'IV.2.11.Pagos.SFS Pens.Mens.'!$C$7:$C$19</c:f>
              <c:numCache>
                <c:formatCode>#,##0.00</c:formatCode>
                <c:ptCount val="13"/>
                <c:pt idx="0">
                  <c:v>3526594.24</c:v>
                </c:pt>
                <c:pt idx="1">
                  <c:v>3551846.04</c:v>
                </c:pt>
                <c:pt idx="2">
                  <c:v>3565554.16</c:v>
                </c:pt>
                <c:pt idx="3">
                  <c:v>3580705.24</c:v>
                </c:pt>
                <c:pt idx="4">
                  <c:v>3618943.68</c:v>
                </c:pt>
                <c:pt idx="5">
                  <c:v>3618943.68</c:v>
                </c:pt>
                <c:pt idx="6">
                  <c:v>3618222.2</c:v>
                </c:pt>
                <c:pt idx="7">
                  <c:v>3621108.1199999973</c:v>
                </c:pt>
                <c:pt idx="8">
                  <c:v>3626879.96</c:v>
                </c:pt>
                <c:pt idx="9">
                  <c:v>3629044.4</c:v>
                </c:pt>
                <c:pt idx="10">
                  <c:v>3626879.96</c:v>
                </c:pt>
                <c:pt idx="11">
                  <c:v>3637702.16</c:v>
                </c:pt>
                <c:pt idx="12">
                  <c:v>3601628.16</c:v>
                </c:pt>
              </c:numCache>
            </c:numRef>
          </c:val>
        </c:ser>
        <c:ser>
          <c:idx val="0"/>
          <c:order val="1"/>
          <c:tx>
            <c:strRef>
              <c:f>'IV.2.11.Pagos.SFS Pens.Mens.'!$B$6</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0070C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Abr.15 </c:v>
                </c:pt>
                <c:pt idx="1">
                  <c:v> May.15 </c:v>
                </c:pt>
                <c:pt idx="2">
                  <c:v> Jun.15 </c:v>
                </c:pt>
                <c:pt idx="3">
                  <c:v> Jul.15 </c:v>
                </c:pt>
                <c:pt idx="4">
                  <c:v> Ago.15 </c:v>
                </c:pt>
                <c:pt idx="5">
                  <c:v> Sep.15 </c:v>
                </c:pt>
                <c:pt idx="6">
                  <c:v> Oct.15 </c:v>
                </c:pt>
                <c:pt idx="7">
                  <c:v>Nov.15 </c:v>
                </c:pt>
                <c:pt idx="8">
                  <c:v>Dic.15 </c:v>
                </c:pt>
                <c:pt idx="9">
                  <c:v>Ene.16</c:v>
                </c:pt>
                <c:pt idx="10">
                  <c:v>Feb.16</c:v>
                </c:pt>
                <c:pt idx="11">
                  <c:v>Mar. 16</c:v>
                </c:pt>
                <c:pt idx="12">
                  <c:v>Abr. 16</c:v>
                </c:pt>
              </c:strCache>
            </c:strRef>
          </c:cat>
          <c:val>
            <c:numRef>
              <c:f>'IV.2.11.Pagos.SFS Pens.Mens.'!$B$7:$B$19</c:f>
              <c:numCache>
                <c:formatCode>#,##0.00</c:formatCode>
                <c:ptCount val="13"/>
                <c:pt idx="0">
                  <c:v>10954952.32</c:v>
                </c:pt>
                <c:pt idx="1">
                  <c:v>10946294.560000001</c:v>
                </c:pt>
                <c:pt idx="2">
                  <c:v>10975153.76</c:v>
                </c:pt>
                <c:pt idx="3">
                  <c:v>10965053.039999999</c:v>
                </c:pt>
                <c:pt idx="4">
                  <c:v>10873425.08</c:v>
                </c:pt>
                <c:pt idx="5">
                  <c:v>10892183.560000001</c:v>
                </c:pt>
                <c:pt idx="6">
                  <c:v>10825085.92</c:v>
                </c:pt>
                <c:pt idx="7">
                  <c:v>10838072.560000001</c:v>
                </c:pt>
                <c:pt idx="8">
                  <c:v>10857552.52</c:v>
                </c:pt>
                <c:pt idx="9">
                  <c:v>10852502.16</c:v>
                </c:pt>
                <c:pt idx="10">
                  <c:v>10876311</c:v>
                </c:pt>
                <c:pt idx="11">
                  <c:v>10891462.08</c:v>
                </c:pt>
                <c:pt idx="12">
                  <c:v>10620185.6</c:v>
                </c:pt>
              </c:numCache>
            </c:numRef>
          </c:val>
        </c:ser>
        <c:ser>
          <c:idx val="2"/>
          <c:order val="2"/>
          <c:tx>
            <c:strRef>
              <c:f>'IV.2.11.Pagos.SFS Pens.Mens.'!$D$6</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accent3">
                        <a:lumMod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Abr.15 </c:v>
                </c:pt>
                <c:pt idx="1">
                  <c:v> May.15 </c:v>
                </c:pt>
                <c:pt idx="2">
                  <c:v> Jun.15 </c:v>
                </c:pt>
                <c:pt idx="3">
                  <c:v> Jul.15 </c:v>
                </c:pt>
                <c:pt idx="4">
                  <c:v> Ago.15 </c:v>
                </c:pt>
                <c:pt idx="5">
                  <c:v> Sep.15 </c:v>
                </c:pt>
                <c:pt idx="6">
                  <c:v> Oct.15 </c:v>
                </c:pt>
                <c:pt idx="7">
                  <c:v>Nov.15 </c:v>
                </c:pt>
                <c:pt idx="8">
                  <c:v>Dic.15 </c:v>
                </c:pt>
                <c:pt idx="9">
                  <c:v>Ene.16</c:v>
                </c:pt>
                <c:pt idx="10">
                  <c:v>Feb.16</c:v>
                </c:pt>
                <c:pt idx="11">
                  <c:v>Mar. 16</c:v>
                </c:pt>
                <c:pt idx="12">
                  <c:v>Abr. 16</c:v>
                </c:pt>
              </c:strCache>
            </c:strRef>
          </c:cat>
          <c:val>
            <c:numRef>
              <c:f>'IV.2.11.Pagos.SFS Pens.Mens.'!$D$7:$D$19</c:f>
              <c:numCache>
                <c:formatCode>#,##0.00</c:formatCode>
                <c:ptCount val="13"/>
                <c:pt idx="0">
                  <c:v>13477344.48</c:v>
                </c:pt>
                <c:pt idx="1">
                  <c:v>13459405.439999999</c:v>
                </c:pt>
                <c:pt idx="2">
                  <c:v>13555507.439999999</c:v>
                </c:pt>
                <c:pt idx="3">
                  <c:v>13491439.439999999</c:v>
                </c:pt>
                <c:pt idx="4">
                  <c:v>13467093.6</c:v>
                </c:pt>
                <c:pt idx="5">
                  <c:v>13488876.720000001</c:v>
                </c:pt>
                <c:pt idx="6">
                  <c:v>13435059.6</c:v>
                </c:pt>
                <c:pt idx="7">
                  <c:v>13429934.16</c:v>
                </c:pt>
                <c:pt idx="8">
                  <c:v>13438903.68</c:v>
                </c:pt>
                <c:pt idx="9">
                  <c:v>13444029.119999999</c:v>
                </c:pt>
                <c:pt idx="10">
                  <c:v>13447873.199999999</c:v>
                </c:pt>
                <c:pt idx="11">
                  <c:v>13436340.960000001</c:v>
                </c:pt>
                <c:pt idx="12">
                  <c:v>13124970.48</c:v>
                </c:pt>
              </c:numCache>
            </c:numRef>
          </c:val>
        </c:ser>
        <c:dLbls>
          <c:showLegendKey val="0"/>
          <c:showVal val="1"/>
          <c:showCatName val="0"/>
          <c:showSerName val="0"/>
          <c:showPercent val="0"/>
          <c:showBubbleSize val="0"/>
        </c:dLbls>
        <c:gapWidth val="150"/>
        <c:shape val="box"/>
        <c:axId val="411738176"/>
        <c:axId val="411738568"/>
        <c:axId val="0"/>
      </c:bar3DChart>
      <c:catAx>
        <c:axId val="4117381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s-ES"/>
          </a:p>
        </c:txPr>
        <c:crossAx val="411738568"/>
        <c:crosses val="autoZero"/>
        <c:auto val="1"/>
        <c:lblAlgn val="ctr"/>
        <c:lblOffset val="100"/>
        <c:noMultiLvlLbl val="0"/>
      </c:catAx>
      <c:valAx>
        <c:axId val="41173856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11738176"/>
        <c:crosses val="autoZero"/>
        <c:crossBetween val="between"/>
      </c:valAx>
      <c:spPr>
        <a:noFill/>
        <a:ln>
          <a:noFill/>
        </a:ln>
        <a:effectLst/>
      </c:spPr>
    </c:plotArea>
    <c:legend>
      <c:legendPos val="b"/>
      <c:layout>
        <c:manualLayout>
          <c:xMode val="edge"/>
          <c:yMode val="edge"/>
          <c:x val="0.28161105220469168"/>
          <c:y val="7.6823651920892314E-2"/>
          <c:w val="0.45456897673072449"/>
          <c:h val="4.202241265949865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accent3">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4.5174248411842075E-2"/>
          <c:y val="0.10439613328937521"/>
          <c:w val="0.9392559779072317"/>
          <c:h val="0.74120336167348899"/>
        </c:manualLayout>
      </c:layout>
      <c:bar3DChart>
        <c:barDir val="col"/>
        <c:grouping val="stacked"/>
        <c:varyColors val="0"/>
        <c:ser>
          <c:idx val="0"/>
          <c:order val="0"/>
          <c:spPr>
            <a:solidFill>
              <a:schemeClr val="accent3">
                <a:lumMod val="75000"/>
              </a:schemeClr>
            </a:solidFill>
          </c:spPr>
          <c:invertIfNegative val="0"/>
          <c:dLbls>
            <c:dLbl>
              <c:idx val="0"/>
              <c:layout>
                <c:manualLayout>
                  <c:x val="6.7760848278599836E-3"/>
                  <c:y val="-5.29466783139652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6345163205336899E-3"/>
                  <c:y val="-9.24081859439352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1078435561262033E-3"/>
                  <c:y val="-0.1105161790764141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064646426164741E-2"/>
                  <c:y val="-0.1245899982432793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5184519138865334E-3"/>
                  <c:y val="-0.161711967880419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4306832205877941E-3"/>
                  <c:y val="-0.191539237572538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5341515483352056E-3"/>
                  <c:y val="-0.21942443734804165"/>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209935076783282E-4"/>
                  <c:y val="-0.24441969352870888"/>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8403017630637381E-3"/>
                  <c:y val="-0.271081115841155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0850808492434999E-2"/>
                  <c:y val="-0.29885682138375574"/>
                </c:manualLayout>
              </c:layout>
              <c:spPr/>
              <c:txPr>
                <a:bodyPr/>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009306708298349E-2"/>
                  <c:y val="-0.3293918083340218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4523784114596927E-3"/>
                  <c:y val="-0.3633497267189725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9.2580719781212243E-3"/>
                  <c:y val="-0.3826781524286265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4.4534406803453611E-3"/>
                  <c:y val="-0.16123821676935421"/>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Ene-Abr.16</c:v>
                </c:pt>
              </c:strCache>
            </c:strRef>
          </c:cat>
          <c:val>
            <c:numRef>
              <c:f>'IV.3.2.Pagos_ SVDS'!$B$4:$B$17</c:f>
              <c:numCache>
                <c:formatCode>#,##0.00</c:formatCode>
                <c:ptCount val="14"/>
                <c:pt idx="0">
                  <c:v>1813713639.4200001</c:v>
                </c:pt>
                <c:pt idx="1">
                  <c:v>6547406092.6799994</c:v>
                </c:pt>
                <c:pt idx="2">
                  <c:v>8393553851.0549603</c:v>
                </c:pt>
                <c:pt idx="3">
                  <c:v>9613650449.1000004</c:v>
                </c:pt>
                <c:pt idx="4">
                  <c:v>14892605258.139</c:v>
                </c:pt>
                <c:pt idx="5">
                  <c:v>15887938438.049997</c:v>
                </c:pt>
                <c:pt idx="6">
                  <c:v>18789773765.599998</c:v>
                </c:pt>
                <c:pt idx="7">
                  <c:v>23938490112.329998</c:v>
                </c:pt>
                <c:pt idx="8">
                  <c:v>23585106301.460003</c:v>
                </c:pt>
                <c:pt idx="9">
                  <c:v>26400473552.350002</c:v>
                </c:pt>
                <c:pt idx="10">
                  <c:v>29506184318.750004</c:v>
                </c:pt>
                <c:pt idx="11">
                  <c:v>33591892120.470001</c:v>
                </c:pt>
                <c:pt idx="12">
                  <c:v>38018208331.940002</c:v>
                </c:pt>
                <c:pt idx="13">
                  <c:v>13707358389.510002</c:v>
                </c:pt>
              </c:numCache>
            </c:numRef>
          </c:val>
        </c:ser>
        <c:dLbls>
          <c:showLegendKey val="0"/>
          <c:showVal val="0"/>
          <c:showCatName val="0"/>
          <c:showSerName val="0"/>
          <c:showPercent val="0"/>
          <c:showBubbleSize val="0"/>
        </c:dLbls>
        <c:gapWidth val="75"/>
        <c:shape val="cylinder"/>
        <c:axId val="411739352"/>
        <c:axId val="411739744"/>
        <c:axId val="0"/>
      </c:bar3DChart>
      <c:catAx>
        <c:axId val="411739352"/>
        <c:scaling>
          <c:orientation val="minMax"/>
        </c:scaling>
        <c:delete val="0"/>
        <c:axPos val="b"/>
        <c:numFmt formatCode="General" sourceLinked="1"/>
        <c:majorTickMark val="none"/>
        <c:minorTickMark val="none"/>
        <c:tickLblPos val="nextTo"/>
        <c:txPr>
          <a:bodyPr/>
          <a:lstStyle/>
          <a:p>
            <a:pPr>
              <a:defRPr sz="1600"/>
            </a:pPr>
            <a:endParaRPr lang="es-ES"/>
          </a:p>
        </c:txPr>
        <c:crossAx val="411739744"/>
        <c:crosses val="autoZero"/>
        <c:auto val="1"/>
        <c:lblAlgn val="ctr"/>
        <c:lblOffset val="100"/>
        <c:noMultiLvlLbl val="0"/>
      </c:catAx>
      <c:valAx>
        <c:axId val="411739744"/>
        <c:scaling>
          <c:orientation val="minMax"/>
        </c:scaling>
        <c:delete val="0"/>
        <c:axPos val="l"/>
        <c:numFmt formatCode="#,##0.00" sourceLinked="1"/>
        <c:majorTickMark val="none"/>
        <c:minorTickMark val="none"/>
        <c:tickLblPos val="none"/>
        <c:crossAx val="411739352"/>
        <c:crosses val="autoZero"/>
        <c:crossBetween val="between"/>
        <c:dispUnits>
          <c:builtInUnit val="millions"/>
          <c:dispUnitsLbl>
            <c:layout>
              <c:manualLayout>
                <c:xMode val="edge"/>
                <c:yMode val="edge"/>
                <c:x val="1.2022023276972623E-2"/>
                <c:y val="0.45224019318044784"/>
              </c:manualLayout>
            </c:layout>
            <c:txPr>
              <a:bodyPr/>
              <a:lstStyle/>
              <a:p>
                <a:pPr>
                  <a:defRPr sz="1800" b="0"/>
                </a:pPr>
                <a:endParaRPr lang="es-E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46289176955177752"/>
          <c:y val="3.426329861139214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0065324549660621E-2"/>
          <c:y val="0.25656503920671447"/>
          <c:w val="0.90584932680585084"/>
          <c:h val="0.59274754245673389"/>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2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Ene-Abr. 2016</c:v>
                </c:pt>
              </c:strCache>
            </c:strRef>
          </c:cat>
          <c:val>
            <c:numRef>
              <c:f>'IV.3.3.Pagos anuales x cuentas'!$B$4:$O$4</c:f>
              <c:numCache>
                <c:formatCode>_(* #,##0.00_);_(* \(#,##0.00\);_(* "-"??_);_(@_)</c:formatCode>
                <c:ptCount val="14"/>
                <c:pt idx="0">
                  <c:v>1450970911.5360003</c:v>
                </c:pt>
                <c:pt idx="1">
                  <c:v>4388448532.5416241</c:v>
                </c:pt>
                <c:pt idx="2">
                  <c:v>5761654867.9499998</c:v>
                </c:pt>
                <c:pt idx="3">
                  <c:v>7098103492.750001</c:v>
                </c:pt>
                <c:pt idx="4">
                  <c:v>9157024021.4599991</c:v>
                </c:pt>
                <c:pt idx="5">
                  <c:v>10971688650.739998</c:v>
                </c:pt>
                <c:pt idx="6">
                  <c:v>14102437235.269999</c:v>
                </c:pt>
                <c:pt idx="7">
                  <c:v>18859679063.360001</c:v>
                </c:pt>
                <c:pt idx="8">
                  <c:v>18145611295.329998</c:v>
                </c:pt>
                <c:pt idx="9">
                  <c:v>20525176273.790001</c:v>
                </c:pt>
                <c:pt idx="10">
                  <c:v>23041717787.599998</c:v>
                </c:pt>
                <c:pt idx="11">
                  <c:v>26294772742.880001</c:v>
                </c:pt>
                <c:pt idx="12">
                  <c:v>29894688584.509998</c:v>
                </c:pt>
                <c:pt idx="13">
                  <c:v>10806616617.950001</c:v>
                </c:pt>
              </c:numCache>
            </c:numRef>
          </c:val>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layout>
                <c:manualLayout>
                  <c:x val="3.0660223245052277E-3"/>
                  <c:y val="-7.9002046268431689E-17"/>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709860739402459E-3"/>
                  <c:y val="0"/>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Ene-Abr. 2016</c:v>
                </c:pt>
              </c:strCache>
            </c:strRef>
          </c:cat>
          <c:val>
            <c:numRef>
              <c:f>'IV.3.3.Pagos anuales x cuentas'!$B$5:$O$5</c:f>
              <c:numCache>
                <c:formatCode>_(* #,##0.00_);_(* \(#,##0.00\);_(* "-"??_);_(@_)</c:formatCode>
                <c:ptCount val="14"/>
                <c:pt idx="0">
                  <c:v>0</c:v>
                </c:pt>
                <c:pt idx="1">
                  <c:v>572745548.09000003</c:v>
                </c:pt>
                <c:pt idx="2">
                  <c:v>801549025.60000014</c:v>
                </c:pt>
                <c:pt idx="3">
                  <c:v>470524902.12</c:v>
                </c:pt>
                <c:pt idx="4">
                  <c:v>726388233.41900003</c:v>
                </c:pt>
                <c:pt idx="5">
                  <c:v>702593218.49000001</c:v>
                </c:pt>
                <c:pt idx="6">
                  <c:v>791490784.11000001</c:v>
                </c:pt>
                <c:pt idx="7">
                  <c:v>935805888.13999999</c:v>
                </c:pt>
                <c:pt idx="8">
                  <c:v>1045138743.0899999</c:v>
                </c:pt>
                <c:pt idx="9">
                  <c:v>1032095716.16</c:v>
                </c:pt>
                <c:pt idx="10">
                  <c:v>1079979360.3499999</c:v>
                </c:pt>
                <c:pt idx="11">
                  <c:v>1200713160.95</c:v>
                </c:pt>
                <c:pt idx="12">
                  <c:v>1165642512.95</c:v>
                </c:pt>
                <c:pt idx="13">
                  <c:v>380846973.13999999</c:v>
                </c:pt>
              </c:numCache>
            </c:numRef>
          </c:val>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Ene-Abr. 2016</c:v>
                </c:pt>
              </c:strCache>
            </c:strRef>
          </c:cat>
          <c:val>
            <c:numRef>
              <c:f>'IV.3.3.Pagos anuales x cuentas'!$B$6:$O$6</c:f>
              <c:numCache>
                <c:formatCode>_(* #,##0.00_);_(* \(#,##0.00\);_(* "-"??_);_(@_)</c:formatCode>
                <c:ptCount val="14"/>
                <c:pt idx="0">
                  <c:v>0</c:v>
                </c:pt>
                <c:pt idx="1">
                  <c:v>0</c:v>
                </c:pt>
                <c:pt idx="2">
                  <c:v>0</c:v>
                </c:pt>
                <c:pt idx="3">
                  <c:v>0</c:v>
                </c:pt>
                <c:pt idx="4">
                  <c:v>2506661252.1800003</c:v>
                </c:pt>
                <c:pt idx="5">
                  <c:v>1248799551.6500001</c:v>
                </c:pt>
                <c:pt idx="6">
                  <c:v>404625934.49000001</c:v>
                </c:pt>
                <c:pt idx="7">
                  <c:v>0</c:v>
                </c:pt>
                <c:pt idx="8">
                  <c:v>0</c:v>
                </c:pt>
                <c:pt idx="9">
                  <c:v>0</c:v>
                </c:pt>
                <c:pt idx="10">
                  <c:v>0</c:v>
                </c:pt>
                <c:pt idx="11">
                  <c:v>0</c:v>
                </c:pt>
                <c:pt idx="12">
                  <c:v>0</c:v>
                </c:pt>
              </c:numCache>
            </c:numRef>
          </c:val>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layout>
                <c:manualLayout>
                  <c:x val="9.5194099644836064E-4"/>
                  <c:y val="4.5442396037995566E-3"/>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Ene-Abr. 2016</c:v>
                </c:pt>
              </c:strCache>
            </c:strRef>
          </c:cat>
          <c:val>
            <c:numRef>
              <c:f>'IV.3.3.Pagos anuales x cuentas'!$B$7:$O$7</c:f>
              <c:numCache>
                <c:formatCode>_(* #,##0.00_);_(* \(#,##0.00\);_(* "-"??_);_(@_)</c:formatCode>
                <c:ptCount val="14"/>
                <c:pt idx="0">
                  <c:v>181371363.94200003</c:v>
                </c:pt>
                <c:pt idx="1">
                  <c:v>753930807.93586206</c:v>
                </c:pt>
                <c:pt idx="2">
                  <c:v>787020865.17999995</c:v>
                </c:pt>
                <c:pt idx="3">
                  <c:v>905145735.52999997</c:v>
                </c:pt>
                <c:pt idx="4">
                  <c:v>1128937194.7399998</c:v>
                </c:pt>
                <c:pt idx="5">
                  <c:v>1354809029.5900002</c:v>
                </c:pt>
                <c:pt idx="6">
                  <c:v>1598791980.2700002</c:v>
                </c:pt>
                <c:pt idx="7">
                  <c:v>1839177727.5999999</c:v>
                </c:pt>
                <c:pt idx="8">
                  <c:v>2055053729.2299998</c:v>
                </c:pt>
                <c:pt idx="9">
                  <c:v>2278168828.7800002</c:v>
                </c:pt>
                <c:pt idx="10">
                  <c:v>2543371766.8299999</c:v>
                </c:pt>
                <c:pt idx="11">
                  <c:v>2879320929.98</c:v>
                </c:pt>
                <c:pt idx="12">
                  <c:v>3331923739.29</c:v>
                </c:pt>
                <c:pt idx="13">
                  <c:v>1217569313.8900001</c:v>
                </c:pt>
              </c:numCache>
            </c:numRef>
          </c:val>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Ene-Abr. 2016</c:v>
                </c:pt>
              </c:strCache>
            </c:strRef>
          </c:cat>
          <c:val>
            <c:numRef>
              <c:f>'IV.3.3.Pagos anuales x cuentas'!$C$8:$O$8</c:f>
              <c:numCache>
                <c:formatCode>_(* #,##0.00_);_(* \(#,##0.00\);_(* "-"??_);_(@_)</c:formatCode>
                <c:ptCount val="13"/>
                <c:pt idx="0">
                  <c:v>0</c:v>
                </c:pt>
                <c:pt idx="1">
                  <c:v>44554249.010000005</c:v>
                </c:pt>
                <c:pt idx="2">
                  <c:v>50116429.870000005</c:v>
                </c:pt>
                <c:pt idx="3">
                  <c:v>66693954.190000013</c:v>
                </c:pt>
                <c:pt idx="4">
                  <c:v>70260729.659999996</c:v>
                </c:pt>
                <c:pt idx="5">
                  <c:v>75325664.86999999</c:v>
                </c:pt>
                <c:pt idx="6">
                  <c:v>87578847.120000005</c:v>
                </c:pt>
                <c:pt idx="7">
                  <c:v>91807218.480000004</c:v>
                </c:pt>
                <c:pt idx="8">
                  <c:v>92110689.790000007</c:v>
                </c:pt>
                <c:pt idx="9">
                  <c:v>84379473.989999995</c:v>
                </c:pt>
                <c:pt idx="10">
                  <c:v>98680828.370000005</c:v>
                </c:pt>
                <c:pt idx="11">
                  <c:v>102722311.89</c:v>
                </c:pt>
                <c:pt idx="12">
                  <c:v>37519112.799999997</c:v>
                </c:pt>
              </c:numCache>
            </c:numRef>
          </c:val>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Ene-Abr. 2016</c:v>
                </c:pt>
              </c:strCache>
            </c:strRef>
          </c:cat>
          <c:val>
            <c:numRef>
              <c:f>'IV.3.3.Pagos anuales x cuentas'!$B$9:$O$9</c:f>
              <c:numCache>
                <c:formatCode>_(* #,##0.00_);_(* \(#,##0.00\);_(* "-"??_);_(@_)</c:formatCode>
                <c:ptCount val="14"/>
                <c:pt idx="0">
                  <c:v>90685681.971000016</c:v>
                </c:pt>
                <c:pt idx="1">
                  <c:v>418581034.097597</c:v>
                </c:pt>
                <c:pt idx="2">
                  <c:v>499326061.26086009</c:v>
                </c:pt>
                <c:pt idx="3">
                  <c:v>539813903.23000002</c:v>
                </c:pt>
                <c:pt idx="4">
                  <c:v>653915330.37</c:v>
                </c:pt>
                <c:pt idx="5">
                  <c:v>775828907.30000007</c:v>
                </c:pt>
                <c:pt idx="6">
                  <c:v>933206115.5</c:v>
                </c:pt>
                <c:pt idx="7">
                  <c:v>1197840913.1600001</c:v>
                </c:pt>
                <c:pt idx="8">
                  <c:v>1153613834.1200001</c:v>
                </c:pt>
                <c:pt idx="9">
                  <c:v>1270496588.99</c:v>
                </c:pt>
                <c:pt idx="10">
                  <c:v>1415686748.8699999</c:v>
                </c:pt>
                <c:pt idx="11">
                  <c:v>1604198175.8299999</c:v>
                </c:pt>
                <c:pt idx="12">
                  <c:v>1807962241.5899999</c:v>
                </c:pt>
                <c:pt idx="13">
                  <c:v>650299014.58000004</c:v>
                </c:pt>
              </c:numCache>
            </c:numRef>
          </c:val>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Ene-Abr. 2016</c:v>
                </c:pt>
              </c:strCache>
            </c:strRef>
          </c:cat>
          <c:val>
            <c:numRef>
              <c:f>'IV.3.3.Pagos anuales x cuentas'!$B$10:$O$10</c:f>
              <c:numCache>
                <c:formatCode>_(* #,##0.00_);_(* \(#,##0.00\);_(* "-"??_);_(@_)</c:formatCode>
                <c:ptCount val="14"/>
                <c:pt idx="0">
                  <c:v>18137136.394200001</c:v>
                </c:pt>
                <c:pt idx="1">
                  <c:v>82086304.309749991</c:v>
                </c:pt>
                <c:pt idx="2">
                  <c:v>99075487.134100005</c:v>
                </c:pt>
                <c:pt idx="3">
                  <c:v>109989360.61999997</c:v>
                </c:pt>
                <c:pt idx="4">
                  <c:v>130598212.33</c:v>
                </c:pt>
                <c:pt idx="5">
                  <c:v>140123264.7405</c:v>
                </c:pt>
                <c:pt idx="6">
                  <c:v>132002937.52000001</c:v>
                </c:pt>
                <c:pt idx="7">
                  <c:v>188169177.71000004</c:v>
                </c:pt>
                <c:pt idx="8">
                  <c:v>162448764.51999998</c:v>
                </c:pt>
                <c:pt idx="9">
                  <c:v>179079077.34999999</c:v>
                </c:pt>
                <c:pt idx="10">
                  <c:v>199265984.22999999</c:v>
                </c:pt>
                <c:pt idx="11">
                  <c:v>225520451.75999999</c:v>
                </c:pt>
                <c:pt idx="12">
                  <c:v>254409838.94999999</c:v>
                </c:pt>
                <c:pt idx="13">
                  <c:v>91522203.890000001</c:v>
                </c:pt>
              </c:numCache>
            </c:numRef>
          </c:val>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Ene-Abr. 2016</c:v>
                </c:pt>
              </c:strCache>
            </c:strRef>
          </c:cat>
          <c:val>
            <c:numRef>
              <c:f>'IV.3.3.Pagos anuales x cuentas'!$B$11:$O$11</c:f>
              <c:numCache>
                <c:formatCode>_(* #,##0.00_);_(* \(#,##0.00\);_(* "-"??_);_(@_)</c:formatCode>
                <c:ptCount val="14"/>
                <c:pt idx="0">
                  <c:v>72548545.576800004</c:v>
                </c:pt>
                <c:pt idx="1">
                  <c:v>331613866.00516498</c:v>
                </c:pt>
                <c:pt idx="2">
                  <c:v>400373294.9199999</c:v>
                </c:pt>
                <c:pt idx="3">
                  <c:v>439956624.98000002</c:v>
                </c:pt>
                <c:pt idx="4">
                  <c:v>522387059.45000005</c:v>
                </c:pt>
                <c:pt idx="5">
                  <c:v>623835085.87950003</c:v>
                </c:pt>
                <c:pt idx="6">
                  <c:v>751893113.57000005</c:v>
                </c:pt>
                <c:pt idx="7">
                  <c:v>830238495.24000001</c:v>
                </c:pt>
                <c:pt idx="8">
                  <c:v>931432716.68999994</c:v>
                </c:pt>
                <c:pt idx="9">
                  <c:v>1023346377.39</c:v>
                </c:pt>
                <c:pt idx="10">
                  <c:v>1141783196.8699999</c:v>
                </c:pt>
                <c:pt idx="11">
                  <c:v>1288685830.7</c:v>
                </c:pt>
                <c:pt idx="12">
                  <c:v>1460859102.76</c:v>
                </c:pt>
                <c:pt idx="13">
                  <c:v>522985153.25999999</c:v>
                </c:pt>
              </c:numCache>
            </c:numRef>
          </c:val>
        </c:ser>
        <c:dLbls>
          <c:showLegendKey val="0"/>
          <c:showVal val="0"/>
          <c:showCatName val="0"/>
          <c:showSerName val="0"/>
          <c:showPercent val="0"/>
          <c:showBubbleSize val="0"/>
        </c:dLbls>
        <c:gapWidth val="75"/>
        <c:shape val="cylinder"/>
        <c:axId val="411740528"/>
        <c:axId val="411740920"/>
        <c:axId val="0"/>
      </c:bar3DChart>
      <c:catAx>
        <c:axId val="411740528"/>
        <c:scaling>
          <c:orientation val="minMax"/>
        </c:scaling>
        <c:delete val="0"/>
        <c:axPos val="b"/>
        <c:numFmt formatCode="General" sourceLinked="1"/>
        <c:majorTickMark val="none"/>
        <c:minorTickMark val="none"/>
        <c:tickLblPos val="nextTo"/>
        <c:txPr>
          <a:bodyPr/>
          <a:lstStyle/>
          <a:p>
            <a:pPr>
              <a:defRPr lang="en-US" sz="1200"/>
            </a:pPr>
            <a:endParaRPr lang="es-ES"/>
          </a:p>
        </c:txPr>
        <c:crossAx val="411740920"/>
        <c:crosses val="autoZero"/>
        <c:auto val="1"/>
        <c:lblAlgn val="ctr"/>
        <c:lblOffset val="100"/>
        <c:noMultiLvlLbl val="0"/>
      </c:catAx>
      <c:valAx>
        <c:axId val="411740920"/>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411740528"/>
        <c:crosses val="autoZero"/>
        <c:crossBetween val="between"/>
        <c:dispUnits>
          <c:builtInUnit val="millions"/>
          <c:dispUnitsLbl>
            <c:layout>
              <c:manualLayout>
                <c:xMode val="edge"/>
                <c:yMode val="edge"/>
                <c:x val="3.0740356524567025E-2"/>
                <c:y val="0.4428608163330689"/>
              </c:manualLayout>
            </c:layout>
            <c:txPr>
              <a:bodyPr/>
              <a:lstStyle/>
              <a:p>
                <a:pPr>
                  <a:defRPr lang="en-US" sz="1400" b="0"/>
                </a:pPr>
                <a:endParaRPr lang="es-ES"/>
              </a:p>
            </c:txPr>
          </c:dispUnitsLbl>
        </c:dispUnits>
      </c:valAx>
      <c:spPr>
        <a:noFill/>
        <a:ln w="25400">
          <a:noFill/>
        </a:ln>
      </c:spPr>
    </c:plotArea>
    <c:legend>
      <c:legendPos val="b"/>
      <c:layout>
        <c:manualLayout>
          <c:xMode val="edge"/>
          <c:yMode val="edge"/>
          <c:x val="6.6823710541402126E-2"/>
          <c:y val="8.1250711359579925E-2"/>
          <c:w val="0.85761725026012103"/>
          <c:h val="5.7293722583674857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32428362232340668"/>
          <c:y val="4.3929439357523963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0661978844118147"/>
          <c:y val="0.10211711055625732"/>
          <c:w val="0.84319921227936312"/>
          <c:h val="0.77456257954076879"/>
        </c:manualLayout>
      </c:layout>
      <c:barChart>
        <c:barDir val="bar"/>
        <c:grouping val="clustered"/>
        <c:varyColors val="0"/>
        <c:ser>
          <c:idx val="0"/>
          <c:order val="0"/>
          <c:tx>
            <c:strRef>
              <c:f>'IV.3.4.Pago Entidades'!$L$3</c:f>
              <c:strCache>
                <c:ptCount val="1"/>
                <c:pt idx="0">
                  <c:v>Total</c:v>
                </c:pt>
              </c:strCache>
            </c:strRef>
          </c:tx>
          <c:spPr>
            <a:solidFill>
              <a:srgbClr val="002060"/>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rgbClr val="FF0000"/>
              </a:solidFill>
              <a:ln>
                <a:noFill/>
              </a:ln>
              <a:effectLst>
                <a:glow rad="139700">
                  <a:schemeClr val="accent1">
                    <a:alpha val="49000"/>
                  </a:schemeClr>
                </a:glow>
                <a:outerShdw sx="1000" sy="1000" algn="ctr" rotWithShape="0">
                  <a:schemeClr val="bg1"/>
                </a:outerShdw>
                <a:softEdge rad="0"/>
              </a:effectLst>
            </c:spPr>
          </c:dPt>
          <c:dPt>
            <c:idx val="12"/>
            <c:invertIfNegative val="0"/>
            <c:bubble3D val="0"/>
            <c:spPr>
              <a:solidFill>
                <a:srgbClr val="FF0000"/>
              </a:solidFill>
              <a:ln>
                <a:noFill/>
              </a:ln>
              <a:effectLst>
                <a:glow rad="139700">
                  <a:schemeClr val="accent1">
                    <a:alpha val="49000"/>
                  </a:schemeClr>
                </a:glow>
                <a:outerShdw sx="1000" sy="1000" algn="ctr" rotWithShape="0">
                  <a:schemeClr val="bg1"/>
                </a:outerShdw>
                <a:softEdge rad="0"/>
              </a:effectLst>
            </c:spPr>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Entidades'!$A$4:$A$16</c:f>
              <c:strCache>
                <c:ptCount val="13"/>
                <c:pt idx="0">
                  <c:v>AFP Popular </c:v>
                </c:pt>
                <c:pt idx="1">
                  <c:v>Scotia Crecer AFP</c:v>
                </c:pt>
                <c:pt idx="2">
                  <c:v>AFP Siembra</c:v>
                </c:pt>
                <c:pt idx="3">
                  <c:v>AFP Reservas</c:v>
                </c:pt>
                <c:pt idx="4">
                  <c:v>Fondo INABIMA</c:v>
                </c:pt>
                <c:pt idx="5">
                  <c:v>Sec. de Est. de Finanzas</c:v>
                </c:pt>
                <c:pt idx="6">
                  <c:v>AFP Romana</c:v>
                </c:pt>
                <c:pt idx="7">
                  <c:v>SIPEN</c:v>
                </c:pt>
                <c:pt idx="8">
                  <c:v>Fondo BR</c:v>
                </c:pt>
                <c:pt idx="9">
                  <c:v>Fondo BC</c:v>
                </c:pt>
                <c:pt idx="10">
                  <c:v>Autoseguro (IDSS)</c:v>
                </c:pt>
                <c:pt idx="11">
                  <c:v>AFP LEON</c:v>
                </c:pt>
                <c:pt idx="12">
                  <c:v>AFP CARIBALICO</c:v>
                </c:pt>
              </c:strCache>
            </c:strRef>
          </c:cat>
          <c:val>
            <c:numRef>
              <c:f>'IV.3.4.Pago Entidades'!$L$4:$L$16</c:f>
              <c:numCache>
                <c:formatCode>_(* #,##0.00_);_(* \(#,##0.00\);_(* "-"??_);_(@_)</c:formatCode>
                <c:ptCount val="13"/>
                <c:pt idx="0">
                  <c:v>65747150109.589996</c:v>
                </c:pt>
                <c:pt idx="1">
                  <c:v>48566503892.059998</c:v>
                </c:pt>
                <c:pt idx="2">
                  <c:v>39234133093.43</c:v>
                </c:pt>
                <c:pt idx="3">
                  <c:v>38452260784.43</c:v>
                </c:pt>
                <c:pt idx="4">
                  <c:v>29101607417.529999</c:v>
                </c:pt>
                <c:pt idx="5">
                  <c:v>9614271757.9300003</c:v>
                </c:pt>
                <c:pt idx="6">
                  <c:v>1769641616.9899995</c:v>
                </c:pt>
                <c:pt idx="7">
                  <c:v>1703136815.6799991</c:v>
                </c:pt>
                <c:pt idx="8">
                  <c:v>1685840839.1599989</c:v>
                </c:pt>
                <c:pt idx="9">
                  <c:v>1456092433.5399995</c:v>
                </c:pt>
                <c:pt idx="10">
                  <c:v>807081382.35999942</c:v>
                </c:pt>
                <c:pt idx="11">
                  <c:v>116692988.65000001</c:v>
                </c:pt>
                <c:pt idx="12">
                  <c:v>63617457.140000001</c:v>
                </c:pt>
              </c:numCache>
            </c:numRef>
          </c:val>
        </c:ser>
        <c:dLbls>
          <c:showLegendKey val="0"/>
          <c:showVal val="0"/>
          <c:showCatName val="0"/>
          <c:showSerName val="0"/>
          <c:showPercent val="0"/>
          <c:showBubbleSize val="0"/>
        </c:dLbls>
        <c:gapWidth val="68"/>
        <c:overlap val="1"/>
        <c:axId val="411741704"/>
        <c:axId val="411742096"/>
      </c:barChart>
      <c:catAx>
        <c:axId val="4117417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s-ES"/>
          </a:p>
        </c:txPr>
        <c:crossAx val="411742096"/>
        <c:crosses val="autoZero"/>
        <c:auto val="1"/>
        <c:lblAlgn val="ctr"/>
        <c:lblOffset val="100"/>
        <c:noMultiLvlLbl val="0"/>
      </c:catAx>
      <c:valAx>
        <c:axId val="411742096"/>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ES"/>
          </a:p>
        </c:txPr>
        <c:crossAx val="411741704"/>
        <c:crosses val="autoZero"/>
        <c:crossBetween val="between"/>
        <c:dispUnits>
          <c:builtInUnit val="millions"/>
          <c:dispUnitsLbl>
            <c:layout>
              <c:manualLayout>
                <c:xMode val="edge"/>
                <c:yMode val="edge"/>
                <c:x val="0.53665200584274642"/>
                <c:y val="0.94704668039021067"/>
              </c:manualLayout>
            </c:layout>
            <c:spPr>
              <a:noFill/>
              <a:ln>
                <a:noFill/>
              </a:ln>
              <a:effectLst/>
            </c:spPr>
            <c:txPr>
              <a:bodyPr rot="0" spcFirstLastPara="1" vertOverflow="ellipsis" vert="horz" wrap="square" anchor="ctr" anchorCtr="1"/>
              <a:lstStyle/>
              <a:p>
                <a:pPr>
                  <a:defRPr sz="1200" b="0" i="0" u="none" strike="noStrike" kern="1200" baseline="0">
                    <a:solidFill>
                      <a:srgbClr val="002060"/>
                    </a:solidFill>
                    <a:latin typeface="+mn-lt"/>
                    <a:ea typeface="+mn-ea"/>
                    <a:cs typeface="+mn-cs"/>
                  </a:defRPr>
                </a:pPr>
                <a:endParaRPr lang="es-ES"/>
              </a:p>
            </c:txPr>
          </c:dispUnitsLbl>
        </c:dispUnits>
      </c:valAx>
      <c:spPr>
        <a:noFill/>
        <a:ln>
          <a:noFill/>
        </a:ln>
        <a:effectLst/>
      </c:spPr>
    </c:plotArea>
    <c:plotVisOnly val="1"/>
    <c:dispBlanksAs val="gap"/>
    <c:showDLblsOverMax val="0"/>
  </c:chart>
  <c:spPr>
    <a:solidFill>
      <a:schemeClr val="bg1"/>
    </a:solidFill>
    <a:ln w="9525" cap="flat" cmpd="sng" algn="ctr">
      <a:gradFill>
        <a:gsLst>
          <a:gs pos="0">
            <a:schemeClr val="accent1">
              <a:lumMod val="5000"/>
              <a:lumOff val="95000"/>
            </a:schemeClr>
          </a:gs>
          <a:gs pos="59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828794144835837E-2"/>
          <c:y val="0.16008102141242792"/>
          <c:w val="0.91246577717949939"/>
          <c:h val="0.75975396312633492"/>
        </c:manualLayout>
      </c:layout>
      <c:barChart>
        <c:barDir val="col"/>
        <c:grouping val="clustered"/>
        <c:varyColors val="0"/>
        <c:ser>
          <c:idx val="0"/>
          <c:order val="0"/>
          <c:tx>
            <c:strRef>
              <c:f>'III.1.4.Afil. SFS'!$B$3</c:f>
              <c:strCache>
                <c:ptCount val="1"/>
                <c:pt idx="0">
                  <c:v>Afiliación  RC</c:v>
                </c:pt>
              </c:strCache>
            </c:strRef>
          </c:tx>
          <c:spPr>
            <a:solidFill>
              <a:schemeClr val="accent1">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'III.1.4.Afil. SFS'!$B$4:$B$15</c:f>
              <c:numCache>
                <c:formatCode>_(* #,##0_);_(* \(#,##0\);_(* "-"_);_(@_)</c:formatCode>
                <c:ptCount val="12"/>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3473780</c:v>
                </c:pt>
              </c:numCache>
            </c:numRef>
          </c:val>
        </c:ser>
        <c:ser>
          <c:idx val="1"/>
          <c:order val="1"/>
          <c:tx>
            <c:strRef>
              <c:f>'III.1.4.Afil. SFS'!$C$3</c:f>
              <c:strCache>
                <c:ptCount val="1"/>
                <c:pt idx="0">
                  <c:v>Afiliación RS</c:v>
                </c:pt>
              </c:strCache>
            </c:strRef>
          </c:tx>
          <c:spPr>
            <a:solidFill>
              <a:schemeClr val="accent3">
                <a:lumMod val="50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'III.1.4.Afil. SFS'!$C$4:$C$15</c:f>
              <c:numCache>
                <c:formatCode>#,##0</c:formatCode>
                <c:ptCount val="12"/>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3298747</c:v>
                </c:pt>
              </c:numCache>
            </c:numRef>
          </c:val>
        </c:ser>
        <c:ser>
          <c:idx val="2"/>
          <c:order val="2"/>
          <c:tx>
            <c:strRef>
              <c:f>'III.1.4.Afil. SFS'!$D$3</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'III.1.4.Afil. SFS'!$D$4:$D$15</c:f>
              <c:numCache>
                <c:formatCode>_(* #,##0.00_);_(* \(#,##0.00\);_(* "-"??_);_(@_)</c:formatCode>
                <c:ptCount val="12"/>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29780</c:v>
                </c:pt>
              </c:numCache>
            </c:numRef>
          </c:val>
        </c:ser>
        <c:dLbls>
          <c:showLegendKey val="0"/>
          <c:showVal val="0"/>
          <c:showCatName val="0"/>
          <c:showSerName val="0"/>
          <c:showPercent val="0"/>
          <c:showBubbleSize val="0"/>
        </c:dLbls>
        <c:gapWidth val="7"/>
        <c:overlap val="1"/>
        <c:axId val="406443512"/>
        <c:axId val="406443904"/>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'III.1.4.Afil. SFS'!$F$4:$F$15</c:f>
              <c:numCache>
                <c:formatCode>_(* #,##0.00_);_(* \(#,##0.00\);_(* "-"??_);_(@_)</c:formatCode>
                <c:ptCount val="12"/>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0.51067674540416952</c:v>
                </c:pt>
              </c:numCache>
            </c:numRef>
          </c:val>
          <c:smooth val="0"/>
        </c:ser>
        <c:ser>
          <c:idx val="4"/>
          <c:order val="4"/>
          <c:tx>
            <c:strRef>
              <c:f>'III.1.4.Afil. SFS'!$G$3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'III.1.4.Afil. SFS'!$G$4:$G$15</c:f>
              <c:numCache>
                <c:formatCode>0.0%</c:formatCode>
                <c:ptCount val="12"/>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0.4849453281070672</c:v>
                </c:pt>
              </c:numCache>
            </c:numRef>
          </c:val>
          <c:smooth val="0"/>
        </c:ser>
        <c:ser>
          <c:idx val="5"/>
          <c:order val="5"/>
          <c:tx>
            <c:strRef>
              <c:f>'III.1.4.Afil. SFS'!$H$3</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'III.1.4.Afil. SFS'!$H$4:$H$15</c:f>
              <c:numCache>
                <c:formatCode>_(* #,##0.00_);_(* \(#,##0.00\);_(* "-"??_);_(@_)</c:formatCode>
                <c:ptCount val="12"/>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4.5648984445043877E-3</c:v>
                </c:pt>
                <c:pt idx="11" formatCode="0.0%">
                  <c:v>4.3779264887632979E-3</c:v>
                </c:pt>
              </c:numCache>
            </c:numRef>
          </c:val>
          <c:smooth val="0"/>
        </c:ser>
        <c:dLbls>
          <c:showLegendKey val="0"/>
          <c:showVal val="0"/>
          <c:showCatName val="0"/>
          <c:showSerName val="0"/>
          <c:showPercent val="0"/>
          <c:showBubbleSize val="0"/>
        </c:dLbls>
        <c:marker val="1"/>
        <c:smooth val="0"/>
        <c:axId val="406445080"/>
        <c:axId val="406444688"/>
      </c:lineChart>
      <c:catAx>
        <c:axId val="406443512"/>
        <c:scaling>
          <c:orientation val="minMax"/>
        </c:scaling>
        <c:delete val="0"/>
        <c:axPos val="b"/>
        <c:numFmt formatCode="General" sourceLinked="0"/>
        <c:majorTickMark val="none"/>
        <c:minorTickMark val="none"/>
        <c:tickLblPos val="nextTo"/>
        <c:txPr>
          <a:bodyPr/>
          <a:lstStyle/>
          <a:p>
            <a:pPr>
              <a:defRPr sz="1800"/>
            </a:pPr>
            <a:endParaRPr lang="es-ES"/>
          </a:p>
        </c:txPr>
        <c:crossAx val="406443904"/>
        <c:crosses val="autoZero"/>
        <c:auto val="1"/>
        <c:lblAlgn val="ctr"/>
        <c:lblOffset val="100"/>
        <c:noMultiLvlLbl val="0"/>
      </c:catAx>
      <c:valAx>
        <c:axId val="406443904"/>
        <c:scaling>
          <c:orientation val="minMax"/>
        </c:scaling>
        <c:delete val="0"/>
        <c:axPos val="l"/>
        <c:numFmt formatCode="_(* #,##0_);_(* \(#,##0\);_(* &quot;-&quot;_);_(@_)" sourceLinked="1"/>
        <c:majorTickMark val="none"/>
        <c:minorTickMark val="none"/>
        <c:tickLblPos val="nextTo"/>
        <c:txPr>
          <a:bodyPr/>
          <a:lstStyle/>
          <a:p>
            <a:pPr>
              <a:defRPr sz="1200"/>
            </a:pPr>
            <a:endParaRPr lang="es-ES"/>
          </a:p>
        </c:txPr>
        <c:crossAx val="406443512"/>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s-ES"/>
              </a:p>
            </c:txPr>
          </c:dispUnitsLbl>
        </c:dispUnits>
      </c:valAx>
      <c:valAx>
        <c:axId val="406444688"/>
        <c:scaling>
          <c:orientation val="minMax"/>
          <c:max val="2"/>
        </c:scaling>
        <c:delete val="0"/>
        <c:axPos val="r"/>
        <c:numFmt formatCode="_(* #,##0.00_);_(* \(#,##0.00\);_(* &quot;-&quot;??_);_(@_)" sourceLinked="1"/>
        <c:majorTickMark val="out"/>
        <c:minorTickMark val="none"/>
        <c:tickLblPos val="nextTo"/>
        <c:crossAx val="406445080"/>
        <c:crosses val="max"/>
        <c:crossBetween val="between"/>
      </c:valAx>
      <c:catAx>
        <c:axId val="406445080"/>
        <c:scaling>
          <c:orientation val="minMax"/>
        </c:scaling>
        <c:delete val="1"/>
        <c:axPos val="b"/>
        <c:numFmt formatCode="General" sourceLinked="1"/>
        <c:majorTickMark val="out"/>
        <c:minorTickMark val="none"/>
        <c:tickLblPos val="nextTo"/>
        <c:crossAx val="406444688"/>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ES" sz="2000"/>
              <a:t>Patrimonio de los Fondos de Pensiones por Año</a:t>
            </a:r>
          </a:p>
          <a:p>
            <a:pPr>
              <a:defRPr sz="2000"/>
            </a:pPr>
            <a:r>
              <a:rPr lang="es-ES" sz="1600"/>
              <a:t>(Millones </a:t>
            </a:r>
            <a:r>
              <a:rPr lang="es-ES" sz="1600" baseline="0"/>
              <a:t>RD$)</a:t>
            </a:r>
            <a:endParaRPr lang="es-ES" sz="1600"/>
          </a:p>
        </c:rich>
      </c:tx>
      <c:layout>
        <c:manualLayout>
          <c:xMode val="edge"/>
          <c:yMode val="edge"/>
          <c:x val="0.28259719028150176"/>
          <c:y val="9.8699565770913981E-3"/>
        </c:manualLayout>
      </c:layout>
      <c:overlay val="0"/>
    </c:title>
    <c:autoTitleDeleted val="0"/>
    <c:plotArea>
      <c:layout>
        <c:manualLayout>
          <c:layoutTarget val="inner"/>
          <c:xMode val="edge"/>
          <c:yMode val="edge"/>
          <c:x val="7.7272871663099846E-2"/>
          <c:y val="0.17030502628157901"/>
          <c:w val="0.81911755603302161"/>
          <c:h val="0.69129532407779648"/>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7031737188139101E-3"/>
                  <c:y val="3.46980382728339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413163235600098E-2"/>
                  <c:y val="2.2315970131031874E-2"/>
                </c:manualLayout>
              </c:layout>
              <c:spPr/>
              <c:txPr>
                <a:bodyPr/>
                <a:lstStyle/>
                <a:p>
                  <a:pPr>
                    <a:defRPr sz="1200" b="1">
                      <a:solidFill>
                        <a:srgbClr val="00206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9568866786056541E-3"/>
                  <c:y val="1.529327889076619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4951075169492307E-2"/>
                  <c:y val="2.9720690592801489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6166586344861015E-2"/>
                  <c:y val="1.967175902841509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Abr.2016*</c:v>
                </c:pt>
              </c:strCache>
            </c:strRef>
          </c:cat>
          <c:val>
            <c:numRef>
              <c:f>'IV.3.5.Patrim. fp anual'!$B$4:$B$17</c:f>
              <c:numCache>
                <c:formatCode>_(* #,##0.00_);_(* \(#,##0.00\);_(* "-"??_);_(@_)</c:formatCode>
                <c:ptCount val="12"/>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389901.69388500002</c:v>
                </c:pt>
              </c:numCache>
            </c:numRef>
          </c:val>
          <c:smooth val="0"/>
        </c:ser>
        <c:dLbls>
          <c:showLegendKey val="0"/>
          <c:showVal val="0"/>
          <c:showCatName val="0"/>
          <c:showSerName val="0"/>
          <c:showPercent val="0"/>
          <c:showBubbleSize val="0"/>
        </c:dLbls>
        <c:marker val="1"/>
        <c:smooth val="0"/>
        <c:axId val="411742880"/>
        <c:axId val="411743272"/>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262256508685596E-2"/>
                  <c:y val="-4.09160212244051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832813761895857E-2"/>
                  <c:y val="-4.3225644272646913E-2"/>
                </c:manualLayout>
              </c:layout>
              <c:spPr/>
              <c:txPr>
                <a:bodyPr/>
                <a:lstStyle/>
                <a:p>
                  <a:pPr>
                    <a:defRPr sz="1400" b="1">
                      <a:solidFill>
                        <a:schemeClr val="accent6">
                          <a:lumMod val="50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2889534077363335E-2"/>
                  <c:y val="-3.0247476924407077E-2"/>
                </c:manualLayout>
              </c:layou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8125146941534284E-2"/>
                  <c:y val="-3.0094975027286294E-2"/>
                </c:manualLayout>
              </c:layou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5.9071140853033367E-2"/>
                  <c:y val="-2.682512594783871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Abr.2016*</c:v>
                </c:pt>
              </c:strCache>
            </c:strRef>
          </c:cat>
          <c:val>
            <c:numRef>
              <c:f>'IV.3.5.Patrim. fp anual'!$E$4:$E$17</c:f>
              <c:numCache>
                <c:formatCode>0.00%</c:formatCode>
                <c:ptCount val="12"/>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0.121632400884671</c:v>
                </c:pt>
                <c:pt idx="11">
                  <c:v>0.12897344308432168</c:v>
                </c:pt>
              </c:numCache>
            </c:numRef>
          </c:val>
          <c:smooth val="0"/>
        </c:ser>
        <c:dLbls>
          <c:showLegendKey val="0"/>
          <c:showVal val="0"/>
          <c:showCatName val="0"/>
          <c:showSerName val="0"/>
          <c:showPercent val="0"/>
          <c:showBubbleSize val="0"/>
        </c:dLbls>
        <c:marker val="1"/>
        <c:smooth val="0"/>
        <c:axId val="411743664"/>
        <c:axId val="411744056"/>
      </c:lineChart>
      <c:catAx>
        <c:axId val="411742880"/>
        <c:scaling>
          <c:orientation val="minMax"/>
        </c:scaling>
        <c:delete val="0"/>
        <c:axPos val="b"/>
        <c:numFmt formatCode="General" sourceLinked="1"/>
        <c:majorTickMark val="none"/>
        <c:minorTickMark val="none"/>
        <c:tickLblPos val="nextTo"/>
        <c:txPr>
          <a:bodyPr/>
          <a:lstStyle/>
          <a:p>
            <a:pPr>
              <a:defRPr sz="1200"/>
            </a:pPr>
            <a:endParaRPr lang="es-ES"/>
          </a:p>
        </c:txPr>
        <c:crossAx val="411743272"/>
        <c:crosses val="autoZero"/>
        <c:auto val="1"/>
        <c:lblAlgn val="ctr"/>
        <c:lblOffset val="100"/>
        <c:noMultiLvlLbl val="0"/>
      </c:catAx>
      <c:valAx>
        <c:axId val="411743272"/>
        <c:scaling>
          <c:orientation val="minMax"/>
        </c:scaling>
        <c:delete val="0"/>
        <c:axPos val="l"/>
        <c:numFmt formatCode="_(* #,##0.00_);_(* \(#,##0.00\);_(* &quot;-&quot;??_);_(@_)" sourceLinked="1"/>
        <c:majorTickMark val="none"/>
        <c:minorTickMark val="none"/>
        <c:tickLblPos val="nextTo"/>
        <c:crossAx val="411742880"/>
        <c:crosses val="autoZero"/>
        <c:crossBetween val="between"/>
      </c:valAx>
      <c:catAx>
        <c:axId val="411743664"/>
        <c:scaling>
          <c:orientation val="minMax"/>
        </c:scaling>
        <c:delete val="1"/>
        <c:axPos val="b"/>
        <c:numFmt formatCode="General" sourceLinked="1"/>
        <c:majorTickMark val="out"/>
        <c:minorTickMark val="none"/>
        <c:tickLblPos val="nextTo"/>
        <c:crossAx val="411744056"/>
        <c:crosses val="autoZero"/>
        <c:auto val="1"/>
        <c:lblAlgn val="ctr"/>
        <c:lblOffset val="100"/>
        <c:noMultiLvlLbl val="0"/>
      </c:catAx>
      <c:valAx>
        <c:axId val="411744056"/>
        <c:scaling>
          <c:orientation val="minMax"/>
        </c:scaling>
        <c:delete val="0"/>
        <c:axPos val="r"/>
        <c:numFmt formatCode="0.00%" sourceLinked="1"/>
        <c:majorTickMark val="out"/>
        <c:minorTickMark val="none"/>
        <c:tickLblPos val="nextTo"/>
        <c:crossAx val="411743664"/>
        <c:crosses val="max"/>
        <c:crossBetween val="between"/>
      </c:valAx>
    </c:plotArea>
    <c:legend>
      <c:legendPos val="b"/>
      <c:layout>
        <c:manualLayout>
          <c:xMode val="edge"/>
          <c:yMode val="edge"/>
          <c:x val="0.21574803544317753"/>
          <c:y val="0.10091978498781465"/>
          <c:w val="0.49755476162030338"/>
          <c:h val="5.2609036038083694E-2"/>
        </c:manualLayout>
      </c:layout>
      <c:overlay val="0"/>
      <c:txPr>
        <a:bodyPr/>
        <a:lstStyle/>
        <a:p>
          <a:pPr rtl="0">
            <a:defRPr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441288771310565"/>
          <c:y val="0.26369432205764887"/>
          <c:w val="0.57116093341496887"/>
          <c:h val="0.52723826858766187"/>
        </c:manualLayout>
      </c:layout>
      <c:pie3DChart>
        <c:varyColors val="1"/>
        <c:ser>
          <c:idx val="0"/>
          <c:order val="0"/>
          <c:tx>
            <c:strRef>
              <c:f>'IV.3.6.Cartera de inv fp'!$B$3</c:f>
              <c:strCache>
                <c:ptCount val="1"/>
                <c:pt idx="0">
                  <c:v>Inversión </c:v>
                </c:pt>
              </c:strCache>
            </c:strRef>
          </c:tx>
          <c:explosion val="10"/>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2.305825528708471E-2"/>
                  <c:y val="-1.326228611789780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Lst>
            </c:dLbl>
            <c:dLbl>
              <c:idx val="1"/>
              <c:layout>
                <c:manualLayout>
                  <c:x val="-2.9914529243454491E-3"/>
                  <c:y val="4.9733572942116902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E2B11A5E-4418-4A84-A41F-F988E1A3CDE3}"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2935BDA7-A14A-48F3-9B18-83837AF4B5C3}" type="VALUE">
                      <a:rPr lang="en-US" sz="1400" b="0">
                        <a:solidFill>
                          <a:sysClr val="windowText" lastClr="000000"/>
                        </a:solidFill>
                      </a:rPr>
                      <a:pPr>
                        <a:defRPr sz="1400" b="0">
                          <a:solidFill>
                            <a:sysClr val="windowText" lastClr="000000"/>
                          </a:solidFill>
                        </a:defRPr>
                      </a:pPr>
                      <a:t>[VALOR]</a:t>
                    </a:fld>
                    <a:r>
                      <a:rPr lang="en-US" sz="1400" b="0">
                        <a:solidFill>
                          <a:sysClr val="windowText" lastClr="000000"/>
                        </a:solidFill>
                      </a:rPr>
                      <a:t> </a:t>
                    </a:r>
                  </a:p>
                  <a:p>
                    <a:pPr>
                      <a:defRPr sz="1400" b="0">
                        <a:solidFill>
                          <a:sysClr val="windowText" lastClr="000000"/>
                        </a:solidFill>
                      </a:defRPr>
                    </a:pPr>
                    <a:fld id="{A107B953-DC03-4019-9FC7-1DF32EC9630D}" type="PERCENTAGE">
                      <a:rPr lang="en-US" sz="1400" b="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F67FA503-0807-454B-A36B-C1E9FE81036A}" type="CATEGORYNAME">
                      <a:rPr lang="en-US"/>
                      <a:pPr>
                        <a:defRPr sz="1400" b="0">
                          <a:solidFill>
                            <a:sysClr val="windowText" lastClr="000000"/>
                          </a:solidFill>
                        </a:defRPr>
                      </a:pPr>
                      <a:t>[NOMBRE DE CATEGORÍA]</a:t>
                    </a:fld>
                    <a:r>
                      <a:rPr lang="en-US" baseline="0"/>
                      <a:t> </a:t>
                    </a:r>
                    <a:fld id="{9B5878A5-6889-406D-8729-43E02699928B}" type="VALUE">
                      <a:rPr lang="en-US" baseline="0"/>
                      <a:pPr>
                        <a:defRPr sz="1400" b="0">
                          <a:solidFill>
                            <a:sysClr val="windowText" lastClr="000000"/>
                          </a:solidFill>
                        </a:defRPr>
                      </a:pPr>
                      <a:t>[VALOR]</a:t>
                    </a:fld>
                    <a:r>
                      <a:rPr lang="en-US" baseline="0"/>
                      <a:t> </a:t>
                    </a:r>
                  </a:p>
                  <a:p>
                    <a:pPr>
                      <a:defRPr sz="1400" b="0">
                        <a:solidFill>
                          <a:sysClr val="windowText" lastClr="000000"/>
                        </a:solidFill>
                      </a:defRPr>
                    </a:pPr>
                    <a:fld id="{B2A92F12-BA2F-4B47-830A-BEEEF1561A75}" type="PERCENTAGE">
                      <a:rPr lang="en-US" baseline="0"/>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extLst>
                <c:ext xmlns:c15="http://schemas.microsoft.com/office/drawing/2012/chart" uri="{CE6537A1-D6FC-4f65-9D91-7224C49458BB}">
                  <c15:layout/>
                  <c15:dlblFieldTable/>
                  <c15:showDataLabelsRange val="0"/>
                </c:ext>
              </c:extLst>
            </c:dLbl>
            <c:dLbl>
              <c:idx val="3"/>
              <c:layout>
                <c:manualLayout>
                  <c:x val="-2.0940170470418143E-2"/>
                  <c:y val="0.10775607470791974"/>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E6A1D61-2EA5-46AA-86C7-22E09D88A8D5}"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6E19EFAC-3097-496F-A2DF-4DC2DF577998}" type="VALUE">
                      <a:rPr lang="en-US" sz="1400" b="0">
                        <a:solidFill>
                          <a:sysClr val="windowText" lastClr="000000"/>
                        </a:solidFill>
                      </a:rPr>
                      <a:pPr>
                        <a:defRPr sz="1400" b="0">
                          <a:solidFill>
                            <a:sysClr val="windowText" lastClr="000000"/>
                          </a:solidFill>
                        </a:defRPr>
                      </a:pPr>
                      <a:t>[VALOR]</a:t>
                    </a:fld>
                    <a:endParaRPr lang="en-US" sz="1400" b="0">
                      <a:solidFill>
                        <a:sysClr val="windowText" lastClr="000000"/>
                      </a:solidFill>
                    </a:endParaRPr>
                  </a:p>
                  <a:p>
                    <a:pPr>
                      <a:defRPr sz="1400" b="0">
                        <a:solidFill>
                          <a:sysClr val="windowText" lastClr="000000"/>
                        </a:solidFill>
                      </a:defRPr>
                    </a:pPr>
                    <a:r>
                      <a:rPr lang="en-US" sz="1400" b="0">
                        <a:solidFill>
                          <a:sysClr val="windowText" lastClr="000000"/>
                        </a:solidFill>
                      </a:rPr>
                      <a:t> </a:t>
                    </a:r>
                    <a:fld id="{CB3F7AF1-1D6C-4BA6-AEAD-40035D3B1DB4}" type="PERCENTAGE">
                      <a:rPr lang="en-US" sz="1400" b="0">
                        <a:solidFill>
                          <a:sysClr val="windowText" lastClr="000000"/>
                        </a:solidFill>
                      </a:rPr>
                      <a:pPr>
                        <a:defRPr sz="1400" b="0">
                          <a:solidFill>
                            <a:sysClr val="windowText" lastClr="000000"/>
                          </a:solidFill>
                        </a:defRPr>
                      </a:pPr>
                      <a:t>[PORCENTAJE]</a:t>
                    </a:fld>
                    <a:endParaRPr lang="en-US" sz="14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6866095814745386E-2"/>
                  <c:y val="1.6577857647371652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7B754A0E-EFF1-43AE-B194-DC2AFA0E67B3}"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1A8C6AD5-165E-4D98-A767-E3039DAEA382}" type="VALUE">
                      <a:rPr lang="en-US" sz="1400" b="0">
                        <a:solidFill>
                          <a:sysClr val="windowText" lastClr="000000"/>
                        </a:solidFill>
                      </a:rPr>
                      <a:pPr>
                        <a:defRPr sz="1400" b="0">
                          <a:solidFill>
                            <a:sysClr val="windowText" lastClr="000000"/>
                          </a:solidFill>
                        </a:defRPr>
                      </a:pPr>
                      <a:t>[VALOR]</a:t>
                    </a:fld>
                    <a:endParaRPr lang="en-US" sz="1400" b="0">
                      <a:solidFill>
                        <a:sysClr val="windowText" lastClr="000000"/>
                      </a:solidFill>
                    </a:endParaRPr>
                  </a:p>
                  <a:p>
                    <a:pPr>
                      <a:defRPr sz="1400" b="0">
                        <a:solidFill>
                          <a:sysClr val="windowText" lastClr="000000"/>
                        </a:solidFill>
                      </a:defRPr>
                    </a:pPr>
                    <a:r>
                      <a:rPr lang="en-US" sz="1400" b="0">
                        <a:solidFill>
                          <a:sysClr val="windowText" lastClr="000000"/>
                        </a:solidFill>
                      </a:rPr>
                      <a:t> </a:t>
                    </a:r>
                    <a:fld id="{52B35206-6507-46DF-AC9A-2E06D7074CA0}" type="PERCENTAGE">
                      <a:rPr lang="en-US" sz="1400" b="0">
                        <a:solidFill>
                          <a:sysClr val="windowText" lastClr="000000"/>
                        </a:solidFill>
                      </a:rPr>
                      <a:pPr>
                        <a:defRPr sz="1400" b="0">
                          <a:solidFill>
                            <a:sysClr val="windowText" lastClr="000000"/>
                          </a:solidFill>
                        </a:defRPr>
                      </a:pPr>
                      <a:t>[PORCENTAJE]</a:t>
                    </a:fld>
                    <a:endParaRPr lang="en-US" sz="14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1.9943019495636326E-2"/>
                  <c:y val="-0.10278271741370801"/>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8002AC98-33CF-4AE9-8A5C-F9DCBAA3248E}"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F15A1B03-C4B5-4A8E-884E-63C90A2839F1}" type="VALUE">
                      <a:rPr lang="en-US" sz="1400" b="0">
                        <a:solidFill>
                          <a:sysClr val="windowText" lastClr="000000"/>
                        </a:solidFill>
                      </a:rPr>
                      <a:pPr>
                        <a:defRPr sz="1400" b="0">
                          <a:solidFill>
                            <a:sysClr val="windowText" lastClr="000000"/>
                          </a:solidFill>
                        </a:defRPr>
                      </a:pPr>
                      <a:t>[VALOR]</a:t>
                    </a:fld>
                    <a:endParaRPr lang="en-US" sz="1400" b="0">
                      <a:solidFill>
                        <a:sysClr val="windowText" lastClr="000000"/>
                      </a:solidFill>
                    </a:endParaRPr>
                  </a:p>
                  <a:p>
                    <a:pPr>
                      <a:defRPr sz="1400" b="0">
                        <a:solidFill>
                          <a:sysClr val="windowText" lastClr="000000"/>
                        </a:solidFill>
                      </a:defRPr>
                    </a:pPr>
                    <a:r>
                      <a:rPr lang="en-US" sz="1400" b="0">
                        <a:solidFill>
                          <a:sysClr val="windowText" lastClr="000000"/>
                        </a:solidFill>
                      </a:rPr>
                      <a:t> </a:t>
                    </a:r>
                    <a:fld id="{6392D63D-6366-4F04-AF20-DBDDA5F76D5A}" type="PERCENTAGE">
                      <a:rPr lang="en-US" sz="1400" b="0">
                        <a:solidFill>
                          <a:sysClr val="windowText" lastClr="000000"/>
                        </a:solidFill>
                      </a:rPr>
                      <a:pPr>
                        <a:defRPr sz="1400" b="0">
                          <a:solidFill>
                            <a:sysClr val="windowText" lastClr="000000"/>
                          </a:solidFill>
                        </a:defRPr>
                      </a:pPr>
                      <a:t>[PORCENTAJE]</a:t>
                    </a:fld>
                    <a:endParaRPr lang="en-US" sz="14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4.9857548739090452E-3"/>
                  <c:y val="-5.802250176580293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FDA0102E-7651-4BFA-A84D-FA204BAA9DF6}" type="CATEGORYNAME">
                      <a:rPr lang="en-US"/>
                      <a:pPr>
                        <a:defRPr sz="1400" b="0">
                          <a:solidFill>
                            <a:sysClr val="windowText" lastClr="000000"/>
                          </a:solidFill>
                        </a:defRPr>
                      </a:pPr>
                      <a:t>[NOMBRE DE CATEGORÍA]</a:t>
                    </a:fld>
                    <a:r>
                      <a:rPr lang="en-US" baseline="0"/>
                      <a:t> </a:t>
                    </a:r>
                    <a:fld id="{32545CEA-525D-4A02-BE8C-811AB55C6F7C}" type="VALUE">
                      <a:rPr lang="en-US" baseline="0"/>
                      <a:pPr>
                        <a:defRPr sz="1400" b="0">
                          <a:solidFill>
                            <a:sysClr val="windowText" lastClr="000000"/>
                          </a:solidFill>
                        </a:defRPr>
                      </a:pPr>
                      <a:t>[VALOR]</a:t>
                    </a:fld>
                    <a:r>
                      <a:rPr lang="en-US" baseline="0"/>
                      <a:t> </a:t>
                    </a:r>
                  </a:p>
                  <a:p>
                    <a:pPr>
                      <a:defRPr sz="1400" b="0">
                        <a:solidFill>
                          <a:sysClr val="windowText" lastClr="000000"/>
                        </a:solidFill>
                      </a:defRPr>
                    </a:pPr>
                    <a:fld id="{8DF9D741-2C0C-45A4-9C5F-96B138DF3392}" type="PERCENTAGE">
                      <a:rPr lang="en-US" baseline="0"/>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2.8917378268672671E-2"/>
                  <c:y val="-5.139135870685400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0F125280-4673-4C86-8891-33DA9B931270}"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E559E465-A6B8-49BC-A348-F981B5C458D2}" type="VALUE">
                      <a:rPr lang="en-US" sz="1400" b="0">
                        <a:solidFill>
                          <a:sysClr val="windowText" lastClr="000000"/>
                        </a:solidFill>
                      </a:rPr>
                      <a:pPr>
                        <a:defRPr sz="1400" b="0">
                          <a:solidFill>
                            <a:sysClr val="windowText" lastClr="000000"/>
                          </a:solidFill>
                        </a:defRPr>
                      </a:pPr>
                      <a:t>[VALOR]</a:t>
                    </a:fld>
                    <a:r>
                      <a:rPr lang="en-US" sz="1400" b="0">
                        <a:solidFill>
                          <a:sysClr val="windowText" lastClr="000000"/>
                        </a:solidFill>
                      </a:rPr>
                      <a:t> </a:t>
                    </a:r>
                  </a:p>
                  <a:p>
                    <a:pPr>
                      <a:defRPr sz="1400" b="0">
                        <a:solidFill>
                          <a:sysClr val="windowText" lastClr="000000"/>
                        </a:solidFill>
                      </a:defRPr>
                    </a:pPr>
                    <a:fld id="{4C2B2944-2465-4231-87CF-54647B3339A8}" type="PERCENTAGE">
                      <a:rPr lang="en-US" sz="1400" b="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República Dominicana</c:v>
                </c:pt>
                <c:pt idx="1">
                  <c:v>Asociación de Ahorros y Préstamos</c:v>
                </c:pt>
                <c:pt idx="2">
                  <c:v>Bancos Comerciales y de Sevicios Múltiples</c:v>
                </c:pt>
                <c:pt idx="3">
                  <c:v>Bancos de Ahorro y Crédito</c:v>
                </c:pt>
                <c:pt idx="4">
                  <c:v>Banco Nacional de Exportaciones </c:v>
                </c:pt>
                <c:pt idx="5">
                  <c:v>Empresas Privadas</c:v>
                </c:pt>
                <c:pt idx="6">
                  <c:v>Cartera Ministerio de Hacienda</c:v>
                </c:pt>
                <c:pt idx="7">
                  <c:v>Organismos Multilarerales</c:v>
                </c:pt>
              </c:strCache>
            </c:strRef>
          </c:cat>
          <c:val>
            <c:numRef>
              <c:f>'IV.3.6.Cartera de inv fp'!$B$4:$B$11</c:f>
              <c:numCache>
                <c:formatCode>"RD$"#,##0.00</c:formatCode>
                <c:ptCount val="8"/>
                <c:pt idx="0">
                  <c:v>162671126476.35001</c:v>
                </c:pt>
                <c:pt idx="1">
                  <c:v>5734906935.4899998</c:v>
                </c:pt>
                <c:pt idx="2">
                  <c:v>91252561371.080002</c:v>
                </c:pt>
                <c:pt idx="3">
                  <c:v>975703383.08000004</c:v>
                </c:pt>
                <c:pt idx="4">
                  <c:v>881323511.63999999</c:v>
                </c:pt>
                <c:pt idx="5">
                  <c:v>9492446692.2900009</c:v>
                </c:pt>
                <c:pt idx="6">
                  <c:v>79721267688.910004</c:v>
                </c:pt>
                <c:pt idx="7">
                  <c:v>351992262.39999998</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4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641586759997472"/>
          <c:y val="0.28738051213429"/>
          <c:w val="0.5691008478345102"/>
          <c:h val="0.51591909802234925"/>
        </c:manualLayout>
      </c:layout>
      <c:pie3DChart>
        <c:varyColors val="1"/>
        <c:ser>
          <c:idx val="0"/>
          <c:order val="0"/>
          <c:tx>
            <c:strRef>
              <c:f>'IV.3.7. Comp. Cartera'!$B$3</c:f>
              <c:strCache>
                <c:ptCount val="1"/>
                <c:pt idx="0">
                  <c:v>Inversión </c:v>
                </c:pt>
              </c:strCache>
            </c:strRef>
          </c:tx>
          <c:explosion val="1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8.2232003190212469E-3"/>
                  <c:y val="1.518163571963941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3.3920701315962878E-2"/>
                  <c:y val="-3.036327143927883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2.4669600957063966E-2"/>
                  <c:y val="5.9039694465264407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6.1674002392659915E-3"/>
                  <c:y val="3.542381667915851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1.5418500598164979E-2"/>
                  <c:y val="2.024218095951922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5.5324651508386037E-2"/>
                  <c:y val="6.4777622707027516E-3"/>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1790966464174635"/>
                      <c:h val="9.9827689098695646E-2"/>
                    </c:manualLayout>
                  </c15:layout>
                  <c15:dlblFieldTable/>
                  <c15:showDataLabelsRange val="0"/>
                </c:ext>
              </c:extLst>
            </c:dLbl>
            <c:dLbl>
              <c:idx val="6"/>
              <c:layout>
                <c:manualLayout>
                  <c:x val="-2.0186195557183536E-2"/>
                  <c:y val="-6.578708811843747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9.2931291979387015E-2"/>
                  <c:y val="-7.9281875424783627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Cartera'!$A$4:$A$11</c:f>
              <c:strCache>
                <c:ptCount val="8"/>
                <c:pt idx="0">
                  <c:v>Bonos del Gobierno Central</c:v>
                </c:pt>
                <c:pt idx="1">
                  <c:v>Nota de Renta Fija </c:v>
                </c:pt>
                <c:pt idx="2">
                  <c:v>Letras hipotecarias</c:v>
                </c:pt>
                <c:pt idx="3">
                  <c:v>Certificados de Ventanillas </c:v>
                </c:pt>
                <c:pt idx="4">
                  <c:v>Certificados de Depósitos</c:v>
                </c:pt>
                <c:pt idx="5">
                  <c:v>Bonos EIF</c:v>
                </c:pt>
                <c:pt idx="6">
                  <c:v>Bonos Corporativos</c:v>
                </c:pt>
                <c:pt idx="7">
                  <c:v>Otras Inversiones</c:v>
                </c:pt>
              </c:strCache>
            </c:strRef>
          </c:cat>
          <c:val>
            <c:numRef>
              <c:f>'IV.3.7. Comp. Cartera'!$B$4:$B$11</c:f>
              <c:numCache>
                <c:formatCode>_(* #,##0.00_);_(* \(#,##0.00\);_(* "-"??_);_(@_)</c:formatCode>
                <c:ptCount val="8"/>
                <c:pt idx="0">
                  <c:v>79721267688.910004</c:v>
                </c:pt>
                <c:pt idx="1">
                  <c:v>47331575749.82</c:v>
                </c:pt>
                <c:pt idx="2">
                  <c:v>198308583.16999999</c:v>
                </c:pt>
                <c:pt idx="3">
                  <c:v>115141242143.36</c:v>
                </c:pt>
                <c:pt idx="4">
                  <c:v>73947210396.25</c:v>
                </c:pt>
                <c:pt idx="5">
                  <c:v>24015961293.400005</c:v>
                </c:pt>
                <c:pt idx="6">
                  <c:v>7123183097.0500002</c:v>
                </c:pt>
                <c:pt idx="7">
                  <c:v>3602579369.2799683</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Nominal Promedio  de los Fondos de Pensiones </a:t>
            </a:r>
          </a:p>
        </c:rich>
      </c:tx>
      <c:layout>
        <c:manualLayout>
          <c:xMode val="edge"/>
          <c:yMode val="edge"/>
          <c:x val="0.33682149035514686"/>
          <c:y val="3.8596492412902104E-2"/>
        </c:manualLayout>
      </c:layout>
      <c:overlay val="1"/>
    </c:title>
    <c:autoTitleDeleted val="0"/>
    <c:plotArea>
      <c:layout>
        <c:manualLayout>
          <c:layoutTarget val="inner"/>
          <c:xMode val="edge"/>
          <c:yMode val="edge"/>
          <c:x val="2.0355767876975319E-2"/>
          <c:y val="5.7226813317579561E-2"/>
          <c:w val="0.92743310875678397"/>
          <c:h val="0.76336241746186795"/>
        </c:manualLayout>
      </c:layout>
      <c:lineChart>
        <c:grouping val="standard"/>
        <c:varyColors val="0"/>
        <c:ser>
          <c:idx val="0"/>
          <c:order val="0"/>
          <c:tx>
            <c:strRef>
              <c:f>'IV.3.8. Rent. nom. de los FP'!$B$4</c:f>
              <c:strCache>
                <c:ptCount val="1"/>
                <c:pt idx="0">
                  <c:v>Promedio CCI</c:v>
                </c:pt>
              </c:strCache>
            </c:strRef>
          </c:tx>
          <c:dLbls>
            <c:dLbl>
              <c:idx val="2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00206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FP'!$A$5:$A$68</c15:sqref>
                  </c15:fullRef>
                </c:ext>
              </c:extLst>
              <c:f>('IV.3.8. Rent. nom. de los FP'!$A$5:$A$58,'IV.3.8. Rent. nom. de los FP'!$A$60:$A$68)</c:f>
              <c:numCache>
                <c:formatCode>mmm\-yy</c:formatCode>
                <c:ptCount val="27"/>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41821</c:v>
                </c:pt>
                <c:pt idx="16">
                  <c:v>41852</c:v>
                </c:pt>
                <c:pt idx="17">
                  <c:v>41944</c:v>
                </c:pt>
                <c:pt idx="18">
                  <c:v>41974</c:v>
                </c:pt>
                <c:pt idx="19">
                  <c:v>42263</c:v>
                </c:pt>
                <c:pt idx="20">
                  <c:v>42293</c:v>
                </c:pt>
                <c:pt idx="21">
                  <c:v>42324</c:v>
                </c:pt>
                <c:pt idx="22">
                  <c:v>42354</c:v>
                </c:pt>
                <c:pt idx="23">
                  <c:v>42370</c:v>
                </c:pt>
                <c:pt idx="24">
                  <c:v>42401</c:v>
                </c:pt>
                <c:pt idx="25">
                  <c:v>42430</c:v>
                </c:pt>
                <c:pt idx="26">
                  <c:v>42461</c:v>
                </c:pt>
              </c:numCache>
            </c:numRef>
          </c:cat>
          <c:val>
            <c:numRef>
              <c:extLst>
                <c:ext xmlns:c15="http://schemas.microsoft.com/office/drawing/2012/chart" uri="{02D57815-91ED-43cb-92C2-25804820EDAC}">
                  <c15:fullRef>
                    <c15:sqref>'IV.3.8. Rent. nom. de los FP'!$B$5:$B$68</c15:sqref>
                  </c15:fullRef>
                </c:ext>
              </c:extLst>
              <c:f>('IV.3.8. Rent. nom. de los FP'!$B$5:$B$58,'IV.3.8. Rent. nom. de los FP'!$B$60:$B$68)</c:f>
              <c:numCache>
                <c:formatCode>0.00%</c:formatCode>
                <c:ptCount val="27"/>
                <c:pt idx="0">
                  <c:v>0.19919999999999999</c:v>
                </c:pt>
                <c:pt idx="1">
                  <c:v>0.1709</c:v>
                </c:pt>
                <c:pt idx="2">
                  <c:v>0.13300000000000001</c:v>
                </c:pt>
                <c:pt idx="3">
                  <c:v>0.1147</c:v>
                </c:pt>
                <c:pt idx="4">
                  <c:v>0.1208</c:v>
                </c:pt>
                <c:pt idx="5">
                  <c:v>0.15529999999999999</c:v>
                </c:pt>
                <c:pt idx="6">
                  <c:v>0.1404</c:v>
                </c:pt>
                <c:pt idx="7">
                  <c:v>0.108409960162953</c:v>
                </c:pt>
                <c:pt idx="8">
                  <c:v>0.113957126516463</c:v>
                </c:pt>
                <c:pt idx="9">
                  <c:v>0.12479999999999999</c:v>
                </c:pt>
                <c:pt idx="10">
                  <c:v>0.13100000000000001</c:v>
                </c:pt>
                <c:pt idx="11">
                  <c:v>0.14269999999999999</c:v>
                </c:pt>
                <c:pt idx="12">
                  <c:v>0.15329999999999999</c:v>
                </c:pt>
                <c:pt idx="13">
                  <c:v>0.132289709655253</c:v>
                </c:pt>
                <c:pt idx="14">
                  <c:v>0.116663916655663</c:v>
                </c:pt>
                <c:pt idx="15">
                  <c:v>0.116796791263615</c:v>
                </c:pt>
                <c:pt idx="16">
                  <c:v>0.1173</c:v>
                </c:pt>
                <c:pt idx="17">
                  <c:v>0.1196</c:v>
                </c:pt>
                <c:pt idx="18">
                  <c:v>0.1202</c:v>
                </c:pt>
                <c:pt idx="19">
                  <c:v>0.11169999999999999</c:v>
                </c:pt>
                <c:pt idx="20">
                  <c:v>0.1103</c:v>
                </c:pt>
                <c:pt idx="21">
                  <c:v>0.1091</c:v>
                </c:pt>
                <c:pt idx="22">
                  <c:v>0.107</c:v>
                </c:pt>
                <c:pt idx="23">
                  <c:v>0.10404529016780302</c:v>
                </c:pt>
                <c:pt idx="24">
                  <c:v>0.1032</c:v>
                </c:pt>
                <c:pt idx="25">
                  <c:v>0.1002</c:v>
                </c:pt>
                <c:pt idx="26">
                  <c:v>9.9400000000000002E-2</c:v>
                </c:pt>
              </c:numCache>
            </c:numRef>
          </c:val>
          <c:smooth val="0"/>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FP'!$A$5:$A$68</c15:sqref>
                  </c15:fullRef>
                </c:ext>
              </c:extLst>
              <c:f>('IV.3.8. Rent. nom. de los FP'!$A$5:$A$58,'IV.3.8. Rent. nom. de los FP'!$A$60:$A$68)</c:f>
              <c:numCache>
                <c:formatCode>mmm\-yy</c:formatCode>
                <c:ptCount val="27"/>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41821</c:v>
                </c:pt>
                <c:pt idx="16">
                  <c:v>41852</c:v>
                </c:pt>
                <c:pt idx="17">
                  <c:v>41944</c:v>
                </c:pt>
                <c:pt idx="18">
                  <c:v>41974</c:v>
                </c:pt>
                <c:pt idx="19">
                  <c:v>42263</c:v>
                </c:pt>
                <c:pt idx="20">
                  <c:v>42293</c:v>
                </c:pt>
                <c:pt idx="21">
                  <c:v>42324</c:v>
                </c:pt>
                <c:pt idx="22">
                  <c:v>42354</c:v>
                </c:pt>
                <c:pt idx="23">
                  <c:v>42370</c:v>
                </c:pt>
                <c:pt idx="24">
                  <c:v>42401</c:v>
                </c:pt>
                <c:pt idx="25">
                  <c:v>42430</c:v>
                </c:pt>
                <c:pt idx="26">
                  <c:v>42461</c:v>
                </c:pt>
              </c:numCache>
            </c:numRef>
          </c:cat>
          <c:val>
            <c:numRef>
              <c:extLst>
                <c:ext xmlns:c15="http://schemas.microsoft.com/office/drawing/2012/chart" uri="{02D57815-91ED-43cb-92C2-25804820EDAC}">
                  <c15:fullRef>
                    <c15:sqref>'IV.3.8. Rent. nom. de los FP'!$C$5:$C$68</c15:sqref>
                  </c15:fullRef>
                </c:ext>
              </c:extLst>
              <c:f>('IV.3.8. Rent. nom. de los FP'!$C$5:$C$58,'IV.3.8. Rent. nom. de los FP'!$C$60:$C$68)</c:f>
              <c:numCache>
                <c:formatCode>0.00%</c:formatCode>
                <c:ptCount val="27"/>
                <c:pt idx="0">
                  <c:v>0.2041</c:v>
                </c:pt>
                <c:pt idx="1">
                  <c:v>0.1696</c:v>
                </c:pt>
                <c:pt idx="2">
                  <c:v>0.13469999999999999</c:v>
                </c:pt>
                <c:pt idx="3">
                  <c:v>0.1148</c:v>
                </c:pt>
                <c:pt idx="4">
                  <c:v>0.13009999999999999</c:v>
                </c:pt>
                <c:pt idx="5">
                  <c:v>0.161</c:v>
                </c:pt>
                <c:pt idx="6">
                  <c:v>0.14330000000000001</c:v>
                </c:pt>
                <c:pt idx="7">
                  <c:v>0.11057333531076501</c:v>
                </c:pt>
                <c:pt idx="8">
                  <c:v>0.115288967128472</c:v>
                </c:pt>
                <c:pt idx="9">
                  <c:v>0.12659999999999999</c:v>
                </c:pt>
                <c:pt idx="10">
                  <c:v>0.1343</c:v>
                </c:pt>
                <c:pt idx="11">
                  <c:v>0.1454</c:v>
                </c:pt>
                <c:pt idx="12">
                  <c:v>0.15759999999999999</c:v>
                </c:pt>
                <c:pt idx="13">
                  <c:v>0.133732017269869</c:v>
                </c:pt>
                <c:pt idx="14">
                  <c:v>0.117645839774349</c:v>
                </c:pt>
                <c:pt idx="15">
                  <c:v>0.118568283938031</c:v>
                </c:pt>
                <c:pt idx="16">
                  <c:v>0.1198</c:v>
                </c:pt>
                <c:pt idx="17">
                  <c:v>0.12239999999999999</c:v>
                </c:pt>
                <c:pt idx="18">
                  <c:v>0.12479999999999999</c:v>
                </c:pt>
                <c:pt idx="19">
                  <c:v>0.1154</c:v>
                </c:pt>
                <c:pt idx="20">
                  <c:v>0.11409999999999999</c:v>
                </c:pt>
                <c:pt idx="21">
                  <c:v>0.11260000000000001</c:v>
                </c:pt>
                <c:pt idx="22">
                  <c:v>0.1108</c:v>
                </c:pt>
                <c:pt idx="23">
                  <c:v>0.10784946747892633</c:v>
                </c:pt>
                <c:pt idx="24">
                  <c:v>0.10730000000000001</c:v>
                </c:pt>
                <c:pt idx="25">
                  <c:v>0.10440000000000001</c:v>
                </c:pt>
                <c:pt idx="26">
                  <c:v>0.1048</c:v>
                </c:pt>
              </c:numCache>
            </c:numRef>
          </c:val>
          <c:smooth val="0"/>
        </c:ser>
        <c:dLbls>
          <c:showLegendKey val="0"/>
          <c:showVal val="0"/>
          <c:showCatName val="0"/>
          <c:showSerName val="0"/>
          <c:showPercent val="0"/>
          <c:showBubbleSize val="0"/>
        </c:dLbls>
        <c:marker val="1"/>
        <c:smooth val="0"/>
        <c:axId val="411745624"/>
        <c:axId val="411746016"/>
      </c:lineChart>
      <c:catAx>
        <c:axId val="411745624"/>
        <c:scaling>
          <c:orientation val="minMax"/>
        </c:scaling>
        <c:delete val="0"/>
        <c:axPos val="b"/>
        <c:numFmt formatCode="mmm\-yy" sourceLinked="1"/>
        <c:majorTickMark val="none"/>
        <c:minorTickMark val="none"/>
        <c:tickLblPos val="nextTo"/>
        <c:txPr>
          <a:bodyPr rot="-2700000" vert="horz"/>
          <a:lstStyle/>
          <a:p>
            <a:pPr>
              <a:defRPr lang="en-US" sz="1600"/>
            </a:pPr>
            <a:endParaRPr lang="es-ES"/>
          </a:p>
        </c:txPr>
        <c:crossAx val="411746016"/>
        <c:crosses val="autoZero"/>
        <c:auto val="0"/>
        <c:lblAlgn val="ctr"/>
        <c:lblOffset val="100"/>
        <c:noMultiLvlLbl val="0"/>
      </c:catAx>
      <c:valAx>
        <c:axId val="411746016"/>
        <c:scaling>
          <c:orientation val="minMax"/>
        </c:scaling>
        <c:delete val="1"/>
        <c:axPos val="l"/>
        <c:numFmt formatCode="0.00%" sourceLinked="1"/>
        <c:majorTickMark val="out"/>
        <c:minorTickMark val="none"/>
        <c:tickLblPos val="nextTo"/>
        <c:crossAx val="411745624"/>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3.1215409733939947E-2"/>
          <c:y val="0.15056896622923183"/>
          <c:w val="0.89483266777078574"/>
          <c:h val="0.80986960307135925"/>
        </c:manualLayout>
      </c:layout>
      <c:lineChart>
        <c:grouping val="standard"/>
        <c:varyColors val="0"/>
        <c:ser>
          <c:idx val="1"/>
          <c:order val="0"/>
          <c:tx>
            <c:strRef>
              <c:f>'IV.3.9.Rentab.Real'!$B$4</c:f>
              <c:strCache>
                <c:ptCount val="1"/>
                <c:pt idx="0">
                  <c:v>Rentabilidad Nominal Promedio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8911402226605197E-2"/>
                  <c:y val="-3.64312360078851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8.8994834007553869E-3"/>
                  <c:y val="-3.761996919309609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42461</c:v>
                </c:pt>
              </c:numCache>
            </c:numRef>
          </c:cat>
          <c:val>
            <c:numRef>
              <c:f>'IV.3.9.Rentab.Real'!$B$5:$B$18</c:f>
              <c:numCache>
                <c:formatCode>0.00%</c:formatCode>
                <c:ptCount val="14"/>
                <c:pt idx="0">
                  <c:v>0.23569999999999999</c:v>
                </c:pt>
                <c:pt idx="1">
                  <c:v>0.2384</c:v>
                </c:pt>
                <c:pt idx="2">
                  <c:v>0.1696</c:v>
                </c:pt>
                <c:pt idx="3">
                  <c:v>0.1148</c:v>
                </c:pt>
                <c:pt idx="4">
                  <c:v>8.4400000000000003E-2</c:v>
                </c:pt>
                <c:pt idx="5">
                  <c:v>0.13009999999999999</c:v>
                </c:pt>
                <c:pt idx="6">
                  <c:v>0.14330000000000001</c:v>
                </c:pt>
                <c:pt idx="7">
                  <c:v>0.11057333531076501</c:v>
                </c:pt>
                <c:pt idx="8">
                  <c:v>0.12659999999999999</c:v>
                </c:pt>
                <c:pt idx="9">
                  <c:v>0.1454</c:v>
                </c:pt>
                <c:pt idx="10">
                  <c:v>0.133732017269869</c:v>
                </c:pt>
                <c:pt idx="11">
                  <c:v>0.12479999999999999</c:v>
                </c:pt>
                <c:pt idx="12">
                  <c:v>0.1108</c:v>
                </c:pt>
                <c:pt idx="13">
                  <c:v>0.1048</c:v>
                </c:pt>
              </c:numCache>
            </c:numRef>
          </c:val>
          <c:smooth val="0"/>
        </c:ser>
        <c:ser>
          <c:idx val="2"/>
          <c:order val="1"/>
          <c:tx>
            <c:strRef>
              <c:f>'IV.3.9.Rentab.Real'!$D$4</c:f>
              <c:strCache>
                <c:ptCount val="1"/>
                <c:pt idx="0">
                  <c:v>Rentabilidad Real</c:v>
                </c:pt>
              </c:strCache>
            </c:strRef>
          </c:tx>
          <c:dLbls>
            <c:dLbl>
              <c:idx val="0"/>
              <c:layout>
                <c:manualLayout>
                  <c:x val="-2.7203790927764725E-2"/>
                  <c:y val="-2.24944739864886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6540283369769626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42461</c:v>
                </c:pt>
              </c:numCache>
            </c:numRef>
          </c:cat>
          <c:val>
            <c:numRef>
              <c:f>'IV.3.9.Rentab.Real'!$D$5:$D$18</c:f>
              <c:numCache>
                <c:formatCode>0.00%</c:formatCode>
                <c:ptCount val="14"/>
                <c:pt idx="0">
                  <c:v>-0.19085027092113202</c:v>
                </c:pt>
                <c:pt idx="1">
                  <c:v>-4.9002405570795549E-2</c:v>
                </c:pt>
                <c:pt idx="2">
                  <c:v>9.522694640222909E-2</c:v>
                </c:pt>
                <c:pt idx="3">
                  <c:v>6.4798092986002573E-2</c:v>
                </c:pt>
                <c:pt idx="4">
                  <c:v>-4.3758808572467445E-3</c:v>
                </c:pt>
                <c:pt idx="5">
                  <c:v>8.4927517181557444E-2</c:v>
                </c:pt>
                <c:pt idx="6">
                  <c:v>8.5651889683350496E-2</c:v>
                </c:pt>
                <c:pt idx="7">
                  <c:v>4.8190284667920788E-2</c:v>
                </c:pt>
                <c:pt idx="8">
                  <c:v>4.8999999999999988E-2</c:v>
                </c:pt>
                <c:pt idx="9">
                  <c:v>0.10630000000000001</c:v>
                </c:pt>
                <c:pt idx="10">
                  <c:v>9.4932017269868996E-2</c:v>
                </c:pt>
                <c:pt idx="11">
                  <c:v>0.10899999999999999</c:v>
                </c:pt>
                <c:pt idx="12">
                  <c:v>8.7399999999999992E-2</c:v>
                </c:pt>
                <c:pt idx="13">
                  <c:v>8.7300000000000003E-2</c:v>
                </c:pt>
              </c:numCache>
            </c:numRef>
          </c:val>
          <c:smooth val="0"/>
        </c:ser>
        <c:ser>
          <c:idx val="0"/>
          <c:order val="2"/>
          <c:tx>
            <c:strRef>
              <c:f>'IV.3.9.Rentab.Real'!$C$4</c:f>
              <c:strCache>
                <c:ptCount val="1"/>
                <c:pt idx="0">
                  <c:v>Inflación Acumulada </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42461</c:v>
                </c:pt>
              </c:numCache>
            </c:numRef>
          </c:cat>
          <c:val>
            <c:numRef>
              <c:f>'IV.3.9.Rentab.Real'!$C$5:$C$18</c:f>
              <c:numCache>
                <c:formatCode>0.00%</c:formatCode>
                <c:ptCount val="14"/>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1.7500000000000002E-2</c:v>
                </c:pt>
              </c:numCache>
            </c:numRef>
          </c:val>
          <c:smooth val="0"/>
        </c:ser>
        <c:dLbls>
          <c:showLegendKey val="0"/>
          <c:showVal val="0"/>
          <c:showCatName val="0"/>
          <c:showSerName val="0"/>
          <c:showPercent val="0"/>
          <c:showBubbleSize val="0"/>
        </c:dLbls>
        <c:marker val="1"/>
        <c:smooth val="0"/>
        <c:axId val="411746800"/>
        <c:axId val="411747192"/>
      </c:lineChart>
      <c:catAx>
        <c:axId val="411746800"/>
        <c:scaling>
          <c:orientation val="minMax"/>
        </c:scaling>
        <c:delete val="0"/>
        <c:axPos val="b"/>
        <c:numFmt formatCode="mmm\-yy" sourceLinked="1"/>
        <c:majorTickMark val="none"/>
        <c:minorTickMark val="none"/>
        <c:tickLblPos val="nextTo"/>
        <c:txPr>
          <a:bodyPr rot="-2700000" vert="horz"/>
          <a:lstStyle/>
          <a:p>
            <a:pPr>
              <a:defRPr lang="en-US" sz="1800"/>
            </a:pPr>
            <a:endParaRPr lang="es-ES"/>
          </a:p>
        </c:txPr>
        <c:crossAx val="411747192"/>
        <c:crosses val="autoZero"/>
        <c:auto val="0"/>
        <c:lblAlgn val="ctr"/>
        <c:lblOffset val="100"/>
        <c:noMultiLvlLbl val="0"/>
      </c:catAx>
      <c:valAx>
        <c:axId val="411747192"/>
        <c:scaling>
          <c:orientation val="minMax"/>
        </c:scaling>
        <c:delete val="1"/>
        <c:axPos val="l"/>
        <c:numFmt formatCode="0.00%" sourceLinked="1"/>
        <c:majorTickMark val="out"/>
        <c:minorTickMark val="none"/>
        <c:tickLblPos val="nextTo"/>
        <c:crossAx val="411746800"/>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632285342295559"/>
          <c:y val="1.11365390547901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56236069376E-2"/>
          <c:y val="0.24659126225929767"/>
          <c:w val="0.90680784910415069"/>
          <c:h val="0.58975368275542606"/>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0"/>
                  </a:pPr>
                  <a:endParaRPr lang="es-ES"/>
                </a:p>
              </c:txPr>
              <c:showLegendKey val="0"/>
              <c:showVal val="1"/>
              <c:showCatName val="0"/>
              <c:showSerName val="0"/>
              <c:showPercent val="0"/>
              <c:showBubbleSize val="0"/>
            </c:dLbl>
            <c:spPr>
              <a:noFill/>
              <a:ln>
                <a:noFill/>
              </a:ln>
              <a:effectLst/>
            </c:spPr>
            <c:txPr>
              <a:bodyPr rot="-5400000" vert="horz"/>
              <a:lstStyle/>
              <a:p>
                <a:pPr>
                  <a:defRPr lang="en-US"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Ene-Abr. 2016</c:v>
                </c:pt>
              </c:strCache>
            </c:strRef>
          </c:cat>
          <c:val>
            <c:numRef>
              <c:f>'IV.4.2.Pagos ARL A'!$B$5:$B$16</c:f>
              <c:numCache>
                <c:formatCode>_(* #,##0.00_);_(* \(#,##0.00\);_(* "-"??_);_(@_)</c:formatCode>
                <c:ptCount val="12"/>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1261211264.9300001</c:v>
                </c:pt>
              </c:numCache>
            </c:numRef>
          </c:val>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s-ES"/>
                </a:p>
              </c:txPr>
              <c:showLegendKey val="0"/>
              <c:showVal val="1"/>
              <c:showCatName val="0"/>
              <c:showSerName val="0"/>
              <c:showPercent val="0"/>
              <c:showBubbleSize val="0"/>
            </c:dLbl>
            <c:dLbl>
              <c:idx val="7"/>
              <c:spPr/>
              <c:txPr>
                <a:bodyPr rot="-5400000" vert="horz"/>
                <a:lstStyle/>
                <a:p>
                  <a:pPr>
                    <a:defRPr lang="en-US" sz="1400" b="0"/>
                  </a:pPr>
                  <a:endParaRPr lang="es-ES"/>
                </a:p>
              </c:txPr>
              <c:showLegendKey val="0"/>
              <c:showVal val="1"/>
              <c:showCatName val="0"/>
              <c:showSerName val="0"/>
              <c:showPercent val="0"/>
              <c:showBubbleSize val="0"/>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0"/>
                  </a:pPr>
                  <a:endParaRPr lang="es-ES"/>
                </a:p>
              </c:txPr>
              <c:showLegendKey val="0"/>
              <c:showVal val="1"/>
              <c:showCatName val="0"/>
              <c:showSerName val="0"/>
              <c:showPercent val="0"/>
              <c:showBubbleSize val="0"/>
            </c:dLbl>
            <c:spPr>
              <a:noFill/>
              <a:ln>
                <a:noFill/>
              </a:ln>
              <a:effectLst/>
            </c:spPr>
            <c:txPr>
              <a:bodyPr rot="-5400000" vert="horz"/>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Ene-Abr. 2016</c:v>
                </c:pt>
              </c:strCache>
            </c:strRef>
          </c:cat>
          <c:val>
            <c:numRef>
              <c:f>'IV.4.2.Pagos ARL A'!$D$5:$D$16</c:f>
              <c:numCache>
                <c:formatCode>_(* #,##0.00_);_(* \(#,##0.00\);_(* "-"??_);_(@_)</c:formatCode>
                <c:ptCount val="12"/>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54497874.280000001</c:v>
                </c:pt>
              </c:numCache>
            </c:numRef>
          </c:val>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Ene-Abr. 2016</c:v>
                </c:pt>
              </c:strCache>
            </c:strRef>
          </c:cat>
          <c:val>
            <c:numRef>
              <c:f>'IV.4.2.Pagos ARL A'!$F$5:$F$16</c:f>
              <c:numCache>
                <c:formatCode>_(* #,##0.00_);_(* \(#,##0.00\);_(* "-"??_);_(@_)</c:formatCode>
                <c:ptCount val="12"/>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5948493.6900000004</c:v>
                </c:pt>
              </c:numCache>
            </c:numRef>
          </c:val>
        </c:ser>
        <c:dLbls>
          <c:showLegendKey val="0"/>
          <c:showVal val="0"/>
          <c:showCatName val="0"/>
          <c:showSerName val="0"/>
          <c:showPercent val="0"/>
          <c:showBubbleSize val="0"/>
        </c:dLbls>
        <c:gapWidth val="75"/>
        <c:shape val="cylinder"/>
        <c:axId val="411747976"/>
        <c:axId val="411748368"/>
        <c:axId val="0"/>
      </c:bar3DChart>
      <c:catAx>
        <c:axId val="411747976"/>
        <c:scaling>
          <c:orientation val="minMax"/>
        </c:scaling>
        <c:delete val="0"/>
        <c:axPos val="b"/>
        <c:numFmt formatCode="General" sourceLinked="1"/>
        <c:majorTickMark val="none"/>
        <c:minorTickMark val="none"/>
        <c:tickLblPos val="nextTo"/>
        <c:txPr>
          <a:bodyPr/>
          <a:lstStyle/>
          <a:p>
            <a:pPr>
              <a:defRPr lang="en-US" sz="1200"/>
            </a:pPr>
            <a:endParaRPr lang="es-ES"/>
          </a:p>
        </c:txPr>
        <c:crossAx val="411748368"/>
        <c:crosses val="autoZero"/>
        <c:auto val="1"/>
        <c:lblAlgn val="ctr"/>
        <c:lblOffset val="100"/>
        <c:noMultiLvlLbl val="0"/>
      </c:catAx>
      <c:valAx>
        <c:axId val="411748368"/>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s-ES"/>
          </a:p>
        </c:txPr>
        <c:crossAx val="411747976"/>
        <c:crosses val="autoZero"/>
        <c:crossBetween val="between"/>
        <c:dispUnits>
          <c:builtInUnit val="millions"/>
          <c:dispUnitsLbl>
            <c:layout>
              <c:manualLayout>
                <c:xMode val="edge"/>
                <c:yMode val="edge"/>
                <c:x val="5.8553823945273146E-3"/>
                <c:y val="0.50740921257990446"/>
              </c:manualLayout>
            </c:layout>
            <c:txPr>
              <a:bodyPr/>
              <a:lstStyle/>
              <a:p>
                <a:pPr>
                  <a:defRPr lang="en-US"/>
                </a:pPr>
                <a:endParaRPr lang="es-ES"/>
              </a:p>
            </c:txPr>
          </c:dispUnitsLbl>
        </c:dispUnits>
      </c:valAx>
      <c:spPr>
        <a:noFill/>
        <a:ln w="25400">
          <a:noFill/>
        </a:ln>
      </c:spPr>
    </c:plotArea>
    <c:legend>
      <c:legendPos val="b"/>
      <c:layout>
        <c:manualLayout>
          <c:xMode val="edge"/>
          <c:yMode val="edge"/>
          <c:x val="0.23844870706682847"/>
          <c:y val="0.1222951582712654"/>
          <c:w val="0.46757489620023718"/>
          <c:h val="5.6548013127436556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596590515906628E-2"/>
          <c:y val="0.26147870096909998"/>
          <c:w val="0.90479395974470733"/>
          <c:h val="0.59675302647997819"/>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4686834103851761E-3"/>
                  <c:y val="-2.4833305345403553E-3"/>
                </c:manualLayout>
              </c:layout>
              <c:spPr/>
              <c:txPr>
                <a:bodyPr rot="-5400000" vert="horz"/>
                <a:lstStyle/>
                <a:p>
                  <a:pPr>
                    <a:defRPr lang="en-US"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Abr.15</c:v>
                </c:pt>
                <c:pt idx="1">
                  <c:v>May.15</c:v>
                </c:pt>
                <c:pt idx="2">
                  <c:v>Jun.15</c:v>
                </c:pt>
                <c:pt idx="3">
                  <c:v>Jul.15</c:v>
                </c:pt>
                <c:pt idx="4">
                  <c:v>Ago.15</c:v>
                </c:pt>
                <c:pt idx="5">
                  <c:v>Sep.15</c:v>
                </c:pt>
                <c:pt idx="6">
                  <c:v>Oct.15</c:v>
                </c:pt>
                <c:pt idx="7">
                  <c:v>Nov.15</c:v>
                </c:pt>
                <c:pt idx="8">
                  <c:v>Dic.15</c:v>
                </c:pt>
                <c:pt idx="9">
                  <c:v>Ene.16</c:v>
                </c:pt>
                <c:pt idx="10">
                  <c:v>Feb.16</c:v>
                </c:pt>
                <c:pt idx="11">
                  <c:v>Mar.16</c:v>
                </c:pt>
                <c:pt idx="12">
                  <c:v>Abr.16</c:v>
                </c:pt>
              </c:strCache>
            </c:strRef>
          </c:cat>
          <c:val>
            <c:numRef>
              <c:f>'IV.4.3.Pagos_ARL M'!$B$5:$B$17</c:f>
              <c:numCache>
                <c:formatCode>_(* #,##0.00_);_(* \(#,##0.00\);_(* "-"??_);_(@_)</c:formatCode>
                <c:ptCount val="13"/>
                <c:pt idx="0">
                  <c:v>189992092.56999999</c:v>
                </c:pt>
                <c:pt idx="1">
                  <c:v>353354533.29000002</c:v>
                </c:pt>
                <c:pt idx="2">
                  <c:v>279764884</c:v>
                </c:pt>
                <c:pt idx="3">
                  <c:v>281881421.44999999</c:v>
                </c:pt>
                <c:pt idx="4">
                  <c:v>282888965.54000002</c:v>
                </c:pt>
                <c:pt idx="5">
                  <c:v>293407782.22000003</c:v>
                </c:pt>
                <c:pt idx="6">
                  <c:v>278623921</c:v>
                </c:pt>
                <c:pt idx="7">
                  <c:v>317659456.31</c:v>
                </c:pt>
                <c:pt idx="8">
                  <c:v>307264282.36000001</c:v>
                </c:pt>
                <c:pt idx="9">
                  <c:v>315184293.00999999</c:v>
                </c:pt>
                <c:pt idx="10">
                  <c:v>303966145.88999999</c:v>
                </c:pt>
                <c:pt idx="11">
                  <c:v>319458708.38</c:v>
                </c:pt>
                <c:pt idx="12">
                  <c:v>322602117.64999998</c:v>
                </c:pt>
              </c:numCache>
            </c:numRef>
          </c:val>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7091583695745174E-3"/>
                  <c:y val="0"/>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Abr.15</c:v>
                </c:pt>
                <c:pt idx="1">
                  <c:v>May.15</c:v>
                </c:pt>
                <c:pt idx="2">
                  <c:v>Jun.15</c:v>
                </c:pt>
                <c:pt idx="3">
                  <c:v>Jul.15</c:v>
                </c:pt>
                <c:pt idx="4">
                  <c:v>Ago.15</c:v>
                </c:pt>
                <c:pt idx="5">
                  <c:v>Sep.15</c:v>
                </c:pt>
                <c:pt idx="6">
                  <c:v>Oct.15</c:v>
                </c:pt>
                <c:pt idx="7">
                  <c:v>Nov.15</c:v>
                </c:pt>
                <c:pt idx="8">
                  <c:v>Dic.15</c:v>
                </c:pt>
                <c:pt idx="9">
                  <c:v>Ene.16</c:v>
                </c:pt>
                <c:pt idx="10">
                  <c:v>Feb.16</c:v>
                </c:pt>
                <c:pt idx="11">
                  <c:v>Mar.16</c:v>
                </c:pt>
                <c:pt idx="12">
                  <c:v>Abr.16</c:v>
                </c:pt>
              </c:strCache>
            </c:strRef>
          </c:cat>
          <c:val>
            <c:numRef>
              <c:f>'IV.4.3.Pagos_ARL M'!$D$5:$D$17</c:f>
              <c:numCache>
                <c:formatCode>_(* #,##0.00_);_(* \(#,##0.00\);_(* "-"??_);_(@_)</c:formatCode>
                <c:ptCount val="13"/>
                <c:pt idx="0">
                  <c:v>11741328.210000001</c:v>
                </c:pt>
                <c:pt idx="1">
                  <c:v>11875285.16</c:v>
                </c:pt>
                <c:pt idx="2">
                  <c:v>12104007.859999999</c:v>
                </c:pt>
                <c:pt idx="3">
                  <c:v>12355560.74</c:v>
                </c:pt>
                <c:pt idx="4">
                  <c:v>12307096.369999999</c:v>
                </c:pt>
                <c:pt idx="5">
                  <c:v>12468251.859999999</c:v>
                </c:pt>
                <c:pt idx="6">
                  <c:v>12752847.9</c:v>
                </c:pt>
                <c:pt idx="7">
                  <c:v>13193620.68</c:v>
                </c:pt>
                <c:pt idx="8">
                  <c:v>13933570.529999999</c:v>
                </c:pt>
                <c:pt idx="9">
                  <c:v>13103067.640000001</c:v>
                </c:pt>
                <c:pt idx="10">
                  <c:v>13409751.439999999</c:v>
                </c:pt>
                <c:pt idx="11">
                  <c:v>14026303.98</c:v>
                </c:pt>
                <c:pt idx="12">
                  <c:v>13958751.220000001</c:v>
                </c:pt>
              </c:numCache>
            </c:numRef>
          </c:val>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4134864611300824E-3"/>
                  <c:y val="-1.2121212121212118E-2"/>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Abr.15</c:v>
                </c:pt>
                <c:pt idx="1">
                  <c:v>May.15</c:v>
                </c:pt>
                <c:pt idx="2">
                  <c:v>Jun.15</c:v>
                </c:pt>
                <c:pt idx="3">
                  <c:v>Jul.15</c:v>
                </c:pt>
                <c:pt idx="4">
                  <c:v>Ago.15</c:v>
                </c:pt>
                <c:pt idx="5">
                  <c:v>Sep.15</c:v>
                </c:pt>
                <c:pt idx="6">
                  <c:v>Oct.15</c:v>
                </c:pt>
                <c:pt idx="7">
                  <c:v>Nov.15</c:v>
                </c:pt>
                <c:pt idx="8">
                  <c:v>Dic.15</c:v>
                </c:pt>
                <c:pt idx="9">
                  <c:v>Ene.16</c:v>
                </c:pt>
                <c:pt idx="10">
                  <c:v>Feb.16</c:v>
                </c:pt>
                <c:pt idx="11">
                  <c:v>Mar.16</c:v>
                </c:pt>
                <c:pt idx="12">
                  <c:v>Abr.16</c:v>
                </c:pt>
              </c:strCache>
            </c:strRef>
          </c:cat>
          <c:val>
            <c:numRef>
              <c:f>'IV.4.3.Pagos_ARL M'!$F$5:$F$17</c:f>
              <c:numCache>
                <c:formatCode>_(* #,##0.00_);_(* \(#,##0.00\);_(* "-"??_);_(@_)</c:formatCode>
                <c:ptCount val="13"/>
                <c:pt idx="0">
                  <c:v>1231109.1000000001</c:v>
                </c:pt>
                <c:pt idx="1">
                  <c:v>1561164.03</c:v>
                </c:pt>
                <c:pt idx="2">
                  <c:v>1492466.15</c:v>
                </c:pt>
                <c:pt idx="3">
                  <c:v>2225538.0099999998</c:v>
                </c:pt>
                <c:pt idx="4">
                  <c:v>1362645.53</c:v>
                </c:pt>
                <c:pt idx="5">
                  <c:v>1798320.91</c:v>
                </c:pt>
                <c:pt idx="6">
                  <c:v>844844.79</c:v>
                </c:pt>
                <c:pt idx="7">
                  <c:v>1748237.03</c:v>
                </c:pt>
                <c:pt idx="8">
                  <c:v>1309940.57</c:v>
                </c:pt>
                <c:pt idx="9">
                  <c:v>1397093.11</c:v>
                </c:pt>
                <c:pt idx="10">
                  <c:v>1283484.58</c:v>
                </c:pt>
                <c:pt idx="11">
                  <c:v>1707954.16</c:v>
                </c:pt>
                <c:pt idx="12">
                  <c:v>1559961.84</c:v>
                </c:pt>
              </c:numCache>
            </c:numRef>
          </c:val>
        </c:ser>
        <c:dLbls>
          <c:showLegendKey val="0"/>
          <c:showVal val="0"/>
          <c:showCatName val="0"/>
          <c:showSerName val="0"/>
          <c:showPercent val="0"/>
          <c:showBubbleSize val="0"/>
        </c:dLbls>
        <c:gapWidth val="75"/>
        <c:shape val="cylinder"/>
        <c:axId val="411749152"/>
        <c:axId val="411749544"/>
        <c:axId val="0"/>
      </c:bar3DChart>
      <c:catAx>
        <c:axId val="411749152"/>
        <c:scaling>
          <c:orientation val="minMax"/>
        </c:scaling>
        <c:delete val="0"/>
        <c:axPos val="b"/>
        <c:numFmt formatCode="mmm\-yy" sourceLinked="0"/>
        <c:majorTickMark val="none"/>
        <c:minorTickMark val="none"/>
        <c:tickLblPos val="nextTo"/>
        <c:txPr>
          <a:bodyPr/>
          <a:lstStyle/>
          <a:p>
            <a:pPr>
              <a:defRPr lang="en-US" sz="1200"/>
            </a:pPr>
            <a:endParaRPr lang="es-ES"/>
          </a:p>
        </c:txPr>
        <c:crossAx val="411749544"/>
        <c:crosses val="autoZero"/>
        <c:auto val="1"/>
        <c:lblAlgn val="ctr"/>
        <c:lblOffset val="100"/>
        <c:noMultiLvlLbl val="1"/>
      </c:catAx>
      <c:valAx>
        <c:axId val="411749544"/>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s-ES"/>
          </a:p>
        </c:txPr>
        <c:crossAx val="411749152"/>
        <c:crosses val="autoZero"/>
        <c:crossBetween val="between"/>
        <c:dispUnits>
          <c:builtInUnit val="millions"/>
          <c:dispUnitsLbl>
            <c:layout>
              <c:manualLayout>
                <c:xMode val="edge"/>
                <c:yMode val="edge"/>
                <c:x val="2.9364571129620698E-3"/>
                <c:y val="0.46932349036454368"/>
              </c:manualLayout>
            </c:layout>
            <c:txPr>
              <a:bodyPr/>
              <a:lstStyle/>
              <a:p>
                <a:pPr>
                  <a:defRPr lang="en-US" b="1"/>
                </a:pPr>
                <a:endParaRPr lang="es-E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Cantidad de Cápitas</a:t>
            </a:r>
            <a:r>
              <a:rPr lang="es-DO" sz="2000" b="1" baseline="0">
                <a:effectLst/>
              </a:rPr>
              <a:t> Pagadas por </a:t>
            </a:r>
            <a:r>
              <a:rPr lang="es-DO" sz="2000" b="1">
                <a:effectLst/>
              </a:rPr>
              <a:t>Niños</a:t>
            </a:r>
            <a:r>
              <a:rPr lang="es-DO" sz="2000" b="1" baseline="0">
                <a:effectLst/>
              </a:rPr>
              <a:t> Afiliados en las </a:t>
            </a:r>
            <a:r>
              <a:rPr lang="es-DO" sz="2000" b="1">
                <a:effectLst/>
              </a:rPr>
              <a:t>Estancias</a:t>
            </a:r>
            <a:r>
              <a:rPr lang="es-DO" sz="2000" b="1" baseline="0">
                <a:effectLst/>
              </a:rPr>
              <a:t> Infantiles (EI) del RC</a:t>
            </a:r>
            <a:endParaRPr lang="es-ES" sz="2000">
              <a:effectLst/>
            </a:endParaRPr>
          </a:p>
        </c:rich>
      </c:tx>
      <c:layout>
        <c:manualLayout>
          <c:xMode val="edge"/>
          <c:yMode val="edge"/>
          <c:x val="0.29697089116474185"/>
          <c:y val="4.0401786278462963E-2"/>
        </c:manualLayout>
      </c:layout>
      <c:overlay val="0"/>
    </c:title>
    <c:autoTitleDeleted val="0"/>
    <c:plotArea>
      <c:layout>
        <c:manualLayout>
          <c:layoutTarget val="inner"/>
          <c:xMode val="edge"/>
          <c:yMode val="edge"/>
          <c:x val="4.7649412191206171E-2"/>
          <c:y val="0.10122251644358547"/>
          <c:w val="0.91598517091914367"/>
          <c:h val="0.71085849543825819"/>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'V.1.3.Afil.EI'!$A$4:$A$20</c:f>
              <c:strCache>
                <c:ptCount val="17"/>
                <c:pt idx="0">
                  <c:v>May. 09</c:v>
                </c:pt>
                <c:pt idx="1">
                  <c:v>Dic.09</c:v>
                </c:pt>
                <c:pt idx="2">
                  <c:v>May.10 </c:v>
                </c:pt>
                <c:pt idx="3">
                  <c:v>Dic.10</c:v>
                </c:pt>
                <c:pt idx="4">
                  <c:v>May.11</c:v>
                </c:pt>
                <c:pt idx="5">
                  <c:v>Dic.11</c:v>
                </c:pt>
                <c:pt idx="6">
                  <c:v>May.12</c:v>
                </c:pt>
                <c:pt idx="7">
                  <c:v>Dic.12</c:v>
                </c:pt>
                <c:pt idx="8">
                  <c:v>May.13</c:v>
                </c:pt>
                <c:pt idx="9">
                  <c:v>Dic.13</c:v>
                </c:pt>
                <c:pt idx="10">
                  <c:v>Dic.14</c:v>
                </c:pt>
                <c:pt idx="11">
                  <c:v>May.15</c:v>
                </c:pt>
                <c:pt idx="12">
                  <c:v>Sep.15</c:v>
                </c:pt>
                <c:pt idx="13">
                  <c:v>Oct.15</c:v>
                </c:pt>
                <c:pt idx="14">
                  <c:v>Nov.15</c:v>
                </c:pt>
                <c:pt idx="15">
                  <c:v>Dic.15</c:v>
                </c:pt>
                <c:pt idx="16">
                  <c:v>Abr.16</c:v>
                </c:pt>
              </c:strCache>
            </c:strRef>
          </c:cat>
          <c:val>
            <c:numRef>
              <c:f>'V.1.3.Afil.EI'!$B$4:$B$20</c:f>
              <c:numCache>
                <c:formatCode>#,##0</c:formatCode>
                <c:ptCount val="17"/>
                <c:pt idx="0">
                  <c:v>601</c:v>
                </c:pt>
                <c:pt idx="1">
                  <c:v>1814</c:v>
                </c:pt>
                <c:pt idx="2">
                  <c:v>2399</c:v>
                </c:pt>
                <c:pt idx="3">
                  <c:v>4254</c:v>
                </c:pt>
                <c:pt idx="4">
                  <c:v>4267</c:v>
                </c:pt>
                <c:pt idx="5">
                  <c:v>5208</c:v>
                </c:pt>
                <c:pt idx="6">
                  <c:v>4988</c:v>
                </c:pt>
                <c:pt idx="7">
                  <c:v>5894</c:v>
                </c:pt>
                <c:pt idx="8">
                  <c:v>5527</c:v>
                </c:pt>
                <c:pt idx="9">
                  <c:v>6648</c:v>
                </c:pt>
                <c:pt idx="10">
                  <c:v>7374</c:v>
                </c:pt>
                <c:pt idx="11">
                  <c:v>5725</c:v>
                </c:pt>
                <c:pt idx="12">
                  <c:v>6125</c:v>
                </c:pt>
                <c:pt idx="13">
                  <c:v>6181</c:v>
                </c:pt>
                <c:pt idx="14">
                  <c:v>12456.742</c:v>
                </c:pt>
                <c:pt idx="15">
                  <c:v>5946</c:v>
                </c:pt>
                <c:pt idx="16">
                  <c:v>5886</c:v>
                </c:pt>
              </c:numCache>
            </c:numRef>
          </c:val>
        </c:ser>
        <c:dLbls>
          <c:showLegendKey val="0"/>
          <c:showVal val="0"/>
          <c:showCatName val="0"/>
          <c:showSerName val="0"/>
          <c:showPercent val="0"/>
          <c:showBubbleSize val="0"/>
        </c:dLbls>
        <c:gapWidth val="51"/>
        <c:overlap val="87"/>
        <c:axId val="411750328"/>
        <c:axId val="411750720"/>
      </c:barChart>
      <c:catAx>
        <c:axId val="411750328"/>
        <c:scaling>
          <c:orientation val="minMax"/>
        </c:scaling>
        <c:delete val="0"/>
        <c:axPos val="b"/>
        <c:numFmt formatCode="General" sourceLinked="1"/>
        <c:majorTickMark val="out"/>
        <c:minorTickMark val="none"/>
        <c:tickLblPos val="nextTo"/>
        <c:txPr>
          <a:bodyPr/>
          <a:lstStyle/>
          <a:p>
            <a:pPr>
              <a:defRPr sz="2000"/>
            </a:pPr>
            <a:endParaRPr lang="es-ES"/>
          </a:p>
        </c:txPr>
        <c:crossAx val="411750720"/>
        <c:crosses val="autoZero"/>
        <c:auto val="1"/>
        <c:lblAlgn val="ctr"/>
        <c:lblOffset val="100"/>
        <c:noMultiLvlLbl val="0"/>
      </c:catAx>
      <c:valAx>
        <c:axId val="411750720"/>
        <c:scaling>
          <c:orientation val="minMax"/>
        </c:scaling>
        <c:delete val="0"/>
        <c:axPos val="l"/>
        <c:numFmt formatCode="#,##0" sourceLinked="1"/>
        <c:majorTickMark val="out"/>
        <c:minorTickMark val="none"/>
        <c:tickLblPos val="nextTo"/>
        <c:crossAx val="41175032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20"/>
      <c:rotY val="20"/>
      <c:rAngAx val="1"/>
    </c:view3D>
    <c:floor>
      <c:thickness val="0"/>
    </c:floor>
    <c:sideWall>
      <c:thickness val="0"/>
    </c:sideWall>
    <c:backWall>
      <c:thickness val="0"/>
    </c:backWall>
    <c:plotArea>
      <c:layout>
        <c:manualLayout>
          <c:layoutTarget val="inner"/>
          <c:xMode val="edge"/>
          <c:yMode val="edge"/>
          <c:x val="9.255662657658191E-2"/>
          <c:y val="0.15382232755632941"/>
          <c:w val="0.8873040639287253"/>
          <c:h val="0.66072759509804357"/>
        </c:manualLayout>
      </c:layout>
      <c:bar3DChart>
        <c:barDir val="col"/>
        <c:grouping val="clustered"/>
        <c:varyColors val="0"/>
        <c:ser>
          <c:idx val="0"/>
          <c:order val="0"/>
          <c:tx>
            <c:strRef>
              <c:f>'V.1.4.Afil.EI'!$D$3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66612377873969E-2"/>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210210473585599E-2"/>
                  <c:y val="-4.384267590838058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210210473585599E-2"/>
                  <c:y val="-3.28820069312854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820095214415158E-3"/>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3538085692973635E-3"/>
                  <c:y val="-3.50741407267044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46637776222255E-2"/>
                  <c:y val="-3.53476261598876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'V.1.4.Afil.EI'!$A$4:$A$11</c:f>
              <c:strCache>
                <c:ptCount val="8"/>
                <c:pt idx="0">
                  <c:v>2009</c:v>
                </c:pt>
                <c:pt idx="1">
                  <c:v>2010</c:v>
                </c:pt>
                <c:pt idx="2">
                  <c:v>2011</c:v>
                </c:pt>
                <c:pt idx="3">
                  <c:v>2012</c:v>
                </c:pt>
                <c:pt idx="4">
                  <c:v>2013</c:v>
                </c:pt>
                <c:pt idx="5">
                  <c:v>2014</c:v>
                </c:pt>
                <c:pt idx="6">
                  <c:v>2015</c:v>
                </c:pt>
                <c:pt idx="7">
                  <c:v>Ene-Abr.2016</c:v>
                </c:pt>
              </c:strCache>
            </c:strRef>
          </c:cat>
          <c:val>
            <c:numRef>
              <c:f>'V.1.4.Afil.EI'!$D$4:$D$11</c:f>
              <c:numCache>
                <c:formatCode>#,##0.0</c:formatCode>
                <c:ptCount val="8"/>
                <c:pt idx="0">
                  <c:v>16656000</c:v>
                </c:pt>
                <c:pt idx="1">
                  <c:v>68030000</c:v>
                </c:pt>
                <c:pt idx="2">
                  <c:v>168385579.84999999</c:v>
                </c:pt>
                <c:pt idx="3">
                  <c:v>182376500</c:v>
                </c:pt>
                <c:pt idx="4">
                  <c:v>215786255.86000001</c:v>
                </c:pt>
                <c:pt idx="5">
                  <c:v>262429320</c:v>
                </c:pt>
                <c:pt idx="6">
                  <c:v>302993808</c:v>
                </c:pt>
                <c:pt idx="7">
                  <c:v>98925936</c:v>
                </c:pt>
              </c:numCache>
            </c:numRef>
          </c:val>
        </c:ser>
        <c:dLbls>
          <c:showLegendKey val="0"/>
          <c:showVal val="0"/>
          <c:showCatName val="0"/>
          <c:showSerName val="0"/>
          <c:showPercent val="0"/>
          <c:showBubbleSize val="0"/>
        </c:dLbls>
        <c:gapWidth val="87"/>
        <c:shape val="cylinder"/>
        <c:axId val="411751504"/>
        <c:axId val="411751896"/>
        <c:axId val="0"/>
      </c:bar3DChart>
      <c:catAx>
        <c:axId val="411751504"/>
        <c:scaling>
          <c:orientation val="minMax"/>
        </c:scaling>
        <c:delete val="0"/>
        <c:axPos val="b"/>
        <c:numFmt formatCode="General" sourceLinked="1"/>
        <c:majorTickMark val="out"/>
        <c:minorTickMark val="none"/>
        <c:tickLblPos val="nextTo"/>
        <c:txPr>
          <a:bodyPr/>
          <a:lstStyle/>
          <a:p>
            <a:pPr>
              <a:defRPr sz="1200"/>
            </a:pPr>
            <a:endParaRPr lang="es-ES"/>
          </a:p>
        </c:txPr>
        <c:crossAx val="411751896"/>
        <c:crosses val="autoZero"/>
        <c:auto val="1"/>
        <c:lblAlgn val="ctr"/>
        <c:lblOffset val="100"/>
        <c:noMultiLvlLbl val="0"/>
      </c:catAx>
      <c:valAx>
        <c:axId val="411751896"/>
        <c:scaling>
          <c:orientation val="minMax"/>
        </c:scaling>
        <c:delete val="0"/>
        <c:axPos val="l"/>
        <c:numFmt formatCode="#,##0.0" sourceLinked="1"/>
        <c:majorTickMark val="out"/>
        <c:minorTickMark val="none"/>
        <c:tickLblPos val="nextTo"/>
        <c:crossAx val="41175150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1">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'!$B$3:$J$3</c:f>
              <c:strCache>
                <c:ptCount val="9"/>
                <c:pt idx="0">
                  <c:v>2008</c:v>
                </c:pt>
                <c:pt idx="1">
                  <c:v>2009</c:v>
                </c:pt>
                <c:pt idx="2">
                  <c:v>2010</c:v>
                </c:pt>
                <c:pt idx="3">
                  <c:v>2011</c:v>
                </c:pt>
                <c:pt idx="4">
                  <c:v>2012</c:v>
                </c:pt>
                <c:pt idx="5">
                  <c:v>2013</c:v>
                </c:pt>
                <c:pt idx="6">
                  <c:v>2014</c:v>
                </c:pt>
                <c:pt idx="7">
                  <c:v>2015</c:v>
                </c:pt>
                <c:pt idx="8">
                  <c:v>Ene-Mar.2016 </c:v>
                </c:pt>
              </c:strCache>
            </c:strRef>
          </c:cat>
          <c:val>
            <c:numRef>
              <c:f>' V.2.3.Benef. subsid '!$B$4:$J$4</c:f>
              <c:numCache>
                <c:formatCode>_(* #,##0_);_(* \(#,##0\);_(* "-"_);_(@_)</c:formatCode>
                <c:ptCount val="9"/>
                <c:pt idx="0">
                  <c:v>2517</c:v>
                </c:pt>
                <c:pt idx="1">
                  <c:v>16948</c:v>
                </c:pt>
                <c:pt idx="2">
                  <c:v>18645</c:v>
                </c:pt>
                <c:pt idx="3">
                  <c:v>14303</c:v>
                </c:pt>
                <c:pt idx="4">
                  <c:v>15292</c:v>
                </c:pt>
                <c:pt idx="5">
                  <c:v>19148</c:v>
                </c:pt>
                <c:pt idx="6">
                  <c:v>19155</c:v>
                </c:pt>
                <c:pt idx="7">
                  <c:v>20496</c:v>
                </c:pt>
                <c:pt idx="8">
                  <c:v>5114</c:v>
                </c:pt>
              </c:numCache>
            </c:numRef>
          </c:val>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'!$B$3:$J$3</c:f>
              <c:strCache>
                <c:ptCount val="9"/>
                <c:pt idx="0">
                  <c:v>2008</c:v>
                </c:pt>
                <c:pt idx="1">
                  <c:v>2009</c:v>
                </c:pt>
                <c:pt idx="2">
                  <c:v>2010</c:v>
                </c:pt>
                <c:pt idx="3">
                  <c:v>2011</c:v>
                </c:pt>
                <c:pt idx="4">
                  <c:v>2012</c:v>
                </c:pt>
                <c:pt idx="5">
                  <c:v>2013</c:v>
                </c:pt>
                <c:pt idx="6">
                  <c:v>2014</c:v>
                </c:pt>
                <c:pt idx="7">
                  <c:v>2015</c:v>
                </c:pt>
                <c:pt idx="8">
                  <c:v>Ene-Mar.2016 </c:v>
                </c:pt>
              </c:strCache>
            </c:strRef>
          </c:cat>
          <c:val>
            <c:numRef>
              <c:f>' V.2.3.Benef. subsid '!$B$5:$J$5</c:f>
              <c:numCache>
                <c:formatCode>_(* #,##0_);_(* \(#,##0\);_(* "-"_);_(@_)</c:formatCode>
                <c:ptCount val="9"/>
                <c:pt idx="0">
                  <c:v>1331</c:v>
                </c:pt>
                <c:pt idx="1">
                  <c:v>12867</c:v>
                </c:pt>
                <c:pt idx="2">
                  <c:v>14073</c:v>
                </c:pt>
                <c:pt idx="3">
                  <c:v>10987</c:v>
                </c:pt>
                <c:pt idx="4">
                  <c:v>9465</c:v>
                </c:pt>
                <c:pt idx="5">
                  <c:v>15638</c:v>
                </c:pt>
                <c:pt idx="6">
                  <c:v>14935</c:v>
                </c:pt>
                <c:pt idx="7">
                  <c:v>17553</c:v>
                </c:pt>
                <c:pt idx="8">
                  <c:v>3166</c:v>
                </c:pt>
              </c:numCache>
            </c:numRef>
          </c:val>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'!$B$3:$J$3</c:f>
              <c:strCache>
                <c:ptCount val="9"/>
                <c:pt idx="0">
                  <c:v>2008</c:v>
                </c:pt>
                <c:pt idx="1">
                  <c:v>2009</c:v>
                </c:pt>
                <c:pt idx="2">
                  <c:v>2010</c:v>
                </c:pt>
                <c:pt idx="3">
                  <c:v>2011</c:v>
                </c:pt>
                <c:pt idx="4">
                  <c:v>2012</c:v>
                </c:pt>
                <c:pt idx="5">
                  <c:v>2013</c:v>
                </c:pt>
                <c:pt idx="6">
                  <c:v>2014</c:v>
                </c:pt>
                <c:pt idx="7">
                  <c:v>2015</c:v>
                </c:pt>
                <c:pt idx="8">
                  <c:v>Ene-Mar.2016 </c:v>
                </c:pt>
              </c:strCache>
            </c:strRef>
          </c:cat>
          <c:val>
            <c:numRef>
              <c:f>' V.2.3.Benef. subsid '!$B$6:$J$6</c:f>
              <c:numCache>
                <c:formatCode>_(* #,##0_);_(* \(#,##0\);_(* "-"_);_(@_)</c:formatCode>
                <c:ptCount val="9"/>
                <c:pt idx="0">
                  <c:v>0</c:v>
                </c:pt>
                <c:pt idx="1">
                  <c:v>3795</c:v>
                </c:pt>
                <c:pt idx="2">
                  <c:v>24841</c:v>
                </c:pt>
                <c:pt idx="3">
                  <c:v>33003</c:v>
                </c:pt>
                <c:pt idx="4">
                  <c:v>37654</c:v>
                </c:pt>
                <c:pt idx="5">
                  <c:v>46049</c:v>
                </c:pt>
                <c:pt idx="6">
                  <c:v>59366</c:v>
                </c:pt>
                <c:pt idx="7">
                  <c:v>74609</c:v>
                </c:pt>
                <c:pt idx="8">
                  <c:v>19825</c:v>
                </c:pt>
              </c:numCache>
            </c:numRef>
          </c:val>
        </c:ser>
        <c:dLbls>
          <c:showLegendKey val="0"/>
          <c:showVal val="0"/>
          <c:showCatName val="0"/>
          <c:showSerName val="0"/>
          <c:showPercent val="0"/>
          <c:showBubbleSize val="0"/>
        </c:dLbls>
        <c:gapWidth val="67"/>
        <c:shape val="cylinder"/>
        <c:axId val="411752288"/>
        <c:axId val="411752680"/>
        <c:axId val="0"/>
      </c:bar3DChart>
      <c:catAx>
        <c:axId val="411752288"/>
        <c:scaling>
          <c:orientation val="minMax"/>
        </c:scaling>
        <c:delete val="0"/>
        <c:axPos val="b"/>
        <c:numFmt formatCode="General" sourceLinked="1"/>
        <c:majorTickMark val="none"/>
        <c:minorTickMark val="none"/>
        <c:tickLblPos val="nextTo"/>
        <c:txPr>
          <a:bodyPr/>
          <a:lstStyle/>
          <a:p>
            <a:pPr>
              <a:defRPr sz="1200"/>
            </a:pPr>
            <a:endParaRPr lang="es-ES"/>
          </a:p>
        </c:txPr>
        <c:crossAx val="411752680"/>
        <c:crosses val="autoZero"/>
        <c:auto val="1"/>
        <c:lblAlgn val="ctr"/>
        <c:lblOffset val="100"/>
        <c:noMultiLvlLbl val="0"/>
      </c:catAx>
      <c:valAx>
        <c:axId val="411752680"/>
        <c:scaling>
          <c:orientation val="minMax"/>
        </c:scaling>
        <c:delete val="1"/>
        <c:axPos val="l"/>
        <c:numFmt formatCode="_(* #,##0_);_(* \(#,##0\);_(* &quot;-&quot;_);_(@_)" sourceLinked="1"/>
        <c:majorTickMark val="out"/>
        <c:minorTickMark val="none"/>
        <c:tickLblPos val="nextTo"/>
        <c:crossAx val="411752288"/>
        <c:crosses val="autoZero"/>
        <c:crossBetween val="between"/>
      </c:valAx>
      <c:spPr>
        <a:noFill/>
        <a:ln w="25400">
          <a:noFill/>
        </a:ln>
      </c:spPr>
    </c:plotArea>
    <c:legend>
      <c:legendPos val="t"/>
      <c:layout>
        <c:manualLayout>
          <c:xMode val="edge"/>
          <c:yMode val="edge"/>
          <c:x val="0.26170637869223418"/>
          <c:y val="0.11374689332244194"/>
          <c:w val="0.43759947285025913"/>
          <c:h val="5.69542745069390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4.1801020601127635E-2"/>
          <c:y val="0.17158467476968944"/>
          <c:w val="0.90278785555260932"/>
          <c:h val="0.7012228044322586"/>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'III.1.5.Cob.Afil. SFS '!$B$4:$B$15</c:f>
              <c:numCache>
                <c:formatCode>#,##0</c:formatCode>
                <c:ptCount val="12"/>
                <c:pt idx="2">
                  <c:v>1599467</c:v>
                </c:pt>
                <c:pt idx="3">
                  <c:v>1729671</c:v>
                </c:pt>
                <c:pt idx="4">
                  <c:v>2096232</c:v>
                </c:pt>
                <c:pt idx="5">
                  <c:v>2417992</c:v>
                </c:pt>
                <c:pt idx="6">
                  <c:v>2586943</c:v>
                </c:pt>
                <c:pt idx="7">
                  <c:v>2747735</c:v>
                </c:pt>
                <c:pt idx="8">
                  <c:v>2965326</c:v>
                </c:pt>
                <c:pt idx="9">
                  <c:v>3224947</c:v>
                </c:pt>
                <c:pt idx="10">
                  <c:v>3407061</c:v>
                </c:pt>
                <c:pt idx="11">
                  <c:v>3560883</c:v>
                </c:pt>
              </c:numCache>
            </c:numRef>
          </c:val>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'III.1.5.Cob.Afil. SFS '!$C$4:$C$15</c:f>
              <c:numCache>
                <c:formatCode>#,##0</c:formatCode>
                <c:ptCount val="12"/>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3277201</c:v>
                </c:pt>
              </c:numCache>
            </c:numRef>
          </c:val>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'III.1.5.Cob.Afil. SFS '!$D$4:$D$15</c:f>
              <c:numCache>
                <c:formatCode>#,##0</c:formatCode>
                <c:ptCount val="12"/>
                <c:pt idx="0">
                  <c:v>0</c:v>
                </c:pt>
                <c:pt idx="1">
                  <c:v>0</c:v>
                </c:pt>
                <c:pt idx="2">
                  <c:v>0</c:v>
                </c:pt>
                <c:pt idx="3">
                  <c:v>0</c:v>
                </c:pt>
                <c:pt idx="4">
                  <c:v>18375</c:v>
                </c:pt>
                <c:pt idx="5">
                  <c:v>27177</c:v>
                </c:pt>
                <c:pt idx="6">
                  <c:v>29648</c:v>
                </c:pt>
                <c:pt idx="7">
                  <c:v>30884</c:v>
                </c:pt>
                <c:pt idx="8">
                  <c:v>29217</c:v>
                </c:pt>
                <c:pt idx="9">
                  <c:v>30470</c:v>
                </c:pt>
                <c:pt idx="10">
                  <c:v>30564</c:v>
                </c:pt>
                <c:pt idx="11">
                  <c:v>29955</c:v>
                </c:pt>
              </c:numCache>
            </c:numRef>
          </c:val>
        </c:ser>
        <c:dLbls>
          <c:showLegendKey val="0"/>
          <c:showVal val="0"/>
          <c:showCatName val="0"/>
          <c:showSerName val="0"/>
          <c:showPercent val="0"/>
          <c:showBubbleSize val="0"/>
        </c:dLbls>
        <c:gapWidth val="7"/>
        <c:overlap val="1"/>
        <c:axId val="406445472"/>
        <c:axId val="406445864"/>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'III.1.5.Cob.Afil. SFS '!$F$4:$F$15</c:f>
              <c:numCache>
                <c:formatCode>0.00%</c:formatCode>
                <c:ptCount val="12"/>
                <c:pt idx="2">
                  <c:v>0.59650377060068926</c:v>
                </c:pt>
                <c:pt idx="3">
                  <c:v>0.5854729727442648</c:v>
                </c:pt>
                <c:pt idx="4">
                  <c:v>0.60571207646384206</c:v>
                </c:pt>
                <c:pt idx="5">
                  <c:v>0.56324036187264759</c:v>
                </c:pt>
                <c:pt idx="6">
                  <c:v>0.56080305645484019</c:v>
                </c:pt>
                <c:pt idx="7">
                  <c:v>0.54164173882189448</c:v>
                </c:pt>
                <c:pt idx="8">
                  <c:v>0.52563263080609535</c:v>
                </c:pt>
                <c:pt idx="9">
                  <c:v>0.5142584279571103</c:v>
                </c:pt>
                <c:pt idx="10">
                  <c:v>0.52030639954723312</c:v>
                </c:pt>
                <c:pt idx="11">
                  <c:v>0.51847157536525346</c:v>
                </c:pt>
              </c:numCache>
            </c:numRef>
          </c:val>
          <c:smooth val="0"/>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'III.1.5.Cob.Afil. SFS '!$G$4:$G$15</c:f>
              <c:numCache>
                <c:formatCode>0.00%</c:formatCode>
                <c:ptCount val="12"/>
                <c:pt idx="0">
                  <c:v>1</c:v>
                </c:pt>
                <c:pt idx="1">
                  <c:v>1</c:v>
                </c:pt>
                <c:pt idx="2">
                  <c:v>0.40349622939931074</c:v>
                </c:pt>
                <c:pt idx="3">
                  <c:v>0.41452702725573515</c:v>
                </c:pt>
                <c:pt idx="4">
                  <c:v>0.3889784160937455</c:v>
                </c:pt>
                <c:pt idx="5">
                  <c:v>0.43042910299133336</c:v>
                </c:pt>
                <c:pt idx="6">
                  <c:v>0.43276978646525005</c:v>
                </c:pt>
                <c:pt idx="7">
                  <c:v>0.45227031475613422</c:v>
                </c:pt>
                <c:pt idx="8">
                  <c:v>0.46918837417809134</c:v>
                </c:pt>
                <c:pt idx="9">
                  <c:v>0.48088274667309194</c:v>
                </c:pt>
                <c:pt idx="10">
                  <c:v>0.47502604539702775</c:v>
                </c:pt>
                <c:pt idx="11">
                  <c:v>0.47716691766019381</c:v>
                </c:pt>
              </c:numCache>
            </c:numRef>
          </c:val>
          <c:smooth val="0"/>
        </c:ser>
        <c:ser>
          <c:idx val="5"/>
          <c:order val="5"/>
          <c:tx>
            <c:strRef>
              <c:f>'III.1.5.Cob.Afil.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Abr. 2016</c:v>
                </c:pt>
              </c:strCache>
            </c:strRef>
          </c:cat>
          <c:val>
            <c:numRef>
              <c:f>'III.1.5.Cob.Afil. SFS '!$H$4:$H$15</c:f>
              <c:numCache>
                <c:formatCode>0.00%</c:formatCode>
                <c:ptCount val="12"/>
                <c:pt idx="4">
                  <c:v>5.309507442412432E-3</c:v>
                </c:pt>
                <c:pt idx="5">
                  <c:v>6.3305351360190372E-3</c:v>
                </c:pt>
                <c:pt idx="6">
                  <c:v>6.4271570799098012E-3</c:v>
                </c:pt>
                <c:pt idx="7">
                  <c:v>6.0879464219713289E-3</c:v>
                </c:pt>
                <c:pt idx="8">
                  <c:v>5.1789950158133329E-3</c:v>
                </c:pt>
                <c:pt idx="9">
                  <c:v>4.8588253697977521E-3</c:v>
                </c:pt>
                <c:pt idx="10">
                  <c:v>4.667555055739135E-3</c:v>
                </c:pt>
                <c:pt idx="11">
                  <c:v>4.361506974552707E-3</c:v>
                </c:pt>
              </c:numCache>
            </c:numRef>
          </c:val>
          <c:smooth val="0"/>
        </c:ser>
        <c:dLbls>
          <c:showLegendKey val="0"/>
          <c:showVal val="0"/>
          <c:showCatName val="0"/>
          <c:showSerName val="0"/>
          <c:showPercent val="0"/>
          <c:showBubbleSize val="0"/>
        </c:dLbls>
        <c:marker val="1"/>
        <c:smooth val="0"/>
        <c:axId val="406446648"/>
        <c:axId val="406446256"/>
      </c:lineChart>
      <c:catAx>
        <c:axId val="406445472"/>
        <c:scaling>
          <c:orientation val="minMax"/>
        </c:scaling>
        <c:delete val="0"/>
        <c:axPos val="b"/>
        <c:numFmt formatCode="General" sourceLinked="0"/>
        <c:majorTickMark val="none"/>
        <c:minorTickMark val="none"/>
        <c:tickLblPos val="nextTo"/>
        <c:txPr>
          <a:bodyPr/>
          <a:lstStyle/>
          <a:p>
            <a:pPr>
              <a:defRPr sz="1800"/>
            </a:pPr>
            <a:endParaRPr lang="es-ES"/>
          </a:p>
        </c:txPr>
        <c:crossAx val="406445864"/>
        <c:crosses val="autoZero"/>
        <c:auto val="1"/>
        <c:lblAlgn val="ctr"/>
        <c:lblOffset val="100"/>
        <c:noMultiLvlLbl val="0"/>
      </c:catAx>
      <c:valAx>
        <c:axId val="406445864"/>
        <c:scaling>
          <c:orientation val="minMax"/>
        </c:scaling>
        <c:delete val="0"/>
        <c:axPos val="l"/>
        <c:numFmt formatCode="#,##0" sourceLinked="1"/>
        <c:majorTickMark val="none"/>
        <c:minorTickMark val="none"/>
        <c:tickLblPos val="nextTo"/>
        <c:txPr>
          <a:bodyPr/>
          <a:lstStyle/>
          <a:p>
            <a:pPr>
              <a:defRPr sz="1200"/>
            </a:pPr>
            <a:endParaRPr lang="es-ES"/>
          </a:p>
        </c:txPr>
        <c:crossAx val="406445472"/>
        <c:crosses val="autoZero"/>
        <c:crossBetween val="between"/>
        <c:dispUnits>
          <c:builtInUnit val="thousands"/>
          <c:dispUnitsLbl>
            <c:layout/>
          </c:dispUnitsLbl>
        </c:dispUnits>
      </c:valAx>
      <c:valAx>
        <c:axId val="406446256"/>
        <c:scaling>
          <c:orientation val="minMax"/>
          <c:max val="2"/>
        </c:scaling>
        <c:delete val="0"/>
        <c:axPos val="r"/>
        <c:numFmt formatCode="0.00%" sourceLinked="1"/>
        <c:majorTickMark val="out"/>
        <c:minorTickMark val="none"/>
        <c:tickLblPos val="nextTo"/>
        <c:crossAx val="406446648"/>
        <c:crosses val="max"/>
        <c:crossBetween val="between"/>
      </c:valAx>
      <c:catAx>
        <c:axId val="406446648"/>
        <c:scaling>
          <c:orientation val="minMax"/>
        </c:scaling>
        <c:delete val="1"/>
        <c:axPos val="b"/>
        <c:numFmt formatCode="General" sourceLinked="1"/>
        <c:majorTickMark val="out"/>
        <c:minorTickMark val="none"/>
        <c:tickLblPos val="nextTo"/>
        <c:crossAx val="406446256"/>
        <c:crosses val="autoZero"/>
        <c:auto val="1"/>
        <c:lblAlgn val="ctr"/>
        <c:lblOffset val="100"/>
        <c:noMultiLvlLbl val="0"/>
      </c:catAx>
    </c:plotArea>
    <c:legend>
      <c:legendPos val="t"/>
      <c:layout>
        <c:manualLayout>
          <c:xMode val="edge"/>
          <c:yMode val="edge"/>
          <c:x val="0.17651726753559829"/>
          <c:y val="7.072648832812814E-2"/>
          <c:w val="0.69629455025323095"/>
          <c:h val="4.188002818955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119756340405543E-2"/>
          <c:y val="0.26316185214641569"/>
          <c:w val="0.96171167961956794"/>
          <c:h val="0.57728723166371443"/>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subsid.'!$B$3:$J$3</c:f>
              <c:strCache>
                <c:ptCount val="9"/>
                <c:pt idx="0">
                  <c:v>2008</c:v>
                </c:pt>
                <c:pt idx="1">
                  <c:v>2009</c:v>
                </c:pt>
                <c:pt idx="2">
                  <c:v>2010</c:v>
                </c:pt>
                <c:pt idx="3">
                  <c:v>2011</c:v>
                </c:pt>
                <c:pt idx="4">
                  <c:v>2012</c:v>
                </c:pt>
                <c:pt idx="5">
                  <c:v>2013</c:v>
                </c:pt>
                <c:pt idx="6">
                  <c:v>2014</c:v>
                </c:pt>
                <c:pt idx="7">
                  <c:v>2015</c:v>
                </c:pt>
                <c:pt idx="8">
                  <c:v>Ene-Mar.2016 </c:v>
                </c:pt>
              </c:strCache>
            </c:strRef>
          </c:cat>
          <c:val>
            <c:numRef>
              <c:f>'V.2.4. Monto subsid.'!$B$4:$J$4</c:f>
              <c:numCache>
                <c:formatCode>_(* #,##0.00_);_(* \(#,##0.00\);_(* "-"_);_(@_)</c:formatCode>
                <c:ptCount val="9"/>
                <c:pt idx="0">
                  <c:v>69129032.280000001</c:v>
                </c:pt>
                <c:pt idx="1">
                  <c:v>561724059.99000001</c:v>
                </c:pt>
                <c:pt idx="2">
                  <c:v>668415203.51999998</c:v>
                </c:pt>
                <c:pt idx="3">
                  <c:v>537305292.14999998</c:v>
                </c:pt>
                <c:pt idx="4">
                  <c:v>571314822.09000003</c:v>
                </c:pt>
                <c:pt idx="5">
                  <c:v>766134331.44000006</c:v>
                </c:pt>
                <c:pt idx="6">
                  <c:v>833145694.23000002</c:v>
                </c:pt>
                <c:pt idx="7">
                  <c:v>948164663.63999999</c:v>
                </c:pt>
                <c:pt idx="8">
                  <c:v>248352196.80000001</c:v>
                </c:pt>
              </c:numCache>
            </c:numRef>
          </c:val>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subsid.'!$B$3:$J$3</c:f>
              <c:strCache>
                <c:ptCount val="9"/>
                <c:pt idx="0">
                  <c:v>2008</c:v>
                </c:pt>
                <c:pt idx="1">
                  <c:v>2009</c:v>
                </c:pt>
                <c:pt idx="2">
                  <c:v>2010</c:v>
                </c:pt>
                <c:pt idx="3">
                  <c:v>2011</c:v>
                </c:pt>
                <c:pt idx="4">
                  <c:v>2012</c:v>
                </c:pt>
                <c:pt idx="5">
                  <c:v>2013</c:v>
                </c:pt>
                <c:pt idx="6">
                  <c:v>2014</c:v>
                </c:pt>
                <c:pt idx="7">
                  <c:v>2015</c:v>
                </c:pt>
                <c:pt idx="8">
                  <c:v>Ene-Mar.2016 </c:v>
                </c:pt>
              </c:strCache>
            </c:strRef>
          </c:cat>
          <c:val>
            <c:numRef>
              <c:f>'V.2.4. Monto subsid.'!$B$5:$J$5</c:f>
              <c:numCache>
                <c:formatCode>_(* #,##0.00_);_(* \(#,##0.00\);_(* "-"_);_(@_)</c:formatCode>
                <c:ptCount val="9"/>
                <c:pt idx="0">
                  <c:v>13366656.84</c:v>
                </c:pt>
                <c:pt idx="1">
                  <c:v>132999984.59999999</c:v>
                </c:pt>
                <c:pt idx="2">
                  <c:v>160430705.63999999</c:v>
                </c:pt>
                <c:pt idx="3">
                  <c:v>137088478.56</c:v>
                </c:pt>
                <c:pt idx="4">
                  <c:v>132457033.44</c:v>
                </c:pt>
                <c:pt idx="5">
                  <c:v>228137238.59999999</c:v>
                </c:pt>
                <c:pt idx="6">
                  <c:v>241574218.91999999</c:v>
                </c:pt>
                <c:pt idx="7">
                  <c:v>292418740.56</c:v>
                </c:pt>
                <c:pt idx="8">
                  <c:v>55569571.32</c:v>
                </c:pt>
              </c:numCache>
            </c:numRef>
          </c:val>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subsid.'!$B$3:$J$3</c:f>
              <c:strCache>
                <c:ptCount val="9"/>
                <c:pt idx="0">
                  <c:v>2008</c:v>
                </c:pt>
                <c:pt idx="1">
                  <c:v>2009</c:v>
                </c:pt>
                <c:pt idx="2">
                  <c:v>2010</c:v>
                </c:pt>
                <c:pt idx="3">
                  <c:v>2011</c:v>
                </c:pt>
                <c:pt idx="4">
                  <c:v>2012</c:v>
                </c:pt>
                <c:pt idx="5">
                  <c:v>2013</c:v>
                </c:pt>
                <c:pt idx="6">
                  <c:v>2014</c:v>
                </c:pt>
                <c:pt idx="7">
                  <c:v>2015</c:v>
                </c:pt>
                <c:pt idx="8">
                  <c:v>Ene-Mar.2016 </c:v>
                </c:pt>
              </c:strCache>
            </c:strRef>
          </c:cat>
          <c:val>
            <c:numRef>
              <c:f>'V.2.4. Monto subsid.'!$B$6:$J$6</c:f>
              <c:numCache>
                <c:formatCode>_(* #,##0.00_);_(* \(#,##0.00\);_(* "-"_);_(@_)</c:formatCode>
                <c:ptCount val="9"/>
                <c:pt idx="0">
                  <c:v>0</c:v>
                </c:pt>
                <c:pt idx="1">
                  <c:v>14428645.85</c:v>
                </c:pt>
                <c:pt idx="2">
                  <c:v>100999551.52</c:v>
                </c:pt>
                <c:pt idx="3">
                  <c:v>134096281.95999999</c:v>
                </c:pt>
                <c:pt idx="4">
                  <c:v>157835997.61000001</c:v>
                </c:pt>
                <c:pt idx="5">
                  <c:v>211271694.63</c:v>
                </c:pt>
                <c:pt idx="6">
                  <c:v>248732154.31</c:v>
                </c:pt>
                <c:pt idx="7">
                  <c:v>363517045.23000002</c:v>
                </c:pt>
                <c:pt idx="8">
                  <c:v>109141712.63</c:v>
                </c:pt>
              </c:numCache>
            </c:numRef>
          </c:val>
        </c:ser>
        <c:dLbls>
          <c:showLegendKey val="0"/>
          <c:showVal val="0"/>
          <c:showCatName val="0"/>
          <c:showSerName val="0"/>
          <c:showPercent val="0"/>
          <c:showBubbleSize val="0"/>
        </c:dLbls>
        <c:gapWidth val="89"/>
        <c:shape val="cylinder"/>
        <c:axId val="411753464"/>
        <c:axId val="411753856"/>
        <c:axId val="0"/>
      </c:bar3DChart>
      <c:catAx>
        <c:axId val="411753464"/>
        <c:scaling>
          <c:orientation val="minMax"/>
        </c:scaling>
        <c:delete val="0"/>
        <c:axPos val="b"/>
        <c:numFmt formatCode="General" sourceLinked="1"/>
        <c:majorTickMark val="none"/>
        <c:minorTickMark val="none"/>
        <c:tickLblPos val="nextTo"/>
        <c:txPr>
          <a:bodyPr/>
          <a:lstStyle/>
          <a:p>
            <a:pPr>
              <a:defRPr sz="1600"/>
            </a:pPr>
            <a:endParaRPr lang="es-ES"/>
          </a:p>
        </c:txPr>
        <c:crossAx val="411753856"/>
        <c:crosses val="autoZero"/>
        <c:auto val="1"/>
        <c:lblAlgn val="ctr"/>
        <c:lblOffset val="100"/>
        <c:noMultiLvlLbl val="0"/>
      </c:catAx>
      <c:valAx>
        <c:axId val="411753856"/>
        <c:scaling>
          <c:orientation val="minMax"/>
        </c:scaling>
        <c:delete val="1"/>
        <c:axPos val="l"/>
        <c:numFmt formatCode="_(* #,##0.00_);_(* \(#,##0.00\);_(* &quot;-&quot;_);_(@_)" sourceLinked="1"/>
        <c:majorTickMark val="out"/>
        <c:minorTickMark val="none"/>
        <c:tickLblPos val="nextTo"/>
        <c:crossAx val="41175346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7943978553499396"/>
          <c:w val="0.91407188777001369"/>
          <c:h val="0.62378676176009029"/>
        </c:manualLayout>
      </c:layout>
      <c:bar3DChart>
        <c:barDir val="col"/>
        <c:grouping val="clustered"/>
        <c:varyColors val="0"/>
        <c:ser>
          <c:idx val="0"/>
          <c:order val="0"/>
          <c:tx>
            <c:strRef>
              <c:f>'V.3.2 Pensiones por año'!$C$4</c:f>
              <c:strCache>
                <c:ptCount val="1"/>
                <c:pt idx="0">
                  <c:v>Pensiones 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Abr.2016</c:v>
                </c:pt>
              </c:strCache>
            </c:strRef>
          </c:cat>
          <c:val>
            <c:numRef>
              <c:f>'V.3.2 Pensiones por año'!$C$5:$C$18</c:f>
              <c:numCache>
                <c:formatCode>#,##0</c:formatCode>
                <c:ptCount val="14"/>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269</c:v>
                </c:pt>
              </c:numCache>
            </c:numRef>
          </c:val>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Abr.2016</c:v>
                </c:pt>
              </c:strCache>
            </c:strRef>
          </c:cat>
          <c:val>
            <c:numRef>
              <c:f>'V.3.2 Pensiones por año'!$B$5:$B$18</c:f>
              <c:numCache>
                <c:formatCode>#,##0</c:formatCode>
                <c:ptCount val="14"/>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209</c:v>
                </c:pt>
              </c:numCache>
            </c:numRef>
          </c:val>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Abr.2016</c:v>
                </c:pt>
              </c:strCache>
            </c:strRef>
          </c:cat>
          <c:val>
            <c:numRef>
              <c:f>'V.3.2 Pensiones por año'!$D$5:$D$18</c:f>
              <c:numCache>
                <c:formatCode>_(* #,##0_);_(* \(#,##0\);_(* "-"_);_(@_)</c:formatCode>
                <c:ptCount val="14"/>
                <c:pt idx="3">
                  <c:v>3</c:v>
                </c:pt>
                <c:pt idx="6">
                  <c:v>1</c:v>
                </c:pt>
                <c:pt idx="7">
                  <c:v>1</c:v>
                </c:pt>
                <c:pt idx="9">
                  <c:v>1</c:v>
                </c:pt>
                <c:pt idx="10">
                  <c:v>8</c:v>
                </c:pt>
                <c:pt idx="11">
                  <c:v>7</c:v>
                </c:pt>
                <c:pt idx="12">
                  <c:v>0</c:v>
                </c:pt>
                <c:pt idx="13">
                  <c:v>0</c:v>
                </c:pt>
              </c:numCache>
            </c:numRef>
          </c:val>
        </c:ser>
        <c:dLbls>
          <c:showLegendKey val="0"/>
          <c:showVal val="0"/>
          <c:showCatName val="0"/>
          <c:showSerName val="0"/>
          <c:showPercent val="0"/>
          <c:showBubbleSize val="0"/>
        </c:dLbls>
        <c:gapWidth val="49"/>
        <c:shape val="cylinder"/>
        <c:axId val="411755032"/>
        <c:axId val="41175542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Lst>
                  </c:dLbl>
                  <c:spPr>
                    <a:noFill/>
                    <a:ln>
                      <a:noFill/>
                    </a:ln>
                    <a:effectLst/>
                  </c:spPr>
                  <c:txPr>
                    <a:bodyPr/>
                    <a:lstStyle/>
                    <a:p>
                      <a:pPr>
                        <a:defRPr sz="1400">
                          <a:solidFill>
                            <a:srgbClr val="FF0000"/>
                          </a:solidFill>
                        </a:defRPr>
                      </a:pPr>
                      <a:endParaRPr lang="es-E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año'!$A$5:$A$18</c15:sqref>
                        </c15:formulaRef>
                      </c:ext>
                    </c:extLst>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Abr.2016</c:v>
                      </c:pt>
                    </c:strCache>
                  </c:strRef>
                </c:cat>
                <c:val>
                  <c:numRef>
                    <c:extLst>
                      <c:ext uri="{02D57815-91ED-43cb-92C2-25804820EDAC}">
                        <c15:formulaRef>
                          <c15:sqref>'V.3.2 Pensiones por año'!#REF!</c15:sqref>
                        </c15:formulaRef>
                      </c:ext>
                    </c:extLst>
                    <c:numCache>
                      <c:formatCode>General</c:formatCode>
                      <c:ptCount val="1"/>
                      <c:pt idx="0">
                        <c:v>1</c:v>
                      </c:pt>
                    </c:numCache>
                  </c:numRef>
                </c:val>
              </c15:ser>
            </c15:filteredBarSeries>
          </c:ext>
        </c:extLst>
      </c:bar3DChart>
      <c:catAx>
        <c:axId val="411755032"/>
        <c:scaling>
          <c:orientation val="minMax"/>
        </c:scaling>
        <c:delete val="0"/>
        <c:axPos val="b"/>
        <c:numFmt formatCode="General" sourceLinked="0"/>
        <c:majorTickMark val="out"/>
        <c:minorTickMark val="none"/>
        <c:tickLblPos val="nextTo"/>
        <c:txPr>
          <a:bodyPr/>
          <a:lstStyle/>
          <a:p>
            <a:pPr>
              <a:defRPr sz="2000"/>
            </a:pPr>
            <a:endParaRPr lang="es-ES"/>
          </a:p>
        </c:txPr>
        <c:crossAx val="411755424"/>
        <c:crosses val="autoZero"/>
        <c:auto val="1"/>
        <c:lblAlgn val="ctr"/>
        <c:lblOffset val="100"/>
        <c:noMultiLvlLbl val="0"/>
      </c:catAx>
      <c:valAx>
        <c:axId val="411755424"/>
        <c:scaling>
          <c:orientation val="minMax"/>
        </c:scaling>
        <c:delete val="0"/>
        <c:axPos val="l"/>
        <c:numFmt formatCode="#,##0" sourceLinked="1"/>
        <c:majorTickMark val="out"/>
        <c:minorTickMark val="none"/>
        <c:tickLblPos val="nextTo"/>
        <c:txPr>
          <a:bodyPr/>
          <a:lstStyle/>
          <a:p>
            <a:pPr>
              <a:defRPr sz="1600"/>
            </a:pPr>
            <a:endParaRPr lang="es-ES"/>
          </a:p>
        </c:txPr>
        <c:crossAx val="41175503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3552392489400376E-2"/>
          <c:y val="0.31140882487890925"/>
          <c:w val="0.91144291338582673"/>
          <c:h val="0.51673103249481178"/>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AFP'!$B$4:$B$11</c:f>
              <c:numCache>
                <c:formatCode>_(* #,##0.00_);_(* \(#,##0.00\);_(* "-"??_);_(@_)</c:formatCode>
                <c:ptCount val="8"/>
                <c:pt idx="0">
                  <c:v>4377.21</c:v>
                </c:pt>
                <c:pt idx="1">
                  <c:v>4406.7</c:v>
                </c:pt>
                <c:pt idx="2">
                  <c:v>3305.85</c:v>
                </c:pt>
                <c:pt idx="3">
                  <c:v>2638.12</c:v>
                </c:pt>
                <c:pt idx="4">
                  <c:v>4073.53</c:v>
                </c:pt>
                <c:pt idx="5">
                  <c:v>9823.9699999999993</c:v>
                </c:pt>
                <c:pt idx="6">
                  <c:v>11688.44</c:v>
                </c:pt>
                <c:pt idx="7">
                  <c:v>5839.19</c:v>
                </c:pt>
              </c:numCache>
            </c:numRef>
          </c:val>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AFP'!$C$4:$C$11</c:f>
              <c:numCache>
                <c:formatCode>_(* #,##0.00_);_(* \(#,##0.00\);_(* "-"??_);_(@_)</c:formatCode>
                <c:ptCount val="8"/>
                <c:pt idx="0">
                  <c:v>9410.2900000000009</c:v>
                </c:pt>
                <c:pt idx="1">
                  <c:v>10551.62</c:v>
                </c:pt>
                <c:pt idx="2">
                  <c:v>7442.83</c:v>
                </c:pt>
                <c:pt idx="3">
                  <c:v>6568.91</c:v>
                </c:pt>
                <c:pt idx="4">
                  <c:v>8845.41</c:v>
                </c:pt>
                <c:pt idx="5">
                  <c:v>30605.45</c:v>
                </c:pt>
                <c:pt idx="6">
                  <c:v>23153</c:v>
                </c:pt>
                <c:pt idx="7">
                  <c:v>15247.27</c:v>
                </c:pt>
              </c:numCache>
            </c:numRef>
          </c:val>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AFP'!$D$4:$D$11</c:f>
              <c:numCache>
                <c:formatCode>_(* #,##0.00_);_(* \(#,##0.00\);_(* "-"??_);_(@_)</c:formatCode>
                <c:ptCount val="8"/>
                <c:pt idx="0">
                  <c:v>7523.34</c:v>
                </c:pt>
                <c:pt idx="1">
                  <c:v>7716.1</c:v>
                </c:pt>
                <c:pt idx="2">
                  <c:v>6150.02</c:v>
                </c:pt>
                <c:pt idx="3">
                  <c:v>4863.8100000000004</c:v>
                </c:pt>
                <c:pt idx="4">
                  <c:v>7154.92</c:v>
                </c:pt>
                <c:pt idx="5">
                  <c:v>25987.34</c:v>
                </c:pt>
                <c:pt idx="6">
                  <c:v>17678.93</c:v>
                </c:pt>
                <c:pt idx="7">
                  <c:v>10877.82</c:v>
                </c:pt>
              </c:numCache>
            </c:numRef>
          </c:val>
        </c:ser>
        <c:dLbls>
          <c:showLegendKey val="0"/>
          <c:showVal val="0"/>
          <c:showCatName val="0"/>
          <c:showSerName val="0"/>
          <c:showPercent val="0"/>
          <c:showBubbleSize val="0"/>
        </c:dLbls>
        <c:gapWidth val="64"/>
        <c:shape val="cylinder"/>
        <c:axId val="411756208"/>
        <c:axId val="411756600"/>
        <c:axId val="0"/>
      </c:bar3DChart>
      <c:catAx>
        <c:axId val="411756208"/>
        <c:scaling>
          <c:orientation val="minMax"/>
        </c:scaling>
        <c:delete val="0"/>
        <c:axPos val="b"/>
        <c:numFmt formatCode="General" sourceLinked="0"/>
        <c:majorTickMark val="out"/>
        <c:minorTickMark val="none"/>
        <c:tickLblPos val="nextTo"/>
        <c:txPr>
          <a:bodyPr/>
          <a:lstStyle/>
          <a:p>
            <a:pPr>
              <a:defRPr sz="1400"/>
            </a:pPr>
            <a:endParaRPr lang="es-ES"/>
          </a:p>
        </c:txPr>
        <c:crossAx val="411756600"/>
        <c:crosses val="autoZero"/>
        <c:auto val="1"/>
        <c:lblAlgn val="ctr"/>
        <c:lblOffset val="100"/>
        <c:noMultiLvlLbl val="0"/>
      </c:catAx>
      <c:valAx>
        <c:axId val="411756600"/>
        <c:scaling>
          <c:orientation val="minMax"/>
        </c:scaling>
        <c:delete val="0"/>
        <c:axPos val="l"/>
        <c:numFmt formatCode="_(* #,##0.00_);_(* \(#,##0.00\);_(* &quot;-&quot;??_);_(@_)" sourceLinked="1"/>
        <c:majorTickMark val="out"/>
        <c:minorTickMark val="none"/>
        <c:tickLblPos val="nextTo"/>
        <c:txPr>
          <a:bodyPr/>
          <a:lstStyle/>
          <a:p>
            <a:pPr>
              <a:defRPr sz="1100"/>
            </a:pPr>
            <a:endParaRPr lang="es-ES"/>
          </a:p>
        </c:txPr>
        <c:crossAx val="411756208"/>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0075093906674855E-2"/>
          <c:y val="0.31660491343691527"/>
          <c:w val="0.88776368451681087"/>
          <c:h val="0.5428334961779413"/>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Sob.Disc'!$B$4:$B$11</c:f>
              <c:numCache>
                <c:formatCode>_(* #,##0.00_);_(* \(#,##0.00\);_(* "-"??_);_(@_)</c:formatCode>
                <c:ptCount val="8"/>
                <c:pt idx="0">
                  <c:v>11742.66</c:v>
                </c:pt>
                <c:pt idx="1">
                  <c:v>12037.37</c:v>
                </c:pt>
                <c:pt idx="2">
                  <c:v>9019.2999999999993</c:v>
                </c:pt>
                <c:pt idx="3">
                  <c:v>9000.41</c:v>
                </c:pt>
                <c:pt idx="4">
                  <c:v>10423.799999999999</c:v>
                </c:pt>
                <c:pt idx="5">
                  <c:v>33333.160000000003</c:v>
                </c:pt>
                <c:pt idx="6">
                  <c:v>11103.35</c:v>
                </c:pt>
                <c:pt idx="7">
                  <c:v>9215.2800000000007</c:v>
                </c:pt>
              </c:numCache>
            </c:numRef>
          </c:val>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Sob.Disc'!$C$4:$C$11</c:f>
              <c:numCache>
                <c:formatCode>_(* #,##0.00_);_(* \(#,##0.00\);_(* "-"??_);_(@_)</c:formatCode>
                <c:ptCount val="8"/>
                <c:pt idx="0">
                  <c:v>7523.34</c:v>
                </c:pt>
                <c:pt idx="1">
                  <c:v>7716.1</c:v>
                </c:pt>
                <c:pt idx="2">
                  <c:v>6150.02</c:v>
                </c:pt>
                <c:pt idx="3">
                  <c:v>4863.8100000000004</c:v>
                </c:pt>
                <c:pt idx="4">
                  <c:v>7154.92</c:v>
                </c:pt>
                <c:pt idx="5">
                  <c:v>25987.34</c:v>
                </c:pt>
                <c:pt idx="6">
                  <c:v>17678.93</c:v>
                </c:pt>
                <c:pt idx="7">
                  <c:v>10877.82</c:v>
                </c:pt>
              </c:numCache>
            </c:numRef>
          </c:val>
        </c:ser>
        <c:dLbls>
          <c:showLegendKey val="0"/>
          <c:showVal val="0"/>
          <c:showCatName val="0"/>
          <c:showSerName val="0"/>
          <c:showPercent val="0"/>
          <c:showBubbleSize val="0"/>
        </c:dLbls>
        <c:gapWidth val="60"/>
        <c:shape val="cylinder"/>
        <c:axId val="468656088"/>
        <c:axId val="468656480"/>
        <c:axId val="0"/>
      </c:bar3DChart>
      <c:catAx>
        <c:axId val="468656088"/>
        <c:scaling>
          <c:orientation val="minMax"/>
        </c:scaling>
        <c:delete val="0"/>
        <c:axPos val="b"/>
        <c:numFmt formatCode="General" sourceLinked="0"/>
        <c:majorTickMark val="out"/>
        <c:minorTickMark val="none"/>
        <c:tickLblPos val="nextTo"/>
        <c:txPr>
          <a:bodyPr/>
          <a:lstStyle/>
          <a:p>
            <a:pPr>
              <a:defRPr sz="900"/>
            </a:pPr>
            <a:endParaRPr lang="es-ES"/>
          </a:p>
        </c:txPr>
        <c:crossAx val="468656480"/>
        <c:crosses val="autoZero"/>
        <c:auto val="1"/>
        <c:lblAlgn val="ctr"/>
        <c:lblOffset val="100"/>
        <c:noMultiLvlLbl val="0"/>
      </c:catAx>
      <c:valAx>
        <c:axId val="468656480"/>
        <c:scaling>
          <c:orientation val="minMax"/>
        </c:scaling>
        <c:delete val="0"/>
        <c:axPos val="l"/>
        <c:numFmt formatCode="_(* #,##0.00_);_(* \(#,##0.00\);_(* &quot;-&quot;??_);_(@_)" sourceLinked="1"/>
        <c:majorTickMark val="out"/>
        <c:minorTickMark val="none"/>
        <c:tickLblPos val="nextTo"/>
        <c:crossAx val="468656088"/>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580885577800451"/>
          <c:y val="1.80533853973270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07192529760444E-2"/>
          <c:y val="0.23271772159609452"/>
          <c:w val="0.96713278021386717"/>
          <c:h val="0.63953353622821429"/>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76411565677287E-3"/>
                  <c:y val="-1.1648037755050755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Ene-Abr.2016</c:v>
                </c:pt>
              </c:strCache>
            </c:strRef>
          </c:cat>
          <c:val>
            <c:numRef>
              <c:f>'V.4.2.NA. Reportes ARL'!$E$4:$E$15</c:f>
              <c:numCache>
                <c:formatCode>0.0%</c:formatCode>
                <c:ptCount val="12"/>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0.98677952438532845</c:v>
                </c:pt>
              </c:numCache>
            </c:numRef>
          </c:val>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6354442659842632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0794305332480329E-2"/>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396135777528317E-2"/>
                  <c:y val="-2.3296075510101509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Ene-Abr.2016</c:v>
                </c:pt>
              </c:strCache>
            </c:strRef>
          </c:cat>
          <c:val>
            <c:numRef>
              <c:f>'V.4.2.NA. Reportes ARL'!$F$4:$F$15</c:f>
              <c:numCache>
                <c:formatCode>0.0%</c:formatCode>
                <c:ptCount val="12"/>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1.3220475614671504E-2</c:v>
                </c:pt>
              </c:numCache>
            </c:numRef>
          </c:val>
        </c:ser>
        <c:dLbls>
          <c:showLegendKey val="0"/>
          <c:showVal val="0"/>
          <c:showCatName val="0"/>
          <c:showSerName val="0"/>
          <c:showPercent val="0"/>
          <c:showBubbleSize val="0"/>
        </c:dLbls>
        <c:gapWidth val="33"/>
        <c:gapDepth val="109"/>
        <c:shape val="cylinder"/>
        <c:axId val="468657264"/>
        <c:axId val="468657656"/>
        <c:axId val="0"/>
      </c:bar3DChart>
      <c:catAx>
        <c:axId val="468657264"/>
        <c:scaling>
          <c:orientation val="minMax"/>
        </c:scaling>
        <c:delete val="0"/>
        <c:axPos val="b"/>
        <c:numFmt formatCode="General" sourceLinked="1"/>
        <c:majorTickMark val="none"/>
        <c:minorTickMark val="none"/>
        <c:tickLblPos val="nextTo"/>
        <c:txPr>
          <a:bodyPr/>
          <a:lstStyle/>
          <a:p>
            <a:pPr>
              <a:defRPr sz="1100"/>
            </a:pPr>
            <a:endParaRPr lang="es-ES"/>
          </a:p>
        </c:txPr>
        <c:crossAx val="468657656"/>
        <c:crosses val="autoZero"/>
        <c:auto val="1"/>
        <c:lblAlgn val="ctr"/>
        <c:lblOffset val="100"/>
        <c:noMultiLvlLbl val="0"/>
      </c:catAx>
      <c:valAx>
        <c:axId val="468657656"/>
        <c:scaling>
          <c:orientation val="minMax"/>
        </c:scaling>
        <c:delete val="1"/>
        <c:axPos val="l"/>
        <c:numFmt formatCode="0.0%" sourceLinked="1"/>
        <c:majorTickMark val="out"/>
        <c:minorTickMark val="none"/>
        <c:tickLblPos val="nextTo"/>
        <c:crossAx val="468657264"/>
        <c:crosses val="autoZero"/>
        <c:crossBetween val="between"/>
      </c:valAx>
      <c:spPr>
        <a:noFill/>
        <a:ln w="25400">
          <a:noFill/>
        </a:ln>
      </c:spPr>
    </c:plotArea>
    <c:legend>
      <c:legendPos val="t"/>
      <c:layout>
        <c:manualLayout>
          <c:xMode val="edge"/>
          <c:yMode val="edge"/>
          <c:x val="0.20389993772299911"/>
          <c:y val="8.3854418854730758E-2"/>
          <c:w val="0.55645139285037359"/>
          <c:h val="4.49090934745734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415269860699051"/>
          <c:y val="0.13544422691237293"/>
          <c:w val="0.80555075224925288"/>
          <c:h val="0.78387164377150675"/>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Ene-Abr.2016</c:v>
                </c:pt>
              </c:strCache>
            </c:strRef>
          </c:cat>
          <c:val>
            <c:numRef>
              <c:f>'V.4.3. NA.Cant. accid x región'!$B$4:$B$15</c:f>
              <c:numCache>
                <c:formatCode>_(* #,##0_);_(* \(#,##0\);_(* "-"??_);_(@_)</c:formatCode>
                <c:ptCount val="12"/>
                <c:pt idx="0">
                  <c:v>3726</c:v>
                </c:pt>
                <c:pt idx="1">
                  <c:v>5469</c:v>
                </c:pt>
                <c:pt idx="2">
                  <c:v>5248</c:v>
                </c:pt>
                <c:pt idx="3">
                  <c:v>5249</c:v>
                </c:pt>
                <c:pt idx="4">
                  <c:v>5951</c:v>
                </c:pt>
                <c:pt idx="5">
                  <c:v>6247</c:v>
                </c:pt>
                <c:pt idx="6">
                  <c:v>7512</c:v>
                </c:pt>
                <c:pt idx="7">
                  <c:v>8554</c:v>
                </c:pt>
                <c:pt idx="8">
                  <c:v>9093</c:v>
                </c:pt>
                <c:pt idx="9">
                  <c:v>10098</c:v>
                </c:pt>
                <c:pt idx="10">
                  <c:v>11104</c:v>
                </c:pt>
                <c:pt idx="11">
                  <c:v>4041</c:v>
                </c:pt>
              </c:numCache>
            </c:numRef>
          </c:val>
        </c:ser>
        <c:ser>
          <c:idx val="1"/>
          <c:order val="1"/>
          <c:tx>
            <c:strRef>
              <c:f>'V.4.3. NA.Cant. accid x región'!$C$3</c:f>
              <c:strCache>
                <c:ptCount val="1"/>
                <c:pt idx="0">
                  <c:v>Región I</c:v>
                </c:pt>
              </c:strCache>
            </c:strRef>
          </c:tx>
          <c:spPr>
            <a:solidFill>
              <a:schemeClr val="accent2"/>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Ene-Abr.2016</c:v>
                </c:pt>
              </c:strCache>
            </c:strRef>
          </c:cat>
          <c:val>
            <c:numRef>
              <c:f>'V.4.3. NA.Cant. accid x región'!$C$4:$C$15</c:f>
              <c:numCache>
                <c:formatCode>_(* #,##0_);_(* \(#,##0\);_(* "-"??_);_(@_)</c:formatCode>
                <c:ptCount val="12"/>
                <c:pt idx="0">
                  <c:v>1</c:v>
                </c:pt>
                <c:pt idx="1">
                  <c:v>10</c:v>
                </c:pt>
                <c:pt idx="2">
                  <c:v>259</c:v>
                </c:pt>
                <c:pt idx="3">
                  <c:v>457</c:v>
                </c:pt>
                <c:pt idx="4">
                  <c:v>466</c:v>
                </c:pt>
                <c:pt idx="5">
                  <c:v>524</c:v>
                </c:pt>
                <c:pt idx="6">
                  <c:v>818</c:v>
                </c:pt>
                <c:pt idx="7">
                  <c:v>1073</c:v>
                </c:pt>
                <c:pt idx="8">
                  <c:v>1147</c:v>
                </c:pt>
                <c:pt idx="9">
                  <c:v>1346</c:v>
                </c:pt>
                <c:pt idx="10">
                  <c:v>1417</c:v>
                </c:pt>
                <c:pt idx="11">
                  <c:v>586</c:v>
                </c:pt>
              </c:numCache>
            </c:numRef>
          </c:val>
        </c:ser>
        <c:ser>
          <c:idx val="2"/>
          <c:order val="2"/>
          <c:tx>
            <c:strRef>
              <c:f>'V.4.3. NA.Cant. accid x región'!$D$3</c:f>
              <c:strCache>
                <c:ptCount val="1"/>
                <c:pt idx="0">
                  <c:v>Región II</c:v>
                </c:pt>
              </c:strCache>
            </c:strRef>
          </c:tx>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Ene-Abr.2016</c:v>
                </c:pt>
              </c:strCache>
            </c:strRef>
          </c:cat>
          <c:val>
            <c:numRef>
              <c:f>'V.4.3. NA.Cant. accid x región'!$D$4:$D$15</c:f>
              <c:numCache>
                <c:formatCode>_(* #,##0_);_(* \(#,##0\);_(* "-"??_);_(@_)</c:formatCode>
                <c:ptCount val="12"/>
                <c:pt idx="0">
                  <c:v>1</c:v>
                </c:pt>
                <c:pt idx="1">
                  <c:v>17</c:v>
                </c:pt>
                <c:pt idx="2">
                  <c:v>1131</c:v>
                </c:pt>
                <c:pt idx="3">
                  <c:v>2480</c:v>
                </c:pt>
                <c:pt idx="4">
                  <c:v>3922</c:v>
                </c:pt>
                <c:pt idx="5">
                  <c:v>4790</c:v>
                </c:pt>
                <c:pt idx="6">
                  <c:v>6018</c:v>
                </c:pt>
                <c:pt idx="7">
                  <c:v>7266</c:v>
                </c:pt>
                <c:pt idx="8">
                  <c:v>8256</c:v>
                </c:pt>
                <c:pt idx="9">
                  <c:v>8494</c:v>
                </c:pt>
                <c:pt idx="10">
                  <c:v>9714</c:v>
                </c:pt>
                <c:pt idx="11">
                  <c:v>3261</c:v>
                </c:pt>
              </c:numCache>
            </c:numRef>
          </c:val>
        </c:ser>
        <c:ser>
          <c:idx val="3"/>
          <c:order val="3"/>
          <c:tx>
            <c:strRef>
              <c:f>'V.4.3. NA.Cant. accid x región'!$E$3</c:f>
              <c:strCache>
                <c:ptCount val="1"/>
                <c:pt idx="0">
                  <c:v>Región III</c:v>
                </c:pt>
              </c:strCache>
            </c:strRef>
          </c:tx>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Ene-Abr.2016</c:v>
                </c:pt>
              </c:strCache>
            </c:strRef>
          </c:cat>
          <c:val>
            <c:numRef>
              <c:f>'V.4.3. NA.Cant. accid x región'!$E$4:$E$15</c:f>
              <c:numCache>
                <c:formatCode>_(* #,##0_);_(* \(#,##0\);_(* "-"??_);_(@_)</c:formatCode>
                <c:ptCount val="12"/>
                <c:pt idx="0">
                  <c:v>0</c:v>
                </c:pt>
                <c:pt idx="1">
                  <c:v>2</c:v>
                </c:pt>
                <c:pt idx="2">
                  <c:v>112</c:v>
                </c:pt>
                <c:pt idx="3">
                  <c:v>167</c:v>
                </c:pt>
                <c:pt idx="4">
                  <c:v>308</c:v>
                </c:pt>
                <c:pt idx="5">
                  <c:v>428</c:v>
                </c:pt>
                <c:pt idx="6">
                  <c:v>681</c:v>
                </c:pt>
                <c:pt idx="7">
                  <c:v>925</c:v>
                </c:pt>
                <c:pt idx="8">
                  <c:v>933</c:v>
                </c:pt>
                <c:pt idx="9">
                  <c:v>1003</c:v>
                </c:pt>
                <c:pt idx="10">
                  <c:v>1229</c:v>
                </c:pt>
                <c:pt idx="11">
                  <c:v>455</c:v>
                </c:pt>
              </c:numCache>
            </c:numRef>
          </c:val>
        </c:ser>
        <c:ser>
          <c:idx val="4"/>
          <c:order val="4"/>
          <c:tx>
            <c:strRef>
              <c:f>'V.4.3. NA.Cant. accid x región'!$F$3</c:f>
              <c:strCache>
                <c:ptCount val="1"/>
                <c:pt idx="0">
                  <c:v>Región IV</c:v>
                </c:pt>
              </c:strCache>
            </c:strRef>
          </c:tx>
          <c:spPr>
            <a:solidFill>
              <a:srgbClr val="FFC000"/>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Ene-Abr.2016</c:v>
                </c:pt>
              </c:strCache>
            </c:strRef>
          </c:cat>
          <c:val>
            <c:numRef>
              <c:f>'V.4.3. NA.Cant. accid x región'!$F$4:$F$15</c:f>
              <c:numCache>
                <c:formatCode>_(* #,##0_);_(* \(#,##0\);_(* "-"??_);_(@_)</c:formatCode>
                <c:ptCount val="12"/>
                <c:pt idx="0">
                  <c:v>1</c:v>
                </c:pt>
                <c:pt idx="1">
                  <c:v>1</c:v>
                </c:pt>
                <c:pt idx="2">
                  <c:v>54</c:v>
                </c:pt>
                <c:pt idx="3">
                  <c:v>61</c:v>
                </c:pt>
                <c:pt idx="4">
                  <c:v>128</c:v>
                </c:pt>
                <c:pt idx="5">
                  <c:v>239</c:v>
                </c:pt>
                <c:pt idx="6">
                  <c:v>471</c:v>
                </c:pt>
                <c:pt idx="7">
                  <c:v>535</c:v>
                </c:pt>
                <c:pt idx="8">
                  <c:v>584</c:v>
                </c:pt>
                <c:pt idx="9">
                  <c:v>627</c:v>
                </c:pt>
                <c:pt idx="10">
                  <c:v>451</c:v>
                </c:pt>
                <c:pt idx="11">
                  <c:v>175</c:v>
                </c:pt>
              </c:numCache>
            </c:numRef>
          </c:val>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layout>
                <c:manualLayout>
                  <c:x val="6.6057583762868285E-2"/>
                  <c:y val="-5.5731095193711421E-3"/>
                </c:manualLayout>
              </c:layout>
              <c:tx>
                <c:rich>
                  <a:bodyPr wrap="square" lIns="38100" tIns="19050" rIns="38100" bIns="19050" anchor="ctr">
                    <a:spAutoFit/>
                  </a:bodyPr>
                  <a:lstStyle/>
                  <a:p>
                    <a:pPr>
                      <a:defRPr sz="1600"/>
                    </a:pPr>
                    <a:r>
                      <a:rPr lang="en-US" sz="1600"/>
                      <a:t>2,308</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Ene-Abr.2016</c:v>
                </c:pt>
              </c:strCache>
            </c:strRef>
          </c:cat>
          <c:val>
            <c:numRef>
              <c:f>'V.4.3. NA.Cant. accid x región'!$G$4:$G$15</c:f>
              <c:numCache>
                <c:formatCode>_(* #,##0_);_(* \(#,##0\);_(* "-"??_);_(@_)</c:formatCode>
                <c:ptCount val="12"/>
                <c:pt idx="0">
                  <c:v>2</c:v>
                </c:pt>
                <c:pt idx="1">
                  <c:v>23</c:v>
                </c:pt>
                <c:pt idx="2">
                  <c:v>1402</c:v>
                </c:pt>
                <c:pt idx="3">
                  <c:v>2135</c:v>
                </c:pt>
                <c:pt idx="4">
                  <c:v>2899</c:v>
                </c:pt>
                <c:pt idx="5">
                  <c:v>3860</c:v>
                </c:pt>
                <c:pt idx="6">
                  <c:v>5158</c:v>
                </c:pt>
                <c:pt idx="7">
                  <c:v>5902</c:v>
                </c:pt>
                <c:pt idx="8">
                  <c:v>5913</c:v>
                </c:pt>
                <c:pt idx="9">
                  <c:v>6354</c:v>
                </c:pt>
                <c:pt idx="10">
                  <c:v>7190</c:v>
                </c:pt>
                <c:pt idx="11">
                  <c:v>2604</c:v>
                </c:pt>
              </c:numCache>
            </c:numRef>
          </c:val>
        </c:ser>
        <c:ser>
          <c:idx val="6"/>
          <c:order val="6"/>
          <c:tx>
            <c:strRef>
              <c:f>'V.4.3. NA.Cant. accid x región'!$H$3</c:f>
              <c:strCache>
                <c:ptCount val="1"/>
                <c:pt idx="0">
                  <c:v>Región VI</c:v>
                </c:pt>
              </c:strCache>
            </c:strRef>
          </c:tx>
          <c:spPr>
            <a:solidFill>
              <a:srgbClr val="00FF99"/>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Ene-Abr.2016</c:v>
                </c:pt>
              </c:strCache>
            </c:strRef>
          </c:cat>
          <c:val>
            <c:numRef>
              <c:f>'V.4.3. NA.Cant. accid x región'!$H$4:$H$15</c:f>
              <c:numCache>
                <c:formatCode>_(* #,##0_);_(* \(#,##0\);_(* "-"??_);_(@_)</c:formatCode>
                <c:ptCount val="12"/>
                <c:pt idx="0">
                  <c:v>0</c:v>
                </c:pt>
                <c:pt idx="1">
                  <c:v>5</c:v>
                </c:pt>
                <c:pt idx="2">
                  <c:v>67</c:v>
                </c:pt>
                <c:pt idx="3">
                  <c:v>47</c:v>
                </c:pt>
                <c:pt idx="4">
                  <c:v>159</c:v>
                </c:pt>
                <c:pt idx="5">
                  <c:v>234</c:v>
                </c:pt>
                <c:pt idx="6">
                  <c:v>364</c:v>
                </c:pt>
                <c:pt idx="7">
                  <c:v>474</c:v>
                </c:pt>
                <c:pt idx="8">
                  <c:v>417</c:v>
                </c:pt>
                <c:pt idx="9">
                  <c:v>518</c:v>
                </c:pt>
                <c:pt idx="10">
                  <c:v>574</c:v>
                </c:pt>
                <c:pt idx="11">
                  <c:v>223</c:v>
                </c:pt>
              </c:numCache>
            </c:numRef>
          </c:val>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1.2968590872799805E-2"/>
                  <c:y val="6.1043188170488899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Ene-Abr.2016</c:v>
                </c:pt>
              </c:strCache>
            </c:strRef>
          </c:cat>
          <c:val>
            <c:numRef>
              <c:f>'V.4.3. NA.Cant. accid x región'!$I$4:$I$15</c:f>
              <c:numCache>
                <c:formatCode>_(* #,##0_);_(* \(#,##0\);_(* "-"??_);_(@_)</c:formatCode>
                <c:ptCount val="12"/>
                <c:pt idx="0">
                  <c:v>0</c:v>
                </c:pt>
                <c:pt idx="1">
                  <c:v>8</c:v>
                </c:pt>
                <c:pt idx="2">
                  <c:v>271</c:v>
                </c:pt>
                <c:pt idx="3">
                  <c:v>381</c:v>
                </c:pt>
                <c:pt idx="4">
                  <c:v>850</c:v>
                </c:pt>
                <c:pt idx="5">
                  <c:v>1134</c:v>
                </c:pt>
                <c:pt idx="6">
                  <c:v>1575</c:v>
                </c:pt>
                <c:pt idx="7">
                  <c:v>1959</c:v>
                </c:pt>
                <c:pt idx="8">
                  <c:v>2292</c:v>
                </c:pt>
                <c:pt idx="9">
                  <c:v>2592</c:v>
                </c:pt>
                <c:pt idx="10">
                  <c:v>2870</c:v>
                </c:pt>
                <c:pt idx="11">
                  <c:v>1060</c:v>
                </c:pt>
              </c:numCache>
            </c:numRef>
          </c:val>
        </c:ser>
        <c:ser>
          <c:idx val="8"/>
          <c:order val="8"/>
          <c:tx>
            <c:strRef>
              <c:f>'V.4.3. NA.Cant. accid x región'!$J$3</c:f>
              <c:strCache>
                <c:ptCount val="1"/>
                <c:pt idx="0">
                  <c:v>Región VIII</c:v>
                </c:pt>
              </c:strCache>
            </c:strRef>
          </c:tx>
          <c:invertIfNegative val="0"/>
          <c:dLbls>
            <c:dLbl>
              <c:idx val="0"/>
              <c:layout>
                <c:manualLayout>
                  <c:x val="0.58867646100291127"/>
                  <c:y val="-0.51896634811516662"/>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2.0397219082011663E-2"/>
                  <c:y val="5.6388409128574568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4.268771384372911E-2"/>
                  <c:y val="6.4289776435322146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2.8160117474727422E-2"/>
                  <c:y val="5.908257035114111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5.5059469665778758E-2"/>
                  <c:y val="6.0056568971955313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7049615610566441E-2"/>
                  <c:y val="5.5052399199501008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6.2802721794791863E-2"/>
                  <c:y val="6.022152213688079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dLbl>
              <c:idx val="9"/>
              <c:layout>
                <c:manualLayout>
                  <c:x val="0.10958873883041277"/>
                  <c:y val="-6.9287041350276926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3100232944215264E-2"/>
                  <c:y val="5.8190082492070527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Ene-Abr.2016</c:v>
                </c:pt>
              </c:strCache>
            </c:strRef>
          </c:cat>
          <c:val>
            <c:numRef>
              <c:f>'V.4.3. NA.Cant. accid x región'!$J$4:$J$15</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ser>
        <c:dLbls>
          <c:showLegendKey val="0"/>
          <c:showVal val="0"/>
          <c:showCatName val="0"/>
          <c:showSerName val="0"/>
          <c:showPercent val="0"/>
          <c:showBubbleSize val="0"/>
        </c:dLbls>
        <c:gapWidth val="75"/>
        <c:shape val="box"/>
        <c:axId val="468658440"/>
        <c:axId val="468658832"/>
        <c:axId val="0"/>
      </c:bar3DChart>
      <c:catAx>
        <c:axId val="468658440"/>
        <c:scaling>
          <c:orientation val="minMax"/>
        </c:scaling>
        <c:delete val="0"/>
        <c:axPos val="l"/>
        <c:numFmt formatCode="General" sourceLinked="1"/>
        <c:majorTickMark val="none"/>
        <c:minorTickMark val="none"/>
        <c:tickLblPos val="nextTo"/>
        <c:txPr>
          <a:bodyPr/>
          <a:lstStyle/>
          <a:p>
            <a:pPr>
              <a:defRPr sz="1600"/>
            </a:pPr>
            <a:endParaRPr lang="es-ES"/>
          </a:p>
        </c:txPr>
        <c:crossAx val="468658832"/>
        <c:crosses val="autoZero"/>
        <c:auto val="1"/>
        <c:lblAlgn val="ctr"/>
        <c:lblOffset val="100"/>
        <c:noMultiLvlLbl val="0"/>
      </c:catAx>
      <c:valAx>
        <c:axId val="468658832"/>
        <c:scaling>
          <c:orientation val="minMax"/>
        </c:scaling>
        <c:delete val="1"/>
        <c:axPos val="b"/>
        <c:numFmt formatCode="_(* #,##0_);_(* \(#,##0\);_(* &quot;-&quot;??_);_(@_)" sourceLinked="1"/>
        <c:majorTickMark val="out"/>
        <c:minorTickMark val="none"/>
        <c:tickLblPos val="nextTo"/>
        <c:crossAx val="468658440"/>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730868794874737E-2"/>
          <c:y val="0.17089499482350132"/>
          <c:w val="0.91887548693551646"/>
          <c:h val="0.47521317984002631"/>
        </c:manualLayout>
      </c:layout>
      <c:bar3DChart>
        <c:barDir val="col"/>
        <c:grouping val="clustered"/>
        <c:varyColors val="0"/>
        <c:ser>
          <c:idx val="1"/>
          <c:order val="0"/>
          <c:tx>
            <c:strRef>
              <c:f>'V.4.4.NA.Cant. accid x Prov'!$O$3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Prov'!$A$4:$A$36</c:f>
              <c:strCache>
                <c:ptCount val="33"/>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pt idx="32">
                  <c:v>Total</c:v>
                </c:pt>
              </c:strCache>
            </c:strRef>
          </c:cat>
          <c:val>
            <c:numRef>
              <c:f>'V.4.4.NA.Cant. accid x Prov'!$O$4:$O$36</c:f>
              <c:numCache>
                <c:formatCode>_(* #,##0_);_(* \(#,##0\);_(* "-"??_);_(@_)</c:formatCode>
                <c:ptCount val="33"/>
                <c:pt idx="0">
                  <c:v>22779</c:v>
                </c:pt>
                <c:pt idx="1">
                  <c:v>1098</c:v>
                </c:pt>
                <c:pt idx="2">
                  <c:v>346</c:v>
                </c:pt>
                <c:pt idx="3">
                  <c:v>1790</c:v>
                </c:pt>
                <c:pt idx="4">
                  <c:v>788</c:v>
                </c:pt>
                <c:pt idx="5">
                  <c:v>74345</c:v>
                </c:pt>
                <c:pt idx="6">
                  <c:v>2937</c:v>
                </c:pt>
                <c:pt idx="7">
                  <c:v>295</c:v>
                </c:pt>
                <c:pt idx="8">
                  <c:v>527</c:v>
                </c:pt>
                <c:pt idx="9">
                  <c:v>3105</c:v>
                </c:pt>
                <c:pt idx="10">
                  <c:v>1243</c:v>
                </c:pt>
                <c:pt idx="11">
                  <c:v>439</c:v>
                </c:pt>
                <c:pt idx="12">
                  <c:v>13057</c:v>
                </c:pt>
                <c:pt idx="13">
                  <c:v>4847</c:v>
                </c:pt>
                <c:pt idx="14">
                  <c:v>1544</c:v>
                </c:pt>
                <c:pt idx="15">
                  <c:v>2603</c:v>
                </c:pt>
                <c:pt idx="16">
                  <c:v>779</c:v>
                </c:pt>
                <c:pt idx="17">
                  <c:v>1254</c:v>
                </c:pt>
                <c:pt idx="18">
                  <c:v>752</c:v>
                </c:pt>
                <c:pt idx="19">
                  <c:v>1787</c:v>
                </c:pt>
                <c:pt idx="20">
                  <c:v>8246</c:v>
                </c:pt>
                <c:pt idx="21">
                  <c:v>901</c:v>
                </c:pt>
                <c:pt idx="22">
                  <c:v>859</c:v>
                </c:pt>
                <c:pt idx="23">
                  <c:v>6308</c:v>
                </c:pt>
                <c:pt idx="24">
                  <c:v>12</c:v>
                </c:pt>
                <c:pt idx="25">
                  <c:v>1476</c:v>
                </c:pt>
                <c:pt idx="26">
                  <c:v>6071</c:v>
                </c:pt>
                <c:pt idx="27">
                  <c:v>1399</c:v>
                </c:pt>
                <c:pt idx="28">
                  <c:v>44000</c:v>
                </c:pt>
                <c:pt idx="29">
                  <c:v>939</c:v>
                </c:pt>
                <c:pt idx="30">
                  <c:v>9812</c:v>
                </c:pt>
                <c:pt idx="31">
                  <c:v>3141</c:v>
                </c:pt>
                <c:pt idx="32">
                  <c:v>216832</c:v>
                </c:pt>
              </c:numCache>
            </c:numRef>
          </c:val>
        </c:ser>
        <c:dLbls>
          <c:showLegendKey val="0"/>
          <c:showVal val="0"/>
          <c:showCatName val="0"/>
          <c:showSerName val="0"/>
          <c:showPercent val="0"/>
          <c:showBubbleSize val="0"/>
        </c:dLbls>
        <c:gapWidth val="14"/>
        <c:shape val="cylinder"/>
        <c:axId val="468659616"/>
        <c:axId val="468660008"/>
        <c:axId val="0"/>
      </c:bar3DChart>
      <c:catAx>
        <c:axId val="468659616"/>
        <c:scaling>
          <c:orientation val="minMax"/>
        </c:scaling>
        <c:delete val="0"/>
        <c:axPos val="b"/>
        <c:numFmt formatCode="General" sourceLinked="1"/>
        <c:majorTickMark val="none"/>
        <c:minorTickMark val="none"/>
        <c:tickLblPos val="nextTo"/>
        <c:txPr>
          <a:bodyPr/>
          <a:lstStyle/>
          <a:p>
            <a:pPr>
              <a:defRPr sz="1200"/>
            </a:pPr>
            <a:endParaRPr lang="es-ES"/>
          </a:p>
        </c:txPr>
        <c:crossAx val="468660008"/>
        <c:crosses val="autoZero"/>
        <c:auto val="1"/>
        <c:lblAlgn val="ctr"/>
        <c:lblOffset val="100"/>
        <c:noMultiLvlLbl val="0"/>
      </c:catAx>
      <c:valAx>
        <c:axId val="468660008"/>
        <c:scaling>
          <c:orientation val="minMax"/>
        </c:scaling>
        <c:delete val="1"/>
        <c:axPos val="l"/>
        <c:numFmt formatCode="_(* #,##0_);_(* \(#,##0\);_(* &quot;-&quot;??_);_(@_)" sourceLinked="1"/>
        <c:majorTickMark val="out"/>
        <c:minorTickMark val="none"/>
        <c:tickLblPos val="nextTo"/>
        <c:crossAx val="468659616"/>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5142763320439977E-2"/>
          <c:y val="0.21117547264743666"/>
          <c:w val="0.97881689298947605"/>
          <c:h val="0.6342436444934617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4.1091343106648545E-3"/>
                </c:manualLayout>
              </c:layout>
              <c:spPr/>
              <c:txPr>
                <a:bodyPr rot="-5400000" vert="horz"/>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Ene-Abr.2016</c:v>
                </c:pt>
              </c:strCache>
            </c:strRef>
          </c:cat>
          <c:val>
            <c:numRef>
              <c:f>'V.4.5.NA.Cant. accid x Proced.'!$F$4:$F$15</c:f>
              <c:numCache>
                <c:formatCode>0.0%</c:formatCode>
                <c:ptCount val="12"/>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0.14260378879484079</c:v>
                </c:pt>
              </c:numCache>
            </c:numRef>
          </c:val>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Ene-Abr.2016</c:v>
                </c:pt>
              </c:strCache>
            </c:strRef>
          </c:cat>
          <c:val>
            <c:numRef>
              <c:f>'V.4.5.NA.Cant. accid x Proced.'!$G$4:$G$15</c:f>
              <c:numCache>
                <c:formatCode>0.0%</c:formatCode>
                <c:ptCount val="12"/>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0.85731559854897221</c:v>
                </c:pt>
              </c:numCache>
            </c:numRef>
          </c:val>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Ene-Abr.2016</c:v>
                </c:pt>
              </c:strCache>
            </c:strRef>
          </c:cat>
          <c:val>
            <c:numRef>
              <c:f>'V.4.5.NA.Cant. accid x Proced.'!$H$4:$H$15</c:f>
              <c:numCache>
                <c:formatCode>0.0%</c:formatCode>
                <c:ptCount val="12"/>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8.0612656187021366E-5</c:v>
                </c:pt>
              </c:numCache>
            </c:numRef>
          </c:val>
        </c:ser>
        <c:dLbls>
          <c:showLegendKey val="0"/>
          <c:showVal val="0"/>
          <c:showCatName val="0"/>
          <c:showSerName val="0"/>
          <c:showPercent val="0"/>
          <c:showBubbleSize val="0"/>
        </c:dLbls>
        <c:gapWidth val="75"/>
        <c:shape val="cylinder"/>
        <c:axId val="468660792"/>
        <c:axId val="468661184"/>
        <c:axId val="0"/>
      </c:bar3DChart>
      <c:catAx>
        <c:axId val="468660792"/>
        <c:scaling>
          <c:orientation val="minMax"/>
        </c:scaling>
        <c:delete val="0"/>
        <c:axPos val="b"/>
        <c:numFmt formatCode="General" sourceLinked="1"/>
        <c:majorTickMark val="none"/>
        <c:minorTickMark val="none"/>
        <c:tickLblPos val="nextTo"/>
        <c:txPr>
          <a:bodyPr/>
          <a:lstStyle/>
          <a:p>
            <a:pPr>
              <a:defRPr sz="1200"/>
            </a:pPr>
            <a:endParaRPr lang="es-ES"/>
          </a:p>
        </c:txPr>
        <c:crossAx val="468661184"/>
        <c:crosses val="autoZero"/>
        <c:auto val="1"/>
        <c:lblAlgn val="ctr"/>
        <c:lblOffset val="100"/>
        <c:noMultiLvlLbl val="0"/>
      </c:catAx>
      <c:valAx>
        <c:axId val="468661184"/>
        <c:scaling>
          <c:orientation val="minMax"/>
        </c:scaling>
        <c:delete val="1"/>
        <c:axPos val="l"/>
        <c:numFmt formatCode="0.0%" sourceLinked="1"/>
        <c:majorTickMark val="out"/>
        <c:minorTickMark val="none"/>
        <c:tickLblPos val="nextTo"/>
        <c:crossAx val="468660792"/>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3662658215949112"/>
          <c:y val="3.236058076432642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3174225643980983E-3"/>
          <c:y val="0.23418397071991914"/>
          <c:w val="0.95090092166015305"/>
          <c:h val="0.5452747448921364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Ene-Abr. 2016</c:v>
                </c:pt>
              </c:strCache>
            </c:strRef>
          </c:cat>
          <c:val>
            <c:numRef>
              <c:f>'V.4.6. NA.Cant. accid x sector'!$B$4:$B$15</c:f>
              <c:numCache>
                <c:formatCode>_(* #,##0_);_(* \(#,##0\);_(* "-"??_);_(@_)</c:formatCode>
                <c:ptCount val="12"/>
                <c:pt idx="0">
                  <c:v>90</c:v>
                </c:pt>
                <c:pt idx="1">
                  <c:v>253</c:v>
                </c:pt>
                <c:pt idx="2">
                  <c:v>445</c:v>
                </c:pt>
                <c:pt idx="3">
                  <c:v>660</c:v>
                </c:pt>
                <c:pt idx="4">
                  <c:v>986</c:v>
                </c:pt>
                <c:pt idx="5">
                  <c:v>1477</c:v>
                </c:pt>
                <c:pt idx="6">
                  <c:v>2094</c:v>
                </c:pt>
                <c:pt idx="7">
                  <c:v>3858</c:v>
                </c:pt>
                <c:pt idx="8">
                  <c:v>4451</c:v>
                </c:pt>
                <c:pt idx="9">
                  <c:v>5112</c:v>
                </c:pt>
                <c:pt idx="10">
                  <c:v>5396</c:v>
                </c:pt>
                <c:pt idx="11">
                  <c:v>2146</c:v>
                </c:pt>
              </c:numCache>
            </c:numRef>
          </c:val>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9709174511363125E-3"/>
                  <c:y val="-1.0867704946089258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Ene-Abr. 2016</c:v>
                </c:pt>
              </c:strCache>
            </c:strRef>
          </c:cat>
          <c:val>
            <c:numRef>
              <c:f>'V.4.6. NA.Cant. accid x sector'!$C$4:$C$15</c:f>
              <c:numCache>
                <c:formatCode>_(* #,##0_);_(* \(#,##0\);_(* "-"??_);_(@_)</c:formatCode>
                <c:ptCount val="12"/>
                <c:pt idx="0">
                  <c:v>3641</c:v>
                </c:pt>
                <c:pt idx="1">
                  <c:v>5282</c:v>
                </c:pt>
                <c:pt idx="2">
                  <c:v>8099</c:v>
                </c:pt>
                <c:pt idx="3">
                  <c:v>10317</c:v>
                </c:pt>
                <c:pt idx="4">
                  <c:v>13697</c:v>
                </c:pt>
                <c:pt idx="5">
                  <c:v>15979</c:v>
                </c:pt>
                <c:pt idx="6">
                  <c:v>20503</c:v>
                </c:pt>
                <c:pt idx="7">
                  <c:v>22830</c:v>
                </c:pt>
                <c:pt idx="8">
                  <c:v>24184</c:v>
                </c:pt>
                <c:pt idx="9">
                  <c:v>25920</c:v>
                </c:pt>
                <c:pt idx="10">
                  <c:v>29153</c:v>
                </c:pt>
                <c:pt idx="11">
                  <c:v>10259</c:v>
                </c:pt>
              </c:numCache>
            </c:numRef>
          </c:val>
        </c:ser>
        <c:dLbls>
          <c:showLegendKey val="0"/>
          <c:showVal val="0"/>
          <c:showCatName val="0"/>
          <c:showSerName val="0"/>
          <c:showPercent val="0"/>
          <c:showBubbleSize val="0"/>
        </c:dLbls>
        <c:gapWidth val="37"/>
        <c:shape val="cylinder"/>
        <c:axId val="468661968"/>
        <c:axId val="468662360"/>
        <c:axId val="0"/>
      </c:bar3DChart>
      <c:catAx>
        <c:axId val="468661968"/>
        <c:scaling>
          <c:orientation val="minMax"/>
        </c:scaling>
        <c:delete val="0"/>
        <c:axPos val="b"/>
        <c:numFmt formatCode="General" sourceLinked="1"/>
        <c:majorTickMark val="none"/>
        <c:minorTickMark val="none"/>
        <c:tickLblPos val="nextTo"/>
        <c:txPr>
          <a:bodyPr/>
          <a:lstStyle/>
          <a:p>
            <a:pPr>
              <a:defRPr sz="1400"/>
            </a:pPr>
            <a:endParaRPr lang="es-ES"/>
          </a:p>
        </c:txPr>
        <c:crossAx val="468662360"/>
        <c:crosses val="autoZero"/>
        <c:auto val="1"/>
        <c:lblAlgn val="ctr"/>
        <c:lblOffset val="100"/>
        <c:noMultiLvlLbl val="0"/>
      </c:catAx>
      <c:valAx>
        <c:axId val="468662360"/>
        <c:scaling>
          <c:orientation val="minMax"/>
        </c:scaling>
        <c:delete val="1"/>
        <c:axPos val="l"/>
        <c:numFmt formatCode="_(* #,##0_);_(* \(#,##0\);_(* &quot;-&quot;??_);_(@_)" sourceLinked="1"/>
        <c:majorTickMark val="out"/>
        <c:minorTickMark val="none"/>
        <c:tickLblPos val="nextTo"/>
        <c:crossAx val="468661968"/>
        <c:crosses val="autoZero"/>
        <c:crossBetween val="between"/>
      </c:valAx>
      <c:spPr>
        <a:noFill/>
        <a:ln w="25400">
          <a:noFill/>
        </a:ln>
      </c:spPr>
    </c:plotArea>
    <c:legend>
      <c:legendPos val="t"/>
      <c:layout>
        <c:manualLayout>
          <c:xMode val="edge"/>
          <c:yMode val="edge"/>
          <c:x val="0.28261275350330178"/>
          <c:y val="0.12823076082938178"/>
          <c:w val="0.4228567777143068"/>
          <c:h val="4.456528417503265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8.050760572753617E-5"/>
          <c:y val="0.23724554344869625"/>
          <c:w val="0.98566496678620807"/>
          <c:h val="0.6161563527695139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688532242897316E-2"/>
                  <c:y val="-1.7471884679970108E-7"/>
                </c:manualLayout>
              </c:layout>
              <c:spPr/>
              <c:txPr>
                <a:bodyPr/>
                <a:lstStyle/>
                <a:p>
                  <a:pPr>
                    <a:defRPr sz="16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717762636360057E-3"/>
                  <c:y val="4.6375702345405499E-3"/>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Ene-Abr.2016</c:v>
                </c:pt>
              </c:strCache>
            </c:strRef>
          </c:cat>
          <c:val>
            <c:numRef>
              <c:f>'V.4.7. Accid x sexo'!$E$4:$E$15</c:f>
              <c:numCache>
                <c:formatCode>0.0%</c:formatCode>
                <c:ptCount val="12"/>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0.33268843208383714</c:v>
                </c:pt>
              </c:numCache>
            </c:numRef>
          </c:val>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600" b="0">
                      <a:solidFill>
                        <a:sysClr val="windowText" lastClr="000000"/>
                      </a:solidFill>
                    </a:defRPr>
                  </a:pPr>
                  <a:endParaRPr lang="es-ES"/>
                </a:p>
              </c:txPr>
              <c:showLegendKey val="0"/>
              <c:showVal val="1"/>
              <c:showCatName val="0"/>
              <c:showSerName val="0"/>
              <c:showPercent val="0"/>
              <c:showBubbleSize val="0"/>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spPr/>
              <c:txPr>
                <a:bodyPr/>
                <a:lstStyle/>
                <a:p>
                  <a:pPr>
                    <a:defRPr sz="1600" b="0"/>
                  </a:pPr>
                  <a:endParaRPr lang="es-ES"/>
                </a:p>
              </c:txPr>
              <c:showLegendKey val="0"/>
              <c:showVal val="1"/>
              <c:showCatName val="0"/>
              <c:showSerName val="0"/>
              <c:showPercent val="0"/>
              <c:showBubbleSize val="0"/>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Ene-Abr.2016</c:v>
                </c:pt>
              </c:strCache>
            </c:strRef>
          </c:cat>
          <c:val>
            <c:numRef>
              <c:f>'V.4.7. Accid x sexo'!$F$4:$F$15</c:f>
              <c:numCache>
                <c:formatCode>0.0%</c:formatCode>
                <c:ptCount val="12"/>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0.66731156791616286</c:v>
                </c:pt>
              </c:numCache>
            </c:numRef>
          </c:val>
        </c:ser>
        <c:dLbls>
          <c:showLegendKey val="0"/>
          <c:showVal val="0"/>
          <c:showCatName val="0"/>
          <c:showSerName val="0"/>
          <c:showPercent val="0"/>
          <c:showBubbleSize val="0"/>
        </c:dLbls>
        <c:gapWidth val="56"/>
        <c:shape val="cylinder"/>
        <c:axId val="468663144"/>
        <c:axId val="468663536"/>
        <c:axId val="0"/>
      </c:bar3DChart>
      <c:catAx>
        <c:axId val="468663144"/>
        <c:scaling>
          <c:orientation val="minMax"/>
        </c:scaling>
        <c:delete val="0"/>
        <c:axPos val="b"/>
        <c:numFmt formatCode="General" sourceLinked="1"/>
        <c:majorTickMark val="none"/>
        <c:minorTickMark val="none"/>
        <c:tickLblPos val="nextTo"/>
        <c:txPr>
          <a:bodyPr/>
          <a:lstStyle/>
          <a:p>
            <a:pPr>
              <a:defRPr sz="1200"/>
            </a:pPr>
            <a:endParaRPr lang="es-ES"/>
          </a:p>
        </c:txPr>
        <c:crossAx val="468663536"/>
        <c:crosses val="autoZero"/>
        <c:auto val="1"/>
        <c:lblAlgn val="ctr"/>
        <c:lblOffset val="100"/>
        <c:noMultiLvlLbl val="0"/>
      </c:catAx>
      <c:valAx>
        <c:axId val="468663536"/>
        <c:scaling>
          <c:orientation val="minMax"/>
        </c:scaling>
        <c:delete val="1"/>
        <c:axPos val="l"/>
        <c:numFmt formatCode="0.0%" sourceLinked="1"/>
        <c:majorTickMark val="out"/>
        <c:minorTickMark val="none"/>
        <c:tickLblPos val="nextTo"/>
        <c:crossAx val="468663144"/>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20"/>
    </c:view3D>
    <c:floor>
      <c:thickness val="0"/>
    </c:floor>
    <c:sideWall>
      <c:thickness val="0"/>
    </c:sideWall>
    <c:backWall>
      <c:thickness val="0"/>
    </c:backWall>
    <c:plotArea>
      <c:layout>
        <c:manualLayout>
          <c:layoutTarget val="inner"/>
          <c:xMode val="edge"/>
          <c:yMode val="edge"/>
          <c:x val="5.5100112106178578E-3"/>
          <c:y val="7.7259159461770338E-2"/>
          <c:w val="0.97877007210148403"/>
          <c:h val="0.86421208690736673"/>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Abr. 2016</c:v>
                </c:pt>
              </c:strCache>
            </c:strRef>
          </c:cat>
          <c:val>
            <c:numRef>
              <c:f>'III.1.6.Afil. SFS x sexo'!$G$5:$G$14</c:f>
              <c:numCache>
                <c:formatCode>#,##0</c:formatCode>
                <c:ptCount val="10"/>
                <c:pt idx="0">
                  <c:v>1272336</c:v>
                </c:pt>
                <c:pt idx="1">
                  <c:v>1435840</c:v>
                </c:pt>
                <c:pt idx="2">
                  <c:v>1694508</c:v>
                </c:pt>
                <c:pt idx="3">
                  <c:v>2114818</c:v>
                </c:pt>
                <c:pt idx="4">
                  <c:v>2178632</c:v>
                </c:pt>
                <c:pt idx="5">
                  <c:v>2392114</c:v>
                </c:pt>
                <c:pt idx="6">
                  <c:v>2705829</c:v>
                </c:pt>
                <c:pt idx="7">
                  <c:v>2978843</c:v>
                </c:pt>
                <c:pt idx="8">
                  <c:v>3247604</c:v>
                </c:pt>
                <c:pt idx="9">
                  <c:v>3305928</c:v>
                </c:pt>
              </c:numCache>
            </c:numRef>
          </c:val>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4170691784718926E-3"/>
                  <c:y val="2.841328578396049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Abr. 2016</c:v>
                </c:pt>
              </c:strCache>
            </c:strRef>
          </c:cat>
          <c:val>
            <c:numRef>
              <c:f>'III.1.6.Afil. SFS x sexo'!$H$5:$H$14</c:f>
              <c:numCache>
                <c:formatCode>#,##0</c:formatCode>
                <c:ptCount val="10"/>
                <c:pt idx="0">
                  <c:v>1286781</c:v>
                </c:pt>
                <c:pt idx="1">
                  <c:v>1481062</c:v>
                </c:pt>
                <c:pt idx="2">
                  <c:v>1798016</c:v>
                </c:pt>
                <c:pt idx="3">
                  <c:v>2263051</c:v>
                </c:pt>
                <c:pt idx="4">
                  <c:v>2342218</c:v>
                </c:pt>
                <c:pt idx="5">
                  <c:v>2599648</c:v>
                </c:pt>
                <c:pt idx="6">
                  <c:v>2946900</c:v>
                </c:pt>
                <c:pt idx="7">
                  <c:v>3178402</c:v>
                </c:pt>
                <c:pt idx="8">
                  <c:v>3409639</c:v>
                </c:pt>
                <c:pt idx="9">
                  <c:v>3466599</c:v>
                </c:pt>
              </c:numCache>
            </c:numRef>
          </c:val>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1">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Abr. 2016</c:v>
                </c:pt>
              </c:strCache>
            </c:strRef>
          </c:cat>
          <c:val>
            <c:numRef>
              <c:f>'III.1.6.Afil. SFS x sexo'!$I$5:$I$14</c:f>
              <c:numCache>
                <c:formatCode>#,##0</c:formatCode>
                <c:ptCount val="10"/>
                <c:pt idx="0">
                  <c:v>2559117</c:v>
                </c:pt>
                <c:pt idx="1">
                  <c:v>2916902</c:v>
                </c:pt>
                <c:pt idx="2">
                  <c:v>3492524</c:v>
                </c:pt>
                <c:pt idx="3">
                  <c:v>4377869</c:v>
                </c:pt>
                <c:pt idx="4">
                  <c:v>4520850</c:v>
                </c:pt>
                <c:pt idx="5">
                  <c:v>4991762</c:v>
                </c:pt>
                <c:pt idx="6">
                  <c:v>5652729</c:v>
                </c:pt>
                <c:pt idx="7">
                  <c:v>6157245</c:v>
                </c:pt>
                <c:pt idx="8">
                  <c:v>6657243</c:v>
                </c:pt>
                <c:pt idx="9">
                  <c:v>6772527</c:v>
                </c:pt>
              </c:numCache>
            </c:numRef>
          </c:val>
        </c:ser>
        <c:dLbls>
          <c:showLegendKey val="0"/>
          <c:showVal val="0"/>
          <c:showCatName val="0"/>
          <c:showSerName val="0"/>
          <c:showPercent val="0"/>
          <c:showBubbleSize val="0"/>
        </c:dLbls>
        <c:gapWidth val="75"/>
        <c:shape val="box"/>
        <c:axId val="406447432"/>
        <c:axId val="406447824"/>
        <c:axId val="402098040"/>
      </c:bar3DChart>
      <c:catAx>
        <c:axId val="406447432"/>
        <c:scaling>
          <c:orientation val="minMax"/>
        </c:scaling>
        <c:delete val="0"/>
        <c:axPos val="b"/>
        <c:numFmt formatCode="General" sourceLinked="0"/>
        <c:majorTickMark val="none"/>
        <c:minorTickMark val="none"/>
        <c:tickLblPos val="nextTo"/>
        <c:txPr>
          <a:bodyPr/>
          <a:lstStyle/>
          <a:p>
            <a:pPr>
              <a:defRPr sz="1600"/>
            </a:pPr>
            <a:endParaRPr lang="es-ES"/>
          </a:p>
        </c:txPr>
        <c:crossAx val="406447824"/>
        <c:crosses val="autoZero"/>
        <c:auto val="1"/>
        <c:lblAlgn val="ctr"/>
        <c:lblOffset val="100"/>
        <c:noMultiLvlLbl val="0"/>
      </c:catAx>
      <c:valAx>
        <c:axId val="406447824"/>
        <c:scaling>
          <c:orientation val="minMax"/>
        </c:scaling>
        <c:delete val="1"/>
        <c:axPos val="l"/>
        <c:numFmt formatCode="#,##0" sourceLinked="1"/>
        <c:majorTickMark val="none"/>
        <c:minorTickMark val="none"/>
        <c:tickLblPos val="nextTo"/>
        <c:crossAx val="406447432"/>
        <c:crosses val="autoZero"/>
        <c:crossBetween val="between"/>
      </c:valAx>
      <c:serAx>
        <c:axId val="402098040"/>
        <c:scaling>
          <c:orientation val="minMax"/>
        </c:scaling>
        <c:delete val="1"/>
        <c:axPos val="b"/>
        <c:majorTickMark val="out"/>
        <c:minorTickMark val="none"/>
        <c:tickLblPos val="nextTo"/>
        <c:crossAx val="406447824"/>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s-ES"/>
        </a:p>
      </c:txPr>
    </c:legend>
    <c:plotVisOnly val="1"/>
    <c:dispBlanksAs val="gap"/>
    <c:showDLblsOverMax val="0"/>
  </c:chart>
  <c:spPr>
    <a:ln>
      <a:noFill/>
    </a:ln>
  </c:spPr>
  <c:txPr>
    <a:bodyPr/>
    <a:lstStyle/>
    <a:p>
      <a:pPr>
        <a:defRPr>
          <a:ln>
            <a:noFill/>
          </a:ln>
        </a:defRPr>
      </a:pPr>
      <a:endParaRPr lang="es-ES"/>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3741723470404811E-2"/>
          <c:y val="0.14073268040743883"/>
          <c:w val="0.85860443340945714"/>
          <c:h val="0.78336719321604309"/>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Ene-Abr. 2016</c:v>
                </c:pt>
              </c:strCache>
            </c:strRef>
          </c:cat>
          <c:val>
            <c:numRef>
              <c:f>'V.4.8. Accid x rango de edad'!$B$4:$B$15</c:f>
              <c:numCache>
                <c:formatCode>_(* #,##0_);_(* \(#,##0\);_(* "-"??_);_(@_)</c:formatCode>
                <c:ptCount val="12"/>
                <c:pt idx="0">
                  <c:v>145</c:v>
                </c:pt>
                <c:pt idx="1">
                  <c:v>37</c:v>
                </c:pt>
                <c:pt idx="2">
                  <c:v>9</c:v>
                </c:pt>
                <c:pt idx="3">
                  <c:v>7</c:v>
                </c:pt>
                <c:pt idx="4">
                  <c:v>2</c:v>
                </c:pt>
                <c:pt idx="5">
                  <c:v>0</c:v>
                </c:pt>
                <c:pt idx="6">
                  <c:v>6</c:v>
                </c:pt>
                <c:pt idx="7">
                  <c:v>18</c:v>
                </c:pt>
                <c:pt idx="8">
                  <c:v>34</c:v>
                </c:pt>
                <c:pt idx="9">
                  <c:v>80</c:v>
                </c:pt>
                <c:pt idx="10">
                  <c:v>165</c:v>
                </c:pt>
                <c:pt idx="11">
                  <c:v>162</c:v>
                </c:pt>
              </c:numCache>
            </c:numRef>
          </c:val>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Ene-Abr. 2016</c:v>
                </c:pt>
              </c:strCache>
            </c:strRef>
          </c:cat>
          <c:val>
            <c:numRef>
              <c:f>'V.4.8. Accid x rango de edad'!$C$4:$C$15</c:f>
              <c:numCache>
                <c:formatCode>_(* #,##0_);_(* \(#,##0\);_(* "-"??_);_(@_)</c:formatCode>
                <c:ptCount val="12"/>
                <c:pt idx="0">
                  <c:v>345</c:v>
                </c:pt>
                <c:pt idx="1">
                  <c:v>740</c:v>
                </c:pt>
                <c:pt idx="2">
                  <c:v>1413</c:v>
                </c:pt>
                <c:pt idx="3">
                  <c:v>1031</c:v>
                </c:pt>
                <c:pt idx="4">
                  <c:v>2024</c:v>
                </c:pt>
                <c:pt idx="5">
                  <c:v>3154</c:v>
                </c:pt>
                <c:pt idx="6">
                  <c:v>4931</c:v>
                </c:pt>
                <c:pt idx="7">
                  <c:v>6875</c:v>
                </c:pt>
                <c:pt idx="8">
                  <c:v>8429</c:v>
                </c:pt>
                <c:pt idx="9">
                  <c:v>9624</c:v>
                </c:pt>
                <c:pt idx="10">
                  <c:v>12019</c:v>
                </c:pt>
                <c:pt idx="11">
                  <c:v>4558</c:v>
                </c:pt>
              </c:numCache>
            </c:numRef>
          </c:val>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Ene-Abr. 2016</c:v>
                </c:pt>
              </c:strCache>
            </c:strRef>
          </c:cat>
          <c:val>
            <c:numRef>
              <c:f>'V.4.8. Accid x rango de edad'!$D$4:$D$15</c:f>
              <c:numCache>
                <c:formatCode>_(* #,##0_);_(* \(#,##0\);_(* "-"??_);_(@_)</c:formatCode>
                <c:ptCount val="12"/>
                <c:pt idx="0">
                  <c:v>1445</c:v>
                </c:pt>
                <c:pt idx="1">
                  <c:v>2043</c:v>
                </c:pt>
                <c:pt idx="2">
                  <c:v>3274</c:v>
                </c:pt>
                <c:pt idx="3">
                  <c:v>4066</c:v>
                </c:pt>
                <c:pt idx="4">
                  <c:v>5530</c:v>
                </c:pt>
                <c:pt idx="5">
                  <c:v>6350</c:v>
                </c:pt>
                <c:pt idx="6">
                  <c:v>7715</c:v>
                </c:pt>
                <c:pt idx="7">
                  <c:v>8611</c:v>
                </c:pt>
                <c:pt idx="8">
                  <c:v>8946</c:v>
                </c:pt>
                <c:pt idx="9">
                  <c:v>8806</c:v>
                </c:pt>
                <c:pt idx="10">
                  <c:v>10377</c:v>
                </c:pt>
                <c:pt idx="11">
                  <c:v>3621</c:v>
                </c:pt>
              </c:numCache>
            </c:numRef>
          </c:val>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Ene-Abr. 2016</c:v>
                </c:pt>
              </c:strCache>
            </c:strRef>
          </c:cat>
          <c:val>
            <c:numRef>
              <c:f>'V.4.8. Accid x rango de edad'!$E$4:$E$15</c:f>
              <c:numCache>
                <c:formatCode>_(* #,##0_);_(* \(#,##0\);_(* "-"??_);_(@_)</c:formatCode>
                <c:ptCount val="12"/>
                <c:pt idx="0">
                  <c:v>1013</c:v>
                </c:pt>
                <c:pt idx="1">
                  <c:v>1536</c:v>
                </c:pt>
                <c:pt idx="2">
                  <c:v>2149</c:v>
                </c:pt>
                <c:pt idx="3">
                  <c:v>3112</c:v>
                </c:pt>
                <c:pt idx="4">
                  <c:v>3839</c:v>
                </c:pt>
                <c:pt idx="5">
                  <c:v>4256</c:v>
                </c:pt>
                <c:pt idx="6">
                  <c:v>5319</c:v>
                </c:pt>
                <c:pt idx="7">
                  <c:v>5883</c:v>
                </c:pt>
                <c:pt idx="8">
                  <c:v>5876</c:v>
                </c:pt>
                <c:pt idx="9">
                  <c:v>6269</c:v>
                </c:pt>
                <c:pt idx="10">
                  <c:v>6571</c:v>
                </c:pt>
                <c:pt idx="11">
                  <c:v>2307</c:v>
                </c:pt>
              </c:numCache>
            </c:numRef>
          </c:val>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Ene-Abr. 2016</c:v>
                </c:pt>
              </c:strCache>
            </c:strRef>
          </c:cat>
          <c:val>
            <c:numRef>
              <c:f>'V.4.8. Accid x rango de edad'!$F$4:$F$15</c:f>
              <c:numCache>
                <c:formatCode>_(* #,##0_);_(* \(#,##0\);_(* "-"??_);_(@_)</c:formatCode>
                <c:ptCount val="12"/>
                <c:pt idx="0">
                  <c:v>511</c:v>
                </c:pt>
                <c:pt idx="1">
                  <c:v>808</c:v>
                </c:pt>
                <c:pt idx="2">
                  <c:v>1123</c:v>
                </c:pt>
                <c:pt idx="3">
                  <c:v>1708</c:v>
                </c:pt>
                <c:pt idx="4">
                  <c:v>2108</c:v>
                </c:pt>
                <c:pt idx="5">
                  <c:v>2407</c:v>
                </c:pt>
                <c:pt idx="6">
                  <c:v>3017</c:v>
                </c:pt>
                <c:pt idx="7">
                  <c:v>3457</c:v>
                </c:pt>
                <c:pt idx="8">
                  <c:v>3510</c:v>
                </c:pt>
                <c:pt idx="9">
                  <c:v>3876</c:v>
                </c:pt>
                <c:pt idx="10">
                  <c:v>3782</c:v>
                </c:pt>
                <c:pt idx="11">
                  <c:v>1279</c:v>
                </c:pt>
              </c:numCache>
            </c:numRef>
          </c:val>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Ene-Abr. 2016</c:v>
                </c:pt>
              </c:strCache>
            </c:strRef>
          </c:cat>
          <c:val>
            <c:numRef>
              <c:f>'V.4.8. Accid x rango de edad'!$G$4:$G$15</c:f>
              <c:numCache>
                <c:formatCode>_(* #,##0_);_(* \(#,##0\);_(* "-"??_);_(@_)</c:formatCode>
                <c:ptCount val="12"/>
                <c:pt idx="0">
                  <c:v>272</c:v>
                </c:pt>
                <c:pt idx="1">
                  <c:v>371</c:v>
                </c:pt>
                <c:pt idx="2">
                  <c:v>576</c:v>
                </c:pt>
                <c:pt idx="3">
                  <c:v>1053</c:v>
                </c:pt>
                <c:pt idx="4">
                  <c:v>1180</c:v>
                </c:pt>
                <c:pt idx="5">
                  <c:v>1289</c:v>
                </c:pt>
                <c:pt idx="6">
                  <c:v>1609</c:v>
                </c:pt>
                <c:pt idx="7">
                  <c:v>1844</c:v>
                </c:pt>
                <c:pt idx="8">
                  <c:v>1840</c:v>
                </c:pt>
                <c:pt idx="9">
                  <c:v>2377</c:v>
                </c:pt>
                <c:pt idx="10">
                  <c:v>1635</c:v>
                </c:pt>
                <c:pt idx="11">
                  <c:v>478</c:v>
                </c:pt>
              </c:numCache>
            </c:numRef>
          </c:val>
        </c:ser>
        <c:dLbls>
          <c:showLegendKey val="0"/>
          <c:showVal val="0"/>
          <c:showCatName val="0"/>
          <c:showSerName val="0"/>
          <c:showPercent val="0"/>
          <c:showBubbleSize val="0"/>
        </c:dLbls>
        <c:gapWidth val="19"/>
        <c:overlap val="100"/>
        <c:axId val="468664320"/>
        <c:axId val="468664712"/>
      </c:barChart>
      <c:catAx>
        <c:axId val="468664320"/>
        <c:scaling>
          <c:orientation val="minMax"/>
        </c:scaling>
        <c:delete val="0"/>
        <c:axPos val="l"/>
        <c:numFmt formatCode="General" sourceLinked="1"/>
        <c:majorTickMark val="none"/>
        <c:minorTickMark val="none"/>
        <c:tickLblPos val="nextTo"/>
        <c:crossAx val="468664712"/>
        <c:crosses val="autoZero"/>
        <c:auto val="1"/>
        <c:lblAlgn val="ctr"/>
        <c:lblOffset val="100"/>
        <c:noMultiLvlLbl val="0"/>
      </c:catAx>
      <c:valAx>
        <c:axId val="468664712"/>
        <c:scaling>
          <c:orientation val="minMax"/>
        </c:scaling>
        <c:delete val="1"/>
        <c:axPos val="b"/>
        <c:numFmt formatCode="_(* #,##0_);_(* \(#,##0\);_(* &quot;-&quot;??_);_(@_)" sourceLinked="1"/>
        <c:majorTickMark val="out"/>
        <c:minorTickMark val="none"/>
        <c:tickLblPos val="nextTo"/>
        <c:crossAx val="468664320"/>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788385291336688"/>
          <c:y val="0.32432135530287148"/>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3.88648571499733E-2"/>
                  <c:y val="-3.647600935224926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Escolaridad'!$B$3:$E$3</c:f>
              <c:strCache>
                <c:ptCount val="4"/>
                <c:pt idx="0">
                  <c:v>Ninguno</c:v>
                </c:pt>
                <c:pt idx="1">
                  <c:v>Básico</c:v>
                </c:pt>
                <c:pt idx="2">
                  <c:v>Medio</c:v>
                </c:pt>
                <c:pt idx="3">
                  <c:v>Superior</c:v>
                </c:pt>
              </c:strCache>
            </c:strRef>
          </c:cat>
          <c:val>
            <c:numRef>
              <c:f>'V.4.9.Accid x Escolaridad'!$B$16:$E$16</c:f>
              <c:numCache>
                <c:formatCode>_(* #,##0_);_(* \(#,##0\);_(* "-"??_);_(@_)</c:formatCode>
                <c:ptCount val="4"/>
                <c:pt idx="0">
                  <c:v>7547</c:v>
                </c:pt>
                <c:pt idx="1">
                  <c:v>69562</c:v>
                </c:pt>
                <c:pt idx="2">
                  <c:v>102401</c:v>
                </c:pt>
                <c:pt idx="3">
                  <c:v>20318</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7236303493452669"/>
          <c:h val="0.64713713892478775"/>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736850369713512E-2"/>
                  <c:y val="-1.664101995038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89449689004845E-2"/>
                  <c:y val="-2.382777854667879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2310760759873104E-4"/>
                  <c:y val="-6.879815758172935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spPr/>
              <c:txPr>
                <a:bodyPr/>
                <a:lstStyle/>
                <a:p>
                  <a:pPr>
                    <a:defRPr sz="1400" b="0"/>
                  </a:pPr>
                  <a:endParaRPr lang="es-ES"/>
                </a:p>
              </c:txPr>
              <c:showLegendKey val="0"/>
              <c:showVal val="1"/>
              <c:showCatName val="0"/>
              <c:showSerName val="0"/>
              <c:showPercent val="0"/>
              <c:showBubbleSize val="0"/>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'!$A$4:$A$12</c:f>
              <c:strCache>
                <c:ptCount val="9"/>
                <c:pt idx="0">
                  <c:v>2008</c:v>
                </c:pt>
                <c:pt idx="1">
                  <c:v>2009</c:v>
                </c:pt>
                <c:pt idx="2">
                  <c:v>2010</c:v>
                </c:pt>
                <c:pt idx="3">
                  <c:v>2011</c:v>
                </c:pt>
                <c:pt idx="4">
                  <c:v>2012</c:v>
                </c:pt>
                <c:pt idx="5">
                  <c:v>2013</c:v>
                </c:pt>
                <c:pt idx="6">
                  <c:v>2014</c:v>
                </c:pt>
                <c:pt idx="7">
                  <c:v>2015</c:v>
                </c:pt>
                <c:pt idx="8">
                  <c:v>Ene-Abr.2016</c:v>
                </c:pt>
              </c:strCache>
            </c:strRef>
          </c:cat>
          <c:val>
            <c:numRef>
              <c:f>'V.4.10.Accid x sector '!$J$4:$J$12</c:f>
              <c:numCache>
                <c:formatCode>0.00%</c:formatCode>
                <c:ptCount val="9"/>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3.999888167152829E-3</c:v>
                </c:pt>
              </c:numCache>
            </c:numRef>
          </c:val>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37916489989538E-2"/>
                  <c:y val="-1.872114744418665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54789617972524E-2"/>
                  <c:y val="-8.929050084413001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'!$A$4:$A$12</c:f>
              <c:strCache>
                <c:ptCount val="9"/>
                <c:pt idx="0">
                  <c:v>2008</c:v>
                </c:pt>
                <c:pt idx="1">
                  <c:v>2009</c:v>
                </c:pt>
                <c:pt idx="2">
                  <c:v>2010</c:v>
                </c:pt>
                <c:pt idx="3">
                  <c:v>2011</c:v>
                </c:pt>
                <c:pt idx="4">
                  <c:v>2012</c:v>
                </c:pt>
                <c:pt idx="5">
                  <c:v>2013</c:v>
                </c:pt>
                <c:pt idx="6">
                  <c:v>2014</c:v>
                </c:pt>
                <c:pt idx="7">
                  <c:v>2015</c:v>
                </c:pt>
                <c:pt idx="8">
                  <c:v>Ene-Abr.2016</c:v>
                </c:pt>
              </c:strCache>
            </c:strRef>
          </c:cat>
          <c:val>
            <c:numRef>
              <c:f>'V.4.10.Accid x sector '!$K$4:$K$12</c:f>
              <c:numCache>
                <c:formatCode>0.00%</c:formatCode>
                <c:ptCount val="9"/>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7.8904216633953351E-3</c:v>
                </c:pt>
              </c:numCache>
            </c:numRef>
          </c:val>
        </c:ser>
        <c:dLbls>
          <c:showLegendKey val="0"/>
          <c:showVal val="0"/>
          <c:showCatName val="0"/>
          <c:showSerName val="0"/>
          <c:showPercent val="0"/>
          <c:showBubbleSize val="0"/>
        </c:dLbls>
        <c:gapWidth val="150"/>
        <c:shape val="cylinder"/>
        <c:axId val="468665888"/>
        <c:axId val="468666280"/>
        <c:axId val="0"/>
      </c:bar3DChart>
      <c:catAx>
        <c:axId val="468665888"/>
        <c:scaling>
          <c:orientation val="minMax"/>
        </c:scaling>
        <c:delete val="0"/>
        <c:axPos val="b"/>
        <c:numFmt formatCode="General" sourceLinked="1"/>
        <c:majorTickMark val="none"/>
        <c:minorTickMark val="none"/>
        <c:tickLblPos val="nextTo"/>
        <c:txPr>
          <a:bodyPr/>
          <a:lstStyle/>
          <a:p>
            <a:pPr>
              <a:defRPr sz="1200"/>
            </a:pPr>
            <a:endParaRPr lang="es-ES"/>
          </a:p>
        </c:txPr>
        <c:crossAx val="468666280"/>
        <c:crosses val="autoZero"/>
        <c:auto val="1"/>
        <c:lblAlgn val="ctr"/>
        <c:lblOffset val="100"/>
        <c:noMultiLvlLbl val="0"/>
      </c:catAx>
      <c:valAx>
        <c:axId val="468666280"/>
        <c:scaling>
          <c:orientation val="minMax"/>
        </c:scaling>
        <c:delete val="1"/>
        <c:axPos val="l"/>
        <c:numFmt formatCode="0.00%" sourceLinked="1"/>
        <c:majorTickMark val="out"/>
        <c:minorTickMark val="none"/>
        <c:tickLblPos val="nextTo"/>
        <c:crossAx val="468665888"/>
        <c:crosses val="autoZero"/>
        <c:crossBetween val="between"/>
      </c:valAx>
    </c:plotArea>
    <c:legend>
      <c:legendPos val="t"/>
      <c:layout>
        <c:manualLayout>
          <c:xMode val="edge"/>
          <c:yMode val="edge"/>
          <c:x val="0.19783133747473353"/>
          <c:y val="0.11067105623068667"/>
          <c:w val="0.64991119165002409"/>
          <c:h val="3.761476530183550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400"/>
            </a:pPr>
            <a:r>
              <a:rPr lang="es-DO" sz="1400" b="1">
                <a:effectLst/>
              </a:rPr>
              <a:t>Comparación Reporte de Accidentes Laborales y Enfermedades Profesionales y Afilación al SRL  por Sexo</a:t>
            </a:r>
            <a:endParaRPr lang="es-ES" sz="1400">
              <a:effectLst/>
            </a:endParaRPr>
          </a:p>
        </c:rich>
      </c:tx>
      <c:layout>
        <c:manualLayout>
          <c:xMode val="edge"/>
          <c:yMode val="edge"/>
          <c:x val="0.1716641423278468"/>
          <c:y val="1.74619327053868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2895018388824899E-3"/>
          <c:y val="0.16273093457942328"/>
          <c:w val="0.97111103092176876"/>
          <c:h val="0.62123306994612382"/>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3902335232845472E-3"/>
                  <c:y val="-1.4998078579688992E-3"/>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a:noFill/>
                <a:ln>
                  <a:noFill/>
                </a:ln>
                <a:effectLst/>
              </c:spPr>
              <c:txPr>
                <a:bodyPr/>
                <a:lstStyle/>
                <a:p>
                  <a:pPr>
                    <a:defRPr sz="1800" b="0"/>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sexo'!$A$4:$A$11</c:f>
              <c:strCache>
                <c:ptCount val="8"/>
                <c:pt idx="0">
                  <c:v>2008</c:v>
                </c:pt>
                <c:pt idx="1">
                  <c:v>2009</c:v>
                </c:pt>
                <c:pt idx="2">
                  <c:v>2010</c:v>
                </c:pt>
                <c:pt idx="3">
                  <c:v>2011</c:v>
                </c:pt>
                <c:pt idx="4">
                  <c:v>2012</c:v>
                </c:pt>
                <c:pt idx="5">
                  <c:v>2013</c:v>
                </c:pt>
                <c:pt idx="6">
                  <c:v>2014</c:v>
                </c:pt>
                <c:pt idx="7">
                  <c:v>2015</c:v>
                </c:pt>
              </c:strCache>
            </c:strRef>
          </c:cat>
          <c:val>
            <c:numRef>
              <c:f>'V.4.11.Accid x sexo'!$J$4:$J$12</c:f>
              <c:numCache>
                <c:formatCode>0.0%</c:formatCode>
                <c:ptCount val="9"/>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5.1047986591708878E-3</c:v>
                </c:pt>
              </c:numCache>
            </c:numRef>
          </c:val>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2717605281796957E-3"/>
                  <c:y val="-1.1414116650100331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6703681982115829E-3"/>
                  <c:y val="-1.4806440351863801E-2"/>
                </c:manualLayout>
              </c:layout>
              <c:spPr>
                <a:noFill/>
                <a:ln>
                  <a:noFill/>
                </a:ln>
                <a:effectLs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3418169322830263E-2"/>
                  <c:y val="-6.87058787887648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sexo'!$A$4:$A$11</c:f>
              <c:strCache>
                <c:ptCount val="8"/>
                <c:pt idx="0">
                  <c:v>2008</c:v>
                </c:pt>
                <c:pt idx="1">
                  <c:v>2009</c:v>
                </c:pt>
                <c:pt idx="2">
                  <c:v>2010</c:v>
                </c:pt>
                <c:pt idx="3">
                  <c:v>2011</c:v>
                </c:pt>
                <c:pt idx="4">
                  <c:v>2012</c:v>
                </c:pt>
                <c:pt idx="5">
                  <c:v>2013</c:v>
                </c:pt>
                <c:pt idx="6">
                  <c:v>2014</c:v>
                </c:pt>
                <c:pt idx="7">
                  <c:v>2015</c:v>
                </c:pt>
              </c:strCache>
            </c:strRef>
          </c:cat>
          <c:val>
            <c:numRef>
              <c:f>'V.4.11.Accid x sexo'!$K$4:$K$12</c:f>
              <c:numCache>
                <c:formatCode>0.0%</c:formatCode>
                <c:ptCount val="9"/>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8.0506183357257621E-3</c:v>
                </c:pt>
              </c:numCache>
            </c:numRef>
          </c:val>
        </c:ser>
        <c:dLbls>
          <c:showLegendKey val="0"/>
          <c:showVal val="0"/>
          <c:showCatName val="0"/>
          <c:showSerName val="0"/>
          <c:showPercent val="0"/>
          <c:showBubbleSize val="0"/>
        </c:dLbls>
        <c:gapWidth val="150"/>
        <c:shape val="cylinder"/>
        <c:axId val="468667064"/>
        <c:axId val="468667456"/>
        <c:axId val="0"/>
      </c:bar3DChart>
      <c:catAx>
        <c:axId val="468667064"/>
        <c:scaling>
          <c:orientation val="minMax"/>
        </c:scaling>
        <c:delete val="0"/>
        <c:axPos val="b"/>
        <c:numFmt formatCode="General" sourceLinked="1"/>
        <c:majorTickMark val="none"/>
        <c:minorTickMark val="none"/>
        <c:tickLblPos val="nextTo"/>
        <c:txPr>
          <a:bodyPr/>
          <a:lstStyle/>
          <a:p>
            <a:pPr>
              <a:defRPr sz="1600"/>
            </a:pPr>
            <a:endParaRPr lang="es-ES"/>
          </a:p>
        </c:txPr>
        <c:crossAx val="468667456"/>
        <c:crosses val="autoZero"/>
        <c:auto val="1"/>
        <c:lblAlgn val="ctr"/>
        <c:lblOffset val="100"/>
        <c:noMultiLvlLbl val="0"/>
      </c:catAx>
      <c:valAx>
        <c:axId val="468667456"/>
        <c:scaling>
          <c:orientation val="minMax"/>
        </c:scaling>
        <c:delete val="1"/>
        <c:axPos val="l"/>
        <c:numFmt formatCode="0.0%" sourceLinked="1"/>
        <c:majorTickMark val="out"/>
        <c:minorTickMark val="none"/>
        <c:tickLblPos val="nextTo"/>
        <c:crossAx val="468667064"/>
        <c:crosses val="autoZero"/>
        <c:crossBetween val="between"/>
      </c:valAx>
    </c:plotArea>
    <c:legend>
      <c:legendPos val="t"/>
      <c:layout>
        <c:manualLayout>
          <c:xMode val="edge"/>
          <c:yMode val="edge"/>
          <c:x val="0.20026954997199328"/>
          <c:y val="7.8430736088817773E-2"/>
          <c:w val="0.54659541703361969"/>
          <c:h val="4.4931518667903285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4448025284452674"/>
          <c:y val="1.5203198138347111E-2"/>
        </c:manualLayout>
      </c:layout>
      <c:overlay val="0"/>
    </c:title>
    <c:autoTitleDeleted val="0"/>
    <c:plotArea>
      <c:layout>
        <c:manualLayout>
          <c:layoutTarget val="inner"/>
          <c:xMode val="edge"/>
          <c:yMode val="edge"/>
          <c:x val="7.8155898079663791E-2"/>
          <c:y val="0.16912319684136348"/>
          <c:w val="0.86406135392400929"/>
          <c:h val="0.72911230134378513"/>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Ene-Abr.2016</c:v>
                </c:pt>
              </c:strCache>
            </c:strRef>
          </c:cat>
          <c:val>
            <c:numRef>
              <c:f>'V.4.12.Accid x edad'!$P$4:$P$13</c:f>
              <c:numCache>
                <c:formatCode>0.00%</c:formatCode>
                <c:ptCount val="10"/>
                <c:pt idx="0">
                  <c:v>3.0449345339075211E-4</c:v>
                </c:pt>
                <c:pt idx="1">
                  <c:v>8.9968511021142601E-5</c:v>
                </c:pt>
                <c:pt idx="2">
                  <c:v>0</c:v>
                </c:pt>
                <c:pt idx="3">
                  <c:v>2.5826446280991736E-4</c:v>
                </c:pt>
                <c:pt idx="4">
                  <c:v>8.3818393480791613E-4</c:v>
                </c:pt>
                <c:pt idx="5">
                  <c:v>1.651367234931274E-3</c:v>
                </c:pt>
                <c:pt idx="6">
                  <c:v>3.8024620942059984E-3</c:v>
                </c:pt>
                <c:pt idx="7">
                  <c:v>3.2190568163528088E-3</c:v>
                </c:pt>
                <c:pt idx="8">
                  <c:v>6.1509785647716683E-3</c:v>
                </c:pt>
              </c:numCache>
            </c:numRef>
          </c:val>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Ene-Abr.2016</c:v>
                </c:pt>
              </c:strCache>
            </c:strRef>
          </c:cat>
          <c:val>
            <c:numRef>
              <c:f>'V.4.12.Accid x edad'!$Q$4:$Q$13</c:f>
              <c:numCache>
                <c:formatCode>0.00%</c:formatCode>
                <c:ptCount val="10"/>
                <c:pt idx="0">
                  <c:v>2.9357829513873071E-3</c:v>
                </c:pt>
                <c:pt idx="1">
                  <c:v>5.7924229155576924E-3</c:v>
                </c:pt>
                <c:pt idx="2">
                  <c:v>8.4947533989786911E-3</c:v>
                </c:pt>
                <c:pt idx="3">
                  <c:v>1.2757491242322479E-2</c:v>
                </c:pt>
                <c:pt idx="4">
                  <c:v>1.7182087642392645E-2</c:v>
                </c:pt>
                <c:pt idx="5">
                  <c:v>1.9743237197579935E-2</c:v>
                </c:pt>
                <c:pt idx="6">
                  <c:v>2.0935574814660123E-2</c:v>
                </c:pt>
                <c:pt idx="7">
                  <c:v>1.9537149817295981E-2</c:v>
                </c:pt>
                <c:pt idx="8">
                  <c:v>2.3078887589553343E-2</c:v>
                </c:pt>
              </c:numCache>
            </c:numRef>
          </c:val>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Ene-Abr.2016</c:v>
                </c:pt>
              </c:strCache>
            </c:strRef>
          </c:cat>
          <c:val>
            <c:numRef>
              <c:f>'V.4.12.Accid x edad'!$R$4:$R$13</c:f>
              <c:numCache>
                <c:formatCode>0.00%</c:formatCode>
                <c:ptCount val="10"/>
                <c:pt idx="0">
                  <c:v>1.1604510518549807E-2</c:v>
                </c:pt>
                <c:pt idx="1">
                  <c:v>1.5467795936976423E-2</c:v>
                </c:pt>
                <c:pt idx="2">
                  <c:v>1.6738850212332974E-2</c:v>
                </c:pt>
                <c:pt idx="3">
                  <c:v>1.9368460163483359E-2</c:v>
                </c:pt>
                <c:pt idx="4">
                  <c:v>2.0784305206575864E-2</c:v>
                </c:pt>
                <c:pt idx="5">
                  <c:v>2.0315473459989009E-2</c:v>
                </c:pt>
                <c:pt idx="6">
                  <c:v>1.8615486410441247E-2</c:v>
                </c:pt>
                <c:pt idx="7">
                  <c:v>1.7708190892930398E-2</c:v>
                </c:pt>
                <c:pt idx="8">
                  <c:v>1.99913307325531E-2</c:v>
                </c:pt>
              </c:numCache>
            </c:numRef>
          </c:val>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Ene-Abr.2016</c:v>
                </c:pt>
              </c:strCache>
            </c:strRef>
          </c:cat>
          <c:val>
            <c:numRef>
              <c:f>'V.4.12.Accid x edad'!$S$4:$S$13</c:f>
              <c:numCache>
                <c:formatCode>0.00%</c:formatCode>
                <c:ptCount val="10"/>
                <c:pt idx="0">
                  <c:v>1.1948734094591585E-2</c:v>
                </c:pt>
                <c:pt idx="1">
                  <c:v>1.4201634353231898E-2</c:v>
                </c:pt>
                <c:pt idx="2">
                  <c:v>1.5027346522277971E-2</c:v>
                </c:pt>
                <c:pt idx="3">
                  <c:v>1.7819632752746315E-2</c:v>
                </c:pt>
                <c:pt idx="4">
                  <c:v>1.8781905774406422E-2</c:v>
                </c:pt>
                <c:pt idx="5">
                  <c:v>1.7674785156308749E-2</c:v>
                </c:pt>
                <c:pt idx="6">
                  <c:v>1.7604457137401257E-2</c:v>
                </c:pt>
                <c:pt idx="7">
                  <c:v>1.6715372063011272E-2</c:v>
                </c:pt>
                <c:pt idx="8">
                  <c:v>1.6865107373575858E-2</c:v>
                </c:pt>
              </c:numCache>
            </c:numRef>
          </c:val>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Ene-Abr.2016</c:v>
                </c:pt>
              </c:strCache>
            </c:strRef>
          </c:cat>
          <c:val>
            <c:numRef>
              <c:f>'V.4.12.Accid x edad'!$T$4:$T$13</c:f>
              <c:numCache>
                <c:formatCode>0.00%</c:formatCode>
                <c:ptCount val="10"/>
                <c:pt idx="0">
                  <c:v>1.2258842443729904E-2</c:v>
                </c:pt>
                <c:pt idx="1">
                  <c:v>1.3721278396146586E-2</c:v>
                </c:pt>
                <c:pt idx="2">
                  <c:v>1.4867385637870758E-2</c:v>
                </c:pt>
                <c:pt idx="3">
                  <c:v>1.7458682468404242E-2</c:v>
                </c:pt>
                <c:pt idx="4">
                  <c:v>1.8911275102433796E-2</c:v>
                </c:pt>
                <c:pt idx="5">
                  <c:v>1.7448276547726752E-2</c:v>
                </c:pt>
                <c:pt idx="6">
                  <c:v>1.751579404029175E-2</c:v>
                </c:pt>
                <c:pt idx="7">
                  <c:v>1.6348911759743547E-2</c:v>
                </c:pt>
                <c:pt idx="8">
                  <c:v>1.5489842726081258E-2</c:v>
                </c:pt>
              </c:numCache>
            </c:numRef>
          </c:val>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Ene-Abr.2016</c:v>
                </c:pt>
              </c:strCache>
            </c:strRef>
          </c:cat>
          <c:val>
            <c:numRef>
              <c:f>'V.4.12.Accid x edad'!$U$4:$U$13</c:f>
              <c:numCache>
                <c:formatCode>0.00%</c:formatCode>
                <c:ptCount val="10"/>
                <c:pt idx="0">
                  <c:v>1.6478615358132109E-2</c:v>
                </c:pt>
                <c:pt idx="1">
                  <c:v>1.5830038201192949E-2</c:v>
                </c:pt>
                <c:pt idx="2">
                  <c:v>1.6085155236098634E-2</c:v>
                </c:pt>
                <c:pt idx="3">
                  <c:v>1.8198475354581852E-2</c:v>
                </c:pt>
                <c:pt idx="4">
                  <c:v>1.9451066433197613E-2</c:v>
                </c:pt>
                <c:pt idx="5">
                  <c:v>1.7495982580086909E-2</c:v>
                </c:pt>
                <c:pt idx="6">
                  <c:v>1.9803217502145278E-2</c:v>
                </c:pt>
                <c:pt idx="7">
                  <c:v>1.7926363896891357E-2</c:v>
                </c:pt>
                <c:pt idx="8">
                  <c:v>1.2000968885561403E-2</c:v>
                </c:pt>
              </c:numCache>
            </c:numRef>
          </c:val>
        </c:ser>
        <c:dLbls>
          <c:showLegendKey val="0"/>
          <c:showVal val="1"/>
          <c:showCatName val="0"/>
          <c:showSerName val="0"/>
          <c:showPercent val="0"/>
          <c:showBubbleSize val="0"/>
        </c:dLbls>
        <c:gapWidth val="95"/>
        <c:overlap val="100"/>
        <c:axId val="468668240"/>
        <c:axId val="468668632"/>
      </c:barChart>
      <c:catAx>
        <c:axId val="468668240"/>
        <c:scaling>
          <c:orientation val="minMax"/>
        </c:scaling>
        <c:delete val="0"/>
        <c:axPos val="l"/>
        <c:numFmt formatCode="General" sourceLinked="1"/>
        <c:majorTickMark val="none"/>
        <c:minorTickMark val="none"/>
        <c:tickLblPos val="nextTo"/>
        <c:txPr>
          <a:bodyPr/>
          <a:lstStyle/>
          <a:p>
            <a:pPr>
              <a:defRPr sz="1200"/>
            </a:pPr>
            <a:endParaRPr lang="es-ES"/>
          </a:p>
        </c:txPr>
        <c:crossAx val="468668632"/>
        <c:crosses val="autoZero"/>
        <c:auto val="1"/>
        <c:lblAlgn val="ctr"/>
        <c:lblOffset val="100"/>
        <c:noMultiLvlLbl val="0"/>
      </c:catAx>
      <c:valAx>
        <c:axId val="468668632"/>
        <c:scaling>
          <c:orientation val="minMax"/>
        </c:scaling>
        <c:delete val="1"/>
        <c:axPos val="b"/>
        <c:numFmt formatCode="0.00%" sourceLinked="1"/>
        <c:majorTickMark val="out"/>
        <c:minorTickMark val="none"/>
        <c:tickLblPos val="nextTo"/>
        <c:crossAx val="468668240"/>
        <c:crosses val="autoZero"/>
        <c:crossBetween val="between"/>
      </c:valAx>
    </c:plotArea>
    <c:legend>
      <c:legendPos val="t"/>
      <c:layout>
        <c:manualLayout>
          <c:xMode val="edge"/>
          <c:yMode val="edge"/>
          <c:x val="1.709420657413549E-2"/>
          <c:y val="8.6228839794472087E-2"/>
          <c:w val="0.96212967503538205"/>
          <c:h val="4.07165694824908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01450691297789"/>
          <c:y val="4.117554210339958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4259167979974865E-2"/>
          <c:y val="0.31333182734687276"/>
          <c:w val="0.95361990725538681"/>
          <c:h val="0.52471281035487349"/>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8501636632705021E-3"/>
                  <c:y val="-1.06504184686373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010108256903454E-3"/>
                  <c:y val="-8.023920214341246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331932518205971E-3"/>
                  <c:y val="-2.0421503215155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882352452933108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82352452933188E-3"/>
                  <c:y val="-1.0835668974578917E-2"/>
                </c:manualLayout>
              </c:layout>
              <c:spPr>
                <a:noFill/>
                <a:ln>
                  <a:noFill/>
                </a:ln>
                <a:effectLst/>
              </c:spPr>
              <c:txPr>
                <a:bodyPr rot="-5400000" vert="horz"/>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Lab'!$A$3:$A$10</c:f>
              <c:strCache>
                <c:ptCount val="8"/>
                <c:pt idx="0">
                  <c:v>2009</c:v>
                </c:pt>
                <c:pt idx="1">
                  <c:v>2010</c:v>
                </c:pt>
                <c:pt idx="2">
                  <c:v>2011</c:v>
                </c:pt>
                <c:pt idx="3">
                  <c:v>2012</c:v>
                </c:pt>
                <c:pt idx="4">
                  <c:v>2013</c:v>
                </c:pt>
                <c:pt idx="5">
                  <c:v>2014</c:v>
                </c:pt>
                <c:pt idx="6">
                  <c:v>2015</c:v>
                </c:pt>
                <c:pt idx="7">
                  <c:v>Ene-Abr. 2016</c:v>
                </c:pt>
              </c:strCache>
            </c:strRef>
          </c:cat>
          <c:val>
            <c:numRef>
              <c:f>'V.4.13.EC. Accid. Lab'!$B$3:$B$10</c:f>
              <c:numCache>
                <c:formatCode>_(* #,##0_);_(* \(#,##0\);_(* "-"??_);_(@_)</c:formatCode>
                <c:ptCount val="8"/>
                <c:pt idx="0">
                  <c:v>14329</c:v>
                </c:pt>
                <c:pt idx="1">
                  <c:v>16871</c:v>
                </c:pt>
                <c:pt idx="2">
                  <c:v>21189</c:v>
                </c:pt>
                <c:pt idx="3">
                  <c:v>26301</c:v>
                </c:pt>
                <c:pt idx="4">
                  <c:v>28752</c:v>
                </c:pt>
                <c:pt idx="5">
                  <c:v>30331</c:v>
                </c:pt>
                <c:pt idx="6">
                  <c:v>33850</c:v>
                </c:pt>
                <c:pt idx="7">
                  <c:v>12020</c:v>
                </c:pt>
              </c:numCache>
            </c:numRef>
          </c:val>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1.6423621137741821E-2"/>
                  <c:y val="-2.93994096356402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130976975102946E-3"/>
                  <c:y val="-1.74593470349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296854667075357E-2"/>
                  <c:y val="-1.0379995785132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18703488290092E-3"/>
                  <c:y val="-1.51321530760755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8471695490050552E-3"/>
                  <c:y val="-3.03398731288207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769485737069434E-2"/>
                  <c:y val="-1.51699365644103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4325209111613813E-3"/>
                  <c:y val="-1.5169936564410293E-2"/>
                </c:manualLayout>
              </c:layout>
              <c:spPr>
                <a:noFill/>
                <a:ln>
                  <a:noFill/>
                </a:ln>
                <a:effectLst/>
              </c:spPr>
              <c:txPr>
                <a:bodyPr rot="-5400000" vert="horz"/>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185045723421606E-3"/>
                  <c:y val="-8.351977314188310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Lab'!$A$3:$A$10</c:f>
              <c:strCache>
                <c:ptCount val="8"/>
                <c:pt idx="0">
                  <c:v>2009</c:v>
                </c:pt>
                <c:pt idx="1">
                  <c:v>2010</c:v>
                </c:pt>
                <c:pt idx="2">
                  <c:v>2011</c:v>
                </c:pt>
                <c:pt idx="3">
                  <c:v>2012</c:v>
                </c:pt>
                <c:pt idx="4">
                  <c:v>2013</c:v>
                </c:pt>
                <c:pt idx="5">
                  <c:v>2014</c:v>
                </c:pt>
                <c:pt idx="6">
                  <c:v>2015</c:v>
                </c:pt>
                <c:pt idx="7">
                  <c:v>Ene-Abr. 2016</c:v>
                </c:pt>
              </c:strCache>
            </c:strRef>
          </c:cat>
          <c:val>
            <c:numRef>
              <c:f>'V.4.13.EC. Accid. Lab'!$C$3:$C$10</c:f>
              <c:numCache>
                <c:formatCode>_(* #,##0_);_(* \(#,##0\);_(* "-"??_);_(@_)</c:formatCode>
                <c:ptCount val="8"/>
                <c:pt idx="0">
                  <c:v>14683</c:v>
                </c:pt>
                <c:pt idx="1">
                  <c:v>17456</c:v>
                </c:pt>
                <c:pt idx="2">
                  <c:v>22597</c:v>
                </c:pt>
                <c:pt idx="3">
                  <c:v>26688</c:v>
                </c:pt>
                <c:pt idx="4">
                  <c:v>28635</c:v>
                </c:pt>
                <c:pt idx="5">
                  <c:v>31032</c:v>
                </c:pt>
                <c:pt idx="6">
                  <c:v>34549</c:v>
                </c:pt>
                <c:pt idx="7">
                  <c:v>12405</c:v>
                </c:pt>
              </c:numCache>
            </c:numRef>
          </c:val>
        </c:ser>
        <c:dLbls>
          <c:showLegendKey val="0"/>
          <c:showVal val="0"/>
          <c:showCatName val="0"/>
          <c:showSerName val="0"/>
          <c:showPercent val="0"/>
          <c:showBubbleSize val="0"/>
        </c:dLbls>
        <c:gapWidth val="150"/>
        <c:shape val="cylinder"/>
        <c:axId val="468669416"/>
        <c:axId val="468669808"/>
        <c:axId val="0"/>
      </c:bar3DChart>
      <c:catAx>
        <c:axId val="468669416"/>
        <c:scaling>
          <c:orientation val="minMax"/>
        </c:scaling>
        <c:delete val="0"/>
        <c:axPos val="b"/>
        <c:numFmt formatCode="General" sourceLinked="1"/>
        <c:majorTickMark val="none"/>
        <c:minorTickMark val="none"/>
        <c:tickLblPos val="nextTo"/>
        <c:txPr>
          <a:bodyPr/>
          <a:lstStyle/>
          <a:p>
            <a:pPr>
              <a:defRPr sz="1400"/>
            </a:pPr>
            <a:endParaRPr lang="es-ES"/>
          </a:p>
        </c:txPr>
        <c:crossAx val="468669808"/>
        <c:crosses val="autoZero"/>
        <c:auto val="1"/>
        <c:lblAlgn val="ctr"/>
        <c:lblOffset val="100"/>
        <c:noMultiLvlLbl val="0"/>
      </c:catAx>
      <c:valAx>
        <c:axId val="468669808"/>
        <c:scaling>
          <c:orientation val="minMax"/>
        </c:scaling>
        <c:delete val="1"/>
        <c:axPos val="l"/>
        <c:numFmt formatCode="_(* #,##0_);_(* \(#,##0\);_(* &quot;-&quot;??_);_(@_)" sourceLinked="1"/>
        <c:majorTickMark val="out"/>
        <c:minorTickMark val="none"/>
        <c:tickLblPos val="nextTo"/>
        <c:crossAx val="468669416"/>
        <c:crosses val="autoZero"/>
        <c:crossBetween val="between"/>
      </c:valAx>
    </c:plotArea>
    <c:legend>
      <c:legendPos val="t"/>
      <c:layout>
        <c:manualLayout>
          <c:xMode val="edge"/>
          <c:yMode val="edge"/>
          <c:x val="0.21971971123818007"/>
          <c:y val="0.14060722406371717"/>
          <c:w val="0.5357628982271988"/>
          <c:h val="5.3145462174225659E-2"/>
        </c:manualLayout>
      </c:layout>
      <c:overlay val="0"/>
      <c:txPr>
        <a:bodyPr/>
        <a:lstStyle/>
        <a:p>
          <a:pPr>
            <a:defRPr sz="14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0983837334229827"/>
          <c:y val="3.252467265325523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329852254029508E-3"/>
          <c:y val="0.27531091757067455"/>
          <c:w val="0.98259021917278777"/>
          <c:h val="0.54599131801679146"/>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Lab.'!$A$4:$A$11</c:f>
              <c:strCache>
                <c:ptCount val="8"/>
                <c:pt idx="0">
                  <c:v>2009</c:v>
                </c:pt>
                <c:pt idx="1">
                  <c:v>2010</c:v>
                </c:pt>
                <c:pt idx="2">
                  <c:v>2011</c:v>
                </c:pt>
                <c:pt idx="3">
                  <c:v>2012</c:v>
                </c:pt>
                <c:pt idx="4">
                  <c:v>2013</c:v>
                </c:pt>
                <c:pt idx="5">
                  <c:v>2014</c:v>
                </c:pt>
                <c:pt idx="6">
                  <c:v>2015</c:v>
                </c:pt>
                <c:pt idx="7">
                  <c:v>Ene-Abr.2016</c:v>
                </c:pt>
              </c:strCache>
            </c:strRef>
          </c:cat>
          <c:val>
            <c:numRef>
              <c:f>'V.4.14.EC. Accid. Lab.'!$E$4:$E$11</c:f>
              <c:numCache>
                <c:formatCode>0.00%</c:formatCode>
                <c:ptCount val="8"/>
                <c:pt idx="0">
                  <c:v>0.93000209365622166</c:v>
                </c:pt>
                <c:pt idx="1">
                  <c:v>0.92744946950388241</c:v>
                </c:pt>
                <c:pt idx="2">
                  <c:v>0.96894615130492234</c:v>
                </c:pt>
                <c:pt idx="3">
                  <c:v>0.95943120033458806</c:v>
                </c:pt>
                <c:pt idx="4">
                  <c:v>0.94156928213689484</c:v>
                </c:pt>
                <c:pt idx="5">
                  <c:v>0.94695196333783915</c:v>
                </c:pt>
                <c:pt idx="6">
                  <c:v>0.94336779911373703</c:v>
                </c:pt>
                <c:pt idx="7">
                  <c:v>0.94168053244592342</c:v>
                </c:pt>
              </c:numCache>
            </c:numRef>
          </c:val>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Lab.'!$A$4:$A$11</c:f>
              <c:strCache>
                <c:ptCount val="8"/>
                <c:pt idx="0">
                  <c:v>2009</c:v>
                </c:pt>
                <c:pt idx="1">
                  <c:v>2010</c:v>
                </c:pt>
                <c:pt idx="2">
                  <c:v>2011</c:v>
                </c:pt>
                <c:pt idx="3">
                  <c:v>2012</c:v>
                </c:pt>
                <c:pt idx="4">
                  <c:v>2013</c:v>
                </c:pt>
                <c:pt idx="5">
                  <c:v>2014</c:v>
                </c:pt>
                <c:pt idx="6">
                  <c:v>2015</c:v>
                </c:pt>
                <c:pt idx="7">
                  <c:v>Ene-Abr.2016</c:v>
                </c:pt>
              </c:strCache>
            </c:strRef>
          </c:cat>
          <c:val>
            <c:numRef>
              <c:f>'V.4.14.EC. Accid. Lab.'!$F$4:$F$11</c:f>
              <c:numCache>
                <c:formatCode>0.00%</c:formatCode>
                <c:ptCount val="8"/>
                <c:pt idx="0">
                  <c:v>6.9997906343778352E-2</c:v>
                </c:pt>
                <c:pt idx="1">
                  <c:v>7.2550530496117593E-2</c:v>
                </c:pt>
                <c:pt idx="2">
                  <c:v>3.1053848695077636E-2</c:v>
                </c:pt>
                <c:pt idx="3">
                  <c:v>4.0568799665411964E-2</c:v>
                </c:pt>
                <c:pt idx="4">
                  <c:v>5.8430717863105178E-2</c:v>
                </c:pt>
                <c:pt idx="5">
                  <c:v>5.3048036662160826E-2</c:v>
                </c:pt>
                <c:pt idx="6">
                  <c:v>5.6632200886262925E-2</c:v>
                </c:pt>
                <c:pt idx="7">
                  <c:v>5.8319467554076541E-2</c:v>
                </c:pt>
              </c:numCache>
            </c:numRef>
          </c:val>
        </c:ser>
        <c:dLbls>
          <c:showLegendKey val="0"/>
          <c:showVal val="0"/>
          <c:showCatName val="0"/>
          <c:showSerName val="0"/>
          <c:showPercent val="0"/>
          <c:showBubbleSize val="0"/>
        </c:dLbls>
        <c:gapWidth val="75"/>
        <c:shape val="cylinder"/>
        <c:axId val="468670592"/>
        <c:axId val="468670984"/>
        <c:axId val="0"/>
      </c:bar3DChart>
      <c:catAx>
        <c:axId val="468670592"/>
        <c:scaling>
          <c:orientation val="minMax"/>
        </c:scaling>
        <c:delete val="0"/>
        <c:axPos val="b"/>
        <c:numFmt formatCode="General" sourceLinked="1"/>
        <c:majorTickMark val="none"/>
        <c:minorTickMark val="none"/>
        <c:tickLblPos val="nextTo"/>
        <c:txPr>
          <a:bodyPr/>
          <a:lstStyle/>
          <a:p>
            <a:pPr>
              <a:defRPr sz="1600"/>
            </a:pPr>
            <a:endParaRPr lang="es-ES"/>
          </a:p>
        </c:txPr>
        <c:crossAx val="468670984"/>
        <c:crosses val="autoZero"/>
        <c:auto val="1"/>
        <c:lblAlgn val="ctr"/>
        <c:lblOffset val="100"/>
        <c:noMultiLvlLbl val="0"/>
      </c:catAx>
      <c:valAx>
        <c:axId val="468670984"/>
        <c:scaling>
          <c:orientation val="minMax"/>
        </c:scaling>
        <c:delete val="1"/>
        <c:axPos val="l"/>
        <c:numFmt formatCode="0.00%" sourceLinked="1"/>
        <c:majorTickMark val="out"/>
        <c:minorTickMark val="none"/>
        <c:tickLblPos val="nextTo"/>
        <c:crossAx val="468670592"/>
        <c:crosses val="autoZero"/>
        <c:crossBetween val="between"/>
      </c:valAx>
    </c:plotArea>
    <c:legend>
      <c:legendPos val="t"/>
      <c:layout>
        <c:manualLayout>
          <c:xMode val="edge"/>
          <c:yMode val="edge"/>
          <c:x val="0.28542087581665537"/>
          <c:y val="8.5263813510185596E-2"/>
          <c:w val="0.44740132280776618"/>
          <c:h val="4.71880783663333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Ene-Abr. 2016</c:v>
                </c:pt>
              </c:strCache>
            </c:strRef>
          </c:cat>
          <c:val>
            <c:numRef>
              <c:f>'V.4.15.EC. Accid. Lab x tipo'!$G$4:$G$11</c:f>
              <c:numCache>
                <c:formatCode>0.00%</c:formatCode>
                <c:ptCount val="8"/>
                <c:pt idx="0">
                  <c:v>0.76865098750785121</c:v>
                </c:pt>
                <c:pt idx="1">
                  <c:v>0.77037520004741866</c:v>
                </c:pt>
                <c:pt idx="2">
                  <c:v>0.74137524187078196</c:v>
                </c:pt>
                <c:pt idx="3">
                  <c:v>0.72179765027945708</c:v>
                </c:pt>
                <c:pt idx="4">
                  <c:v>0.68743043962159156</c:v>
                </c:pt>
                <c:pt idx="5">
                  <c:v>0.68853648082819563</c:v>
                </c:pt>
                <c:pt idx="6">
                  <c:v>0.67084194977843425</c:v>
                </c:pt>
                <c:pt idx="7">
                  <c:v>0.65599001663893508</c:v>
                </c:pt>
              </c:numCache>
            </c:numRef>
          </c:val>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Ene-Abr. 2016</c:v>
                </c:pt>
              </c:strCache>
            </c:strRef>
          </c:cat>
          <c:val>
            <c:numRef>
              <c:f>'V.4.15.EC. Accid. Lab x tipo'!$H$4:$H$11</c:f>
              <c:numCache>
                <c:formatCode>0.00%</c:formatCode>
                <c:ptCount val="8"/>
                <c:pt idx="0">
                  <c:v>0.15192965315095261</c:v>
                </c:pt>
                <c:pt idx="1">
                  <c:v>0.14960583249362813</c:v>
                </c:pt>
                <c:pt idx="2">
                  <c:v>0.21987823870876397</c:v>
                </c:pt>
                <c:pt idx="3">
                  <c:v>0.22945895593323448</c:v>
                </c:pt>
                <c:pt idx="4">
                  <c:v>0.24568725653867557</c:v>
                </c:pt>
                <c:pt idx="5">
                  <c:v>0.24878836833602586</c:v>
                </c:pt>
                <c:pt idx="6">
                  <c:v>0.26389955686853767</c:v>
                </c:pt>
                <c:pt idx="7">
                  <c:v>0.27820299500831946</c:v>
                </c:pt>
              </c:numCache>
            </c:numRef>
          </c:val>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Ene-Abr. 2016</c:v>
                </c:pt>
              </c:strCache>
            </c:strRef>
          </c:cat>
          <c:val>
            <c:numRef>
              <c:f>'V.4.15.EC. Accid. Lab x tipo'!$I$4:$I$11</c:f>
              <c:numCache>
                <c:formatCode>0.00%</c:formatCode>
                <c:ptCount val="8"/>
                <c:pt idx="0">
                  <c:v>8.9329332123665294E-3</c:v>
                </c:pt>
                <c:pt idx="1">
                  <c:v>7.4684369628356352E-3</c:v>
                </c:pt>
                <c:pt idx="2">
                  <c:v>7.6926707253763748E-3</c:v>
                </c:pt>
                <c:pt idx="3">
                  <c:v>8.1745941218965053E-3</c:v>
                </c:pt>
                <c:pt idx="4">
                  <c:v>8.451585976627712E-3</c:v>
                </c:pt>
                <c:pt idx="5">
                  <c:v>9.6271141736177512E-3</c:v>
                </c:pt>
                <c:pt idx="6">
                  <c:v>8.5967503692762192E-3</c:v>
                </c:pt>
                <c:pt idx="7">
                  <c:v>7.4875207986688855E-3</c:v>
                </c:pt>
              </c:numCache>
            </c:numRef>
          </c:val>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Ene-Abr. 2016</c:v>
                </c:pt>
              </c:strCache>
            </c:strRef>
          </c:cat>
          <c:val>
            <c:numRef>
              <c:f>'V.4.15.EC. Accid. Lab x tipo'!$J$4:$J$11</c:f>
              <c:numCache>
                <c:formatCode>0.00%</c:formatCode>
                <c:ptCount val="8"/>
                <c:pt idx="0">
                  <c:v>7.0486426128829646E-2</c:v>
                </c:pt>
                <c:pt idx="1">
                  <c:v>7.2550530496117593E-2</c:v>
                </c:pt>
                <c:pt idx="2">
                  <c:v>3.1053848695077636E-2</c:v>
                </c:pt>
                <c:pt idx="3">
                  <c:v>4.0568799665411964E-2</c:v>
                </c:pt>
                <c:pt idx="4">
                  <c:v>5.8430717863105178E-2</c:v>
                </c:pt>
                <c:pt idx="5">
                  <c:v>5.3048036662160826E-2</c:v>
                </c:pt>
                <c:pt idx="6">
                  <c:v>5.6661742983751845E-2</c:v>
                </c:pt>
                <c:pt idx="7">
                  <c:v>5.8319467554076541E-2</c:v>
                </c:pt>
              </c:numCache>
            </c:numRef>
          </c:val>
        </c:ser>
        <c:dLbls>
          <c:showLegendKey val="0"/>
          <c:showVal val="0"/>
          <c:showCatName val="0"/>
          <c:showSerName val="0"/>
          <c:showPercent val="0"/>
          <c:showBubbleSize val="0"/>
        </c:dLbls>
        <c:gapWidth val="75"/>
        <c:shape val="cylinder"/>
        <c:axId val="468671768"/>
        <c:axId val="468672160"/>
        <c:axId val="0"/>
      </c:bar3DChart>
      <c:catAx>
        <c:axId val="468671768"/>
        <c:scaling>
          <c:orientation val="minMax"/>
        </c:scaling>
        <c:delete val="0"/>
        <c:axPos val="b"/>
        <c:numFmt formatCode="General" sourceLinked="1"/>
        <c:majorTickMark val="none"/>
        <c:minorTickMark val="none"/>
        <c:tickLblPos val="nextTo"/>
        <c:txPr>
          <a:bodyPr/>
          <a:lstStyle/>
          <a:p>
            <a:pPr>
              <a:defRPr sz="1600"/>
            </a:pPr>
            <a:endParaRPr lang="es-ES"/>
          </a:p>
        </c:txPr>
        <c:crossAx val="468672160"/>
        <c:crosses val="autoZero"/>
        <c:auto val="1"/>
        <c:lblAlgn val="ctr"/>
        <c:lblOffset val="100"/>
        <c:noMultiLvlLbl val="0"/>
      </c:catAx>
      <c:valAx>
        <c:axId val="468672160"/>
        <c:scaling>
          <c:orientation val="minMax"/>
        </c:scaling>
        <c:delete val="0"/>
        <c:axPos val="l"/>
        <c:numFmt formatCode="0.00%" sourceLinked="1"/>
        <c:majorTickMark val="none"/>
        <c:minorTickMark val="none"/>
        <c:tickLblPos val="nextTo"/>
        <c:spPr>
          <a:ln w="9525">
            <a:noFill/>
          </a:ln>
        </c:spPr>
        <c:crossAx val="468671768"/>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Cantidad de Expedientes  Calificados  por la ARL por Grado de Lesión</a:t>
            </a:r>
          </a:p>
        </c:rich>
      </c:tx>
      <c:layout>
        <c:manualLayout>
          <c:xMode val="edge"/>
          <c:yMode val="edge"/>
          <c:x val="0.26714113185062965"/>
          <c:y val="2.697939009910309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7311831931430777E-5"/>
          <c:y val="0.25932608385748146"/>
          <c:w val="0.97627481951626327"/>
          <c:h val="0.53987700227689683"/>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7.7231085388628305E-3"/>
                  <c:y val="-1.721147942898002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297205135515931E-3"/>
                  <c:y val="-8.08382738036890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826418234268163E-3"/>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805793315229224E-2"/>
                  <c:y val="-1.8678039299379067E-2"/>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Ene-Abr. 2016</c:v>
                </c:pt>
              </c:strCache>
            </c:strRef>
          </c:cat>
          <c:val>
            <c:numRef>
              <c:f>'V.4.16. EC. Accid. Lab x Lesión'!$I$4:$I$11</c:f>
              <c:numCache>
                <c:formatCode>0.0%</c:formatCode>
                <c:ptCount val="8"/>
                <c:pt idx="0">
                  <c:v>0.47721404145439317</c:v>
                </c:pt>
                <c:pt idx="1">
                  <c:v>0.52800663861063368</c:v>
                </c:pt>
                <c:pt idx="2">
                  <c:v>0.53867572797206098</c:v>
                </c:pt>
                <c:pt idx="3">
                  <c:v>0.57488308429337287</c:v>
                </c:pt>
                <c:pt idx="4">
                  <c:v>0.5688647746243739</c:v>
                </c:pt>
                <c:pt idx="5">
                  <c:v>0.55289967360126602</c:v>
                </c:pt>
                <c:pt idx="6">
                  <c:v>0.56679468242245201</c:v>
                </c:pt>
                <c:pt idx="7">
                  <c:v>0.57512479201331113</c:v>
                </c:pt>
              </c:numCache>
            </c:numRef>
          </c:val>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12380138210223E-3"/>
                  <c:y val="-1.0403203634908506E-2"/>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Ene-Abr. 2016</c:v>
                </c:pt>
              </c:strCache>
            </c:strRef>
          </c:cat>
          <c:val>
            <c:numRef>
              <c:f>'V.4.16. EC. Accid. Lab x Lesión'!$J$4:$J$11</c:f>
              <c:numCache>
                <c:formatCode>0.0%</c:formatCode>
                <c:ptCount val="8"/>
                <c:pt idx="0">
                  <c:v>0.36185358364156606</c:v>
                </c:pt>
                <c:pt idx="1">
                  <c:v>0.3096437674115346</c:v>
                </c:pt>
                <c:pt idx="2">
                  <c:v>0.33692010005191375</c:v>
                </c:pt>
                <c:pt idx="3">
                  <c:v>0.31964564085015779</c:v>
                </c:pt>
                <c:pt idx="4">
                  <c:v>0.31872565386755702</c:v>
                </c:pt>
                <c:pt idx="5">
                  <c:v>0.34598265800665984</c:v>
                </c:pt>
                <c:pt idx="6">
                  <c:v>0.33518463810930577</c:v>
                </c:pt>
                <c:pt idx="7">
                  <c:v>0.33019966722129784</c:v>
                </c:pt>
              </c:numCache>
            </c:numRef>
          </c:val>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8264182342680814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6271584901352832E-3"/>
                  <c:y val="-6.2127662072480969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Ene-Abr. 2016</c:v>
                </c:pt>
              </c:strCache>
            </c:strRef>
          </c:cat>
          <c:val>
            <c:numRef>
              <c:f>'V.4.16. EC. Accid. Lab x Lesión'!$K$4:$K$11</c:f>
              <c:numCache>
                <c:formatCode>0.0%</c:formatCode>
                <c:ptCount val="8"/>
                <c:pt idx="0">
                  <c:v>5.9529625235536322E-2</c:v>
                </c:pt>
                <c:pt idx="1">
                  <c:v>5.2160512121391736E-2</c:v>
                </c:pt>
                <c:pt idx="2">
                  <c:v>5.2338477511916559E-2</c:v>
                </c:pt>
                <c:pt idx="3">
                  <c:v>3.562602182426524E-2</c:v>
                </c:pt>
                <c:pt idx="4">
                  <c:v>3.5858375069560376E-2</c:v>
                </c:pt>
                <c:pt idx="5">
                  <c:v>2.9507764333520162E-2</c:v>
                </c:pt>
                <c:pt idx="6">
                  <c:v>3.0664697193500737E-2</c:v>
                </c:pt>
                <c:pt idx="7">
                  <c:v>2.6455906821963394E-2</c:v>
                </c:pt>
              </c:numCache>
            </c:numRef>
          </c:val>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6912566547407924E-3"/>
                  <c:y val="-1.3946763279257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177771945882404E-3"/>
                  <c:y val="-1.0376622391881987E-2"/>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Ene-Abr. 2016</c:v>
                </c:pt>
              </c:strCache>
            </c:strRef>
          </c:cat>
          <c:val>
            <c:numRef>
              <c:f>'V.4.16. EC. Accid. Lab x Lesión'!$L$4:$L$11</c:f>
              <c:numCache>
                <c:formatCode>0.0%</c:formatCode>
                <c:ptCount val="8"/>
                <c:pt idx="0">
                  <c:v>9.7703957010258913E-3</c:v>
                </c:pt>
                <c:pt idx="1">
                  <c:v>8.7724497658704277E-3</c:v>
                </c:pt>
                <c:pt idx="2">
                  <c:v>8.4949738071640954E-3</c:v>
                </c:pt>
                <c:pt idx="3">
                  <c:v>5.8552906733584272E-3</c:v>
                </c:pt>
                <c:pt idx="4">
                  <c:v>5.4952698942682251E-3</c:v>
                </c:pt>
                <c:pt idx="5">
                  <c:v>7.2533051993010451E-3</c:v>
                </c:pt>
                <c:pt idx="6">
                  <c:v>5.2584933530280646E-3</c:v>
                </c:pt>
                <c:pt idx="7">
                  <c:v>6.3227953410981697E-3</c:v>
                </c:pt>
              </c:numCache>
            </c:numRef>
          </c:val>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02026237075868E-2"/>
                  <c:y val="-4.1420065274800711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Ene-Abr. 2016</c:v>
                </c:pt>
              </c:strCache>
            </c:strRef>
          </c:cat>
          <c:val>
            <c:numRef>
              <c:f>'V.4.16. EC. Accid. Lab x Lesión'!$M$4:$M$11</c:f>
              <c:numCache>
                <c:formatCode>0.0%</c:formatCode>
                <c:ptCount val="8"/>
                <c:pt idx="0">
                  <c:v>2.163444762370019E-2</c:v>
                </c:pt>
                <c:pt idx="1">
                  <c:v>2.8866101594452017E-2</c:v>
                </c:pt>
                <c:pt idx="2">
                  <c:v>3.2516871961867005E-2</c:v>
                </c:pt>
                <c:pt idx="3">
                  <c:v>2.3421162693433709E-2</c:v>
                </c:pt>
                <c:pt idx="4">
                  <c:v>1.2625208681135225E-2</c:v>
                </c:pt>
                <c:pt idx="5">
                  <c:v>1.1308562197092083E-2</c:v>
                </c:pt>
                <c:pt idx="6">
                  <c:v>5.4652880354505171E-3</c:v>
                </c:pt>
                <c:pt idx="7">
                  <c:v>3.5773710482529118E-3</c:v>
                </c:pt>
              </c:numCache>
            </c:numRef>
          </c:val>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471393298363472E-2"/>
                  <c:y val="-6.2391816760931657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Ene-Abr. 2016</c:v>
                </c:pt>
              </c:strCache>
            </c:strRef>
          </c:cat>
          <c:val>
            <c:numRef>
              <c:f>'V.4.16. EC. Accid. Lab x Lesión'!$N$4:$N$11</c:f>
              <c:numCache>
                <c:formatCode>0.0%</c:formatCode>
                <c:ptCount val="8"/>
                <c:pt idx="0">
                  <c:v>6.9997906343778352E-2</c:v>
                </c:pt>
                <c:pt idx="1">
                  <c:v>7.2550530496117593E-2</c:v>
                </c:pt>
                <c:pt idx="2">
                  <c:v>3.1053848695077636E-2</c:v>
                </c:pt>
                <c:pt idx="3">
                  <c:v>4.0568799665411964E-2</c:v>
                </c:pt>
                <c:pt idx="4">
                  <c:v>5.8430717863105178E-2</c:v>
                </c:pt>
                <c:pt idx="5">
                  <c:v>5.3048036662160826E-2</c:v>
                </c:pt>
                <c:pt idx="6">
                  <c:v>5.6632200886262925E-2</c:v>
                </c:pt>
                <c:pt idx="7">
                  <c:v>5.8319467554076541E-2</c:v>
                </c:pt>
              </c:numCache>
            </c:numRef>
          </c:val>
        </c:ser>
        <c:dLbls>
          <c:showLegendKey val="0"/>
          <c:showVal val="0"/>
          <c:showCatName val="0"/>
          <c:showSerName val="0"/>
          <c:showPercent val="0"/>
          <c:showBubbleSize val="0"/>
        </c:dLbls>
        <c:gapWidth val="75"/>
        <c:shape val="cylinder"/>
        <c:axId val="468672944"/>
        <c:axId val="468673336"/>
        <c:axId val="0"/>
      </c:bar3DChart>
      <c:catAx>
        <c:axId val="468672944"/>
        <c:scaling>
          <c:orientation val="minMax"/>
        </c:scaling>
        <c:delete val="0"/>
        <c:axPos val="b"/>
        <c:numFmt formatCode="General" sourceLinked="1"/>
        <c:majorTickMark val="none"/>
        <c:minorTickMark val="none"/>
        <c:tickLblPos val="nextTo"/>
        <c:txPr>
          <a:bodyPr/>
          <a:lstStyle/>
          <a:p>
            <a:pPr>
              <a:defRPr sz="1600"/>
            </a:pPr>
            <a:endParaRPr lang="es-ES"/>
          </a:p>
        </c:txPr>
        <c:crossAx val="468673336"/>
        <c:crosses val="autoZero"/>
        <c:auto val="1"/>
        <c:lblAlgn val="ctr"/>
        <c:lblOffset val="100"/>
        <c:noMultiLvlLbl val="0"/>
      </c:catAx>
      <c:valAx>
        <c:axId val="468673336"/>
        <c:scaling>
          <c:orientation val="minMax"/>
        </c:scaling>
        <c:delete val="1"/>
        <c:axPos val="l"/>
        <c:numFmt formatCode="0.0%" sourceLinked="1"/>
        <c:majorTickMark val="out"/>
        <c:minorTickMark val="none"/>
        <c:tickLblPos val="nextTo"/>
        <c:crossAx val="468672944"/>
        <c:crosses val="autoZero"/>
        <c:crossBetween val="between"/>
      </c:valAx>
      <c:spPr>
        <a:noFill/>
        <a:ln w="25400">
          <a:noFill/>
        </a:ln>
      </c:spPr>
    </c:plotArea>
    <c:legend>
      <c:legendPos val="t"/>
      <c:layout>
        <c:manualLayout>
          <c:xMode val="edge"/>
          <c:yMode val="edge"/>
          <c:x val="6.467828910832589E-2"/>
          <c:y val="0.12779723230279158"/>
          <c:w val="0.8463244180622882"/>
          <c:h val="4.246124032903853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a:t>
            </a:r>
            <a:r>
              <a:rPr lang="en-US" sz="1600" baseline="0"/>
              <a:t> S</a:t>
            </a:r>
            <a:r>
              <a:rPr lang="en-US" sz="1600"/>
              <a:t>egún Circunstancia del Suceso</a:t>
            </a:r>
          </a:p>
        </c:rich>
      </c:tx>
      <c:layout>
        <c:manualLayout>
          <c:xMode val="edge"/>
          <c:yMode val="edge"/>
          <c:x val="0.26962099041309306"/>
          <c:y val="2.100352991331157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680299504749446E-3"/>
                  <c:y val="0"/>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Ene-Abr.2016</c:v>
                </c:pt>
              </c:strCache>
            </c:strRef>
          </c:cat>
          <c:val>
            <c:numRef>
              <c:f>'V.4.17. Accid.Lab suceso'!$I$4:$I$11</c:f>
              <c:numCache>
                <c:formatCode>0.00%</c:formatCode>
                <c:ptCount val="8"/>
                <c:pt idx="0">
                  <c:v>2.5961337148440226E-2</c:v>
                </c:pt>
                <c:pt idx="1">
                  <c:v>2.4598423329974514E-2</c:v>
                </c:pt>
                <c:pt idx="2">
                  <c:v>2.2275709094341404E-2</c:v>
                </c:pt>
                <c:pt idx="3">
                  <c:v>2.1063837876886812E-2</c:v>
                </c:pt>
                <c:pt idx="4">
                  <c:v>4.013633834168058E-2</c:v>
                </c:pt>
                <c:pt idx="5">
                  <c:v>3.8970030661699254E-2</c:v>
                </c:pt>
                <c:pt idx="6">
                  <c:v>3.1610044313146235E-2</c:v>
                </c:pt>
                <c:pt idx="7">
                  <c:v>4.1264559068219631E-2</c:v>
                </c:pt>
              </c:numCache>
            </c:numRef>
          </c:val>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0884792075991132E-3"/>
                  <c:y val="-6.29687952433272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Ene-Abr.2016</c:v>
                </c:pt>
              </c:strCache>
            </c:strRef>
          </c:cat>
          <c:val>
            <c:numRef>
              <c:f>'V.4.17. Accid.Lab suceso'!$J$4:$J$11</c:f>
              <c:numCache>
                <c:formatCode>0.00%</c:formatCode>
                <c:ptCount val="8"/>
                <c:pt idx="0">
                  <c:v>2.3658315304626979E-2</c:v>
                </c:pt>
                <c:pt idx="1">
                  <c:v>2.1160571394700966E-2</c:v>
                </c:pt>
                <c:pt idx="2">
                  <c:v>3.770824484402284E-2</c:v>
                </c:pt>
                <c:pt idx="3">
                  <c:v>4.5739705714611611E-2</c:v>
                </c:pt>
                <c:pt idx="4">
                  <c:v>3.3180300500834724E-2</c:v>
                </c:pt>
                <c:pt idx="5">
                  <c:v>3.7156704361873988E-2</c:v>
                </c:pt>
                <c:pt idx="6">
                  <c:v>3.5716395864106354E-2</c:v>
                </c:pt>
                <c:pt idx="7">
                  <c:v>3.4525790349417634E-2</c:v>
                </c:pt>
              </c:numCache>
            </c:numRef>
          </c:val>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522947057021562E-3"/>
                  <c:y val="4.10547576440486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Ene-Abr.2016</c:v>
                </c:pt>
              </c:strCache>
            </c:strRef>
          </c:cat>
          <c:val>
            <c:numRef>
              <c:f>'V.4.17. Accid.Lab suceso'!$K$4:$K$11</c:f>
              <c:numCache>
                <c:formatCode>0.00%</c:formatCode>
                <c:ptCount val="8"/>
                <c:pt idx="0">
                  <c:v>3.4754693279363529E-2</c:v>
                </c:pt>
                <c:pt idx="1">
                  <c:v>2.8688281666765455E-2</c:v>
                </c:pt>
                <c:pt idx="2">
                  <c:v>2.5956864410779178E-2</c:v>
                </c:pt>
                <c:pt idx="3">
                  <c:v>2.0569560092772138E-2</c:v>
                </c:pt>
                <c:pt idx="4">
                  <c:v>1.4885920979410128E-2</c:v>
                </c:pt>
                <c:pt idx="5">
                  <c:v>2.070488938709571E-2</c:v>
                </c:pt>
                <c:pt idx="6">
                  <c:v>6.5583456425406207E-3</c:v>
                </c:pt>
                <c:pt idx="7">
                  <c:v>5.8236272878535774E-3</c:v>
                </c:pt>
              </c:numCache>
            </c:numRef>
          </c:val>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1.2276135545254236E-2"/>
                  <c:y val="-3.49584240678965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8162759117238068E-3"/>
                  <c:y val="-7.53774491721173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162759117238068E-3"/>
                  <c:y val="-1.17356646001002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49242167018968E-3"/>
                  <c:y val="-1.0494799207221215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Ene-Abr.2016</c:v>
                </c:pt>
              </c:strCache>
            </c:strRef>
          </c:cat>
          <c:val>
            <c:numRef>
              <c:f>'V.4.17. Accid.Lab suceso'!$L$4:$L$11</c:f>
              <c:numCache>
                <c:formatCode>0.00%</c:formatCode>
                <c:ptCount val="8"/>
                <c:pt idx="0">
                  <c:v>0.81394375043617839</c:v>
                </c:pt>
                <c:pt idx="1">
                  <c:v>0.80510935925552729</c:v>
                </c:pt>
                <c:pt idx="2">
                  <c:v>0.82910944357921568</c:v>
                </c:pt>
                <c:pt idx="3">
                  <c:v>0.83993004068286381</c:v>
                </c:pt>
                <c:pt idx="4">
                  <c:v>0.82644685587089595</c:v>
                </c:pt>
                <c:pt idx="5">
                  <c:v>0.82331607925884409</c:v>
                </c:pt>
                <c:pt idx="6">
                  <c:v>0.8470014771048745</c:v>
                </c:pt>
                <c:pt idx="7">
                  <c:v>0.83643926788685519</c:v>
                </c:pt>
              </c:numCache>
            </c:numRef>
          </c:val>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346690195784234E-3"/>
                  <c:y val="-1.0171926466533884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Ene-Abr.2016</c:v>
                </c:pt>
              </c:strCache>
            </c:strRef>
          </c:cat>
          <c:val>
            <c:numRef>
              <c:f>'V.4.17. Accid.Lab suceso'!$M$4:$M$11</c:f>
              <c:numCache>
                <c:formatCode>0.00%</c:formatCode>
                <c:ptCount val="8"/>
                <c:pt idx="0">
                  <c:v>3.196315165049899E-2</c:v>
                </c:pt>
                <c:pt idx="1">
                  <c:v>3.0762847489775355E-2</c:v>
                </c:pt>
                <c:pt idx="2">
                  <c:v>2.5484921421492283E-2</c:v>
                </c:pt>
                <c:pt idx="3">
                  <c:v>2.4751910573742444E-2</c:v>
                </c:pt>
                <c:pt idx="4">
                  <c:v>2.2607122982749025E-2</c:v>
                </c:pt>
                <c:pt idx="5">
                  <c:v>2.5617355181167784E-2</c:v>
                </c:pt>
                <c:pt idx="6">
                  <c:v>2.2481536189069423E-2</c:v>
                </c:pt>
                <c:pt idx="7">
                  <c:v>2.3627287853577372E-2</c:v>
                </c:pt>
              </c:numCache>
            </c:numRef>
          </c:val>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98709024245541E-2"/>
                  <c:y val="-1.6637509337103513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Ene-Abr.2016</c:v>
                </c:pt>
              </c:strCache>
            </c:strRef>
          </c:cat>
          <c:val>
            <c:numRef>
              <c:f>'V.4.17. Accid.Lab suceso'!$N$4:$N$11</c:f>
              <c:numCache>
                <c:formatCode>0.00%</c:formatCode>
                <c:ptCount val="8"/>
                <c:pt idx="0">
                  <c:v>6.9718752180891894E-2</c:v>
                </c:pt>
                <c:pt idx="1">
                  <c:v>8.9680516863256482E-2</c:v>
                </c:pt>
                <c:pt idx="2">
                  <c:v>5.9464816650148661E-2</c:v>
                </c:pt>
                <c:pt idx="3">
                  <c:v>4.794494505912323E-2</c:v>
                </c:pt>
                <c:pt idx="4">
                  <c:v>6.2743461324429609E-2</c:v>
                </c:pt>
                <c:pt idx="5">
                  <c:v>5.4234941149319177E-2</c:v>
                </c:pt>
                <c:pt idx="6">
                  <c:v>5.6632200886262925E-2</c:v>
                </c:pt>
                <c:pt idx="7">
                  <c:v>5.8319467554076541E-2</c:v>
                </c:pt>
              </c:numCache>
            </c:numRef>
          </c:val>
        </c:ser>
        <c:dLbls>
          <c:showLegendKey val="0"/>
          <c:showVal val="0"/>
          <c:showCatName val="0"/>
          <c:showSerName val="0"/>
          <c:showPercent val="0"/>
          <c:showBubbleSize val="0"/>
        </c:dLbls>
        <c:gapWidth val="75"/>
        <c:shape val="cylinder"/>
        <c:axId val="468674120"/>
        <c:axId val="468674512"/>
        <c:axId val="0"/>
      </c:bar3DChart>
      <c:catAx>
        <c:axId val="468674120"/>
        <c:scaling>
          <c:orientation val="minMax"/>
        </c:scaling>
        <c:delete val="0"/>
        <c:axPos val="b"/>
        <c:numFmt formatCode="General" sourceLinked="1"/>
        <c:majorTickMark val="none"/>
        <c:minorTickMark val="none"/>
        <c:tickLblPos val="nextTo"/>
        <c:txPr>
          <a:bodyPr/>
          <a:lstStyle/>
          <a:p>
            <a:pPr>
              <a:defRPr sz="1800"/>
            </a:pPr>
            <a:endParaRPr lang="es-ES"/>
          </a:p>
        </c:txPr>
        <c:crossAx val="468674512"/>
        <c:crosses val="autoZero"/>
        <c:auto val="1"/>
        <c:lblAlgn val="ctr"/>
        <c:lblOffset val="100"/>
        <c:noMultiLvlLbl val="0"/>
      </c:catAx>
      <c:valAx>
        <c:axId val="468674512"/>
        <c:scaling>
          <c:orientation val="minMax"/>
        </c:scaling>
        <c:delete val="1"/>
        <c:axPos val="l"/>
        <c:numFmt formatCode="0.00%" sourceLinked="1"/>
        <c:majorTickMark val="out"/>
        <c:minorTickMark val="none"/>
        <c:tickLblPos val="nextTo"/>
        <c:crossAx val="468674120"/>
        <c:crosses val="autoZero"/>
        <c:crossBetween val="between"/>
      </c:valAx>
      <c:spPr>
        <a:noFill/>
        <a:ln w="25400">
          <a:noFill/>
        </a:ln>
      </c:spPr>
    </c:plotArea>
    <c:legend>
      <c:legendPos val="t"/>
      <c:layout>
        <c:manualLayout>
          <c:xMode val="edge"/>
          <c:yMode val="edge"/>
          <c:x val="1.1350700783521931E-2"/>
          <c:y val="8.6999481079922628E-2"/>
          <c:w val="0.96148759491304259"/>
          <c:h val="4.67718124365912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0347435268317533E-2"/>
          <c:y val="0.21513256147539769"/>
          <c:w val="0.88659776638798682"/>
          <c:h val="0.6164346048216208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dPt>
          <c:dPt>
            <c:idx val="1"/>
            <c:invertIfNegative val="0"/>
            <c:bubble3D val="0"/>
            <c:spPr>
              <a:solidFill>
                <a:srgbClr val="0070C0"/>
              </a:solidFill>
            </c:spPr>
          </c:dPt>
          <c:dPt>
            <c:idx val="2"/>
            <c:invertIfNegative val="0"/>
            <c:bubble3D val="0"/>
            <c:spPr>
              <a:solidFill>
                <a:srgbClr val="0070C0"/>
              </a:solidFill>
            </c:spPr>
          </c:dPt>
          <c:dPt>
            <c:idx val="3"/>
            <c:invertIfNegative val="0"/>
            <c:bubble3D val="0"/>
            <c:spPr>
              <a:solidFill>
                <a:srgbClr val="0070C0"/>
              </a:solidFill>
            </c:spPr>
          </c:dPt>
          <c:dPt>
            <c:idx val="4"/>
            <c:invertIfNegative val="0"/>
            <c:bubble3D val="0"/>
            <c:spPr>
              <a:solidFill>
                <a:srgbClr val="0070C0"/>
              </a:solidFill>
            </c:spPr>
          </c:dPt>
          <c:dPt>
            <c:idx val="5"/>
            <c:invertIfNegative val="0"/>
            <c:bubble3D val="0"/>
            <c:spPr>
              <a:solidFill>
                <a:srgbClr val="0070C0"/>
              </a:solidFill>
            </c:spPr>
          </c:dPt>
          <c:dPt>
            <c:idx val="6"/>
            <c:invertIfNegative val="0"/>
            <c:bubble3D val="0"/>
            <c:spPr>
              <a:solidFill>
                <a:srgbClr val="0070C0"/>
              </a:solidFill>
            </c:spPr>
          </c:dPt>
          <c:dPt>
            <c:idx val="7"/>
            <c:invertIfNegative val="0"/>
            <c:bubble3D val="0"/>
            <c:spPr>
              <a:solidFill>
                <a:srgbClr val="0070C0"/>
              </a:solidFill>
            </c:spPr>
          </c:dPt>
          <c:dPt>
            <c:idx val="8"/>
            <c:invertIfNegative val="0"/>
            <c:bubble3D val="0"/>
            <c:spPr>
              <a:solidFill>
                <a:srgbClr val="0070C0"/>
              </a:solidFill>
            </c:spPr>
          </c:dPt>
          <c:dPt>
            <c:idx val="9"/>
            <c:invertIfNegative val="0"/>
            <c:bubble3D val="0"/>
            <c:spPr>
              <a:solidFill>
                <a:srgbClr val="0070C0"/>
              </a:solidFill>
            </c:spPr>
          </c:dPt>
          <c:dPt>
            <c:idx val="10"/>
            <c:invertIfNegative val="0"/>
            <c:bubble3D val="0"/>
            <c:spPr>
              <a:solidFill>
                <a:schemeClr val="accent5">
                  <a:lumMod val="75000"/>
                </a:schemeClr>
              </a:solidFill>
            </c:spPr>
          </c:dPt>
          <c:dPt>
            <c:idx val="11"/>
            <c:invertIfNegative val="0"/>
            <c:bubble3D val="0"/>
            <c:spPr>
              <a:solidFill>
                <a:schemeClr val="accent5">
                  <a:lumMod val="75000"/>
                </a:schemeClr>
              </a:solidFill>
            </c:spPr>
          </c:dPt>
          <c:dPt>
            <c:idx val="12"/>
            <c:invertIfNegative val="0"/>
            <c:bubble3D val="0"/>
            <c:spPr>
              <a:solidFill>
                <a:schemeClr val="accent5">
                  <a:lumMod val="75000"/>
                </a:schemeClr>
              </a:solidFill>
            </c:spPr>
          </c:dPt>
          <c:dPt>
            <c:idx val="13"/>
            <c:invertIfNegative val="0"/>
            <c:bubble3D val="0"/>
            <c:spPr>
              <a:solidFill>
                <a:schemeClr val="accent5">
                  <a:lumMod val="75000"/>
                </a:schemeClr>
              </a:solidFill>
            </c:spPr>
          </c:dPt>
          <c:dPt>
            <c:idx val="14"/>
            <c:invertIfNegative val="0"/>
            <c:bubble3D val="0"/>
            <c:spPr>
              <a:solidFill>
                <a:schemeClr val="accent5">
                  <a:lumMod val="75000"/>
                </a:schemeClr>
              </a:solidFill>
            </c:spPr>
          </c:dPt>
          <c:dPt>
            <c:idx val="15"/>
            <c:invertIfNegative val="0"/>
            <c:bubble3D val="0"/>
            <c:spPr>
              <a:solidFill>
                <a:schemeClr val="accent5">
                  <a:lumMod val="75000"/>
                </a:schemeClr>
              </a:solidFill>
            </c:spPr>
          </c:dPt>
          <c:dPt>
            <c:idx val="16"/>
            <c:invertIfNegative val="0"/>
            <c:bubble3D val="0"/>
            <c:spPr>
              <a:solidFill>
                <a:schemeClr val="accent5">
                  <a:lumMod val="75000"/>
                </a:schemeClr>
              </a:solidFill>
            </c:spPr>
          </c:dPt>
          <c:dPt>
            <c:idx val="17"/>
            <c:invertIfNegative val="0"/>
            <c:bubble3D val="0"/>
            <c:spPr>
              <a:solidFill>
                <a:schemeClr val="accent5">
                  <a:lumMod val="75000"/>
                </a:schemeClr>
              </a:solidFill>
            </c:spPr>
          </c:dPt>
          <c:dPt>
            <c:idx val="18"/>
            <c:invertIfNegative val="0"/>
            <c:bubble3D val="0"/>
            <c:spPr>
              <a:solidFill>
                <a:schemeClr val="accent5">
                  <a:lumMod val="75000"/>
                </a:schemeClr>
              </a:solidFill>
            </c:spPr>
          </c:dPt>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pobl.'!$B$5:$B$21</c:f>
              <c:numCache>
                <c:formatCode>#,##0</c:formatCode>
                <c:ptCount val="17"/>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10123138.999999996</c:v>
                </c:pt>
                <c:pt idx="12">
                  <c:v>10217441.000000004</c:v>
                </c:pt>
                <c:pt idx="13">
                  <c:v>10310702.5</c:v>
                </c:pt>
                <c:pt idx="14">
                  <c:v>10402759</c:v>
                </c:pt>
                <c:pt idx="15">
                  <c:v>10492689.000000004</c:v>
                </c:pt>
                <c:pt idx="16">
                  <c:v>10580622.5</c:v>
                </c:pt>
              </c:numCache>
            </c:numRef>
          </c:val>
        </c:ser>
        <c:ser>
          <c:idx val="2"/>
          <c:order val="1"/>
          <c:tx>
            <c:strRef>
              <c:f>'III.1.7.Proy. afil.Vs pobl.'!$D$4</c:f>
              <c:strCache>
                <c:ptCount val="1"/>
                <c:pt idx="0">
                  <c:v>% Afiliación SFS / Pob. Total</c:v>
                </c:pt>
              </c:strCache>
            </c:strRef>
          </c:tx>
          <c:invertIfNegative val="0"/>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pobl.'!$D$5:$D$21</c:f>
              <c:numCache>
                <c:formatCode>0.0%</c:formatCode>
                <c:ptCount val="17"/>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0.72274247819772142</c:v>
                </c:pt>
                <c:pt idx="12">
                  <c:v>0.7833826776579379</c:v>
                </c:pt>
                <c:pt idx="13">
                  <c:v>0.84926879818274759</c:v>
                </c:pt>
                <c:pt idx="14">
                  <c:v>0.92087823673803915</c:v>
                </c:pt>
                <c:pt idx="15">
                  <c:v>0.99880628840262542</c:v>
                </c:pt>
                <c:pt idx="16">
                  <c:v>1.0836129110991011</c:v>
                </c:pt>
              </c:numCache>
            </c:numRef>
          </c:val>
        </c:ser>
        <c:dLbls>
          <c:showLegendKey val="0"/>
          <c:showVal val="0"/>
          <c:showCatName val="0"/>
          <c:showSerName val="0"/>
          <c:showPercent val="0"/>
          <c:showBubbleSize val="0"/>
        </c:dLbls>
        <c:gapWidth val="29"/>
        <c:overlap val="82"/>
        <c:axId val="406448608"/>
        <c:axId val="406449000"/>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Lbls>
            <c:dLbl>
              <c:idx val="16"/>
              <c:delete val="1"/>
              <c:extLst>
                <c:ext xmlns:c15="http://schemas.microsoft.com/office/drawing/2012/chart" uri="{CE6537A1-D6FC-4f65-9D91-7224C49458BB}"/>
              </c:extLst>
            </c:dLbl>
            <c:spPr>
              <a:noFill/>
              <a:ln>
                <a:noFill/>
              </a:ln>
              <a:effectLst/>
            </c:spPr>
            <c:txPr>
              <a:bodyPr/>
              <a:lstStyle/>
              <a:p>
                <a:pPr>
                  <a:defRPr sz="1800" b="1">
                    <a:solidFill>
                      <a:schemeClr val="tx1"/>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pobl.'!$D$5:$D$21</c:f>
              <c:numCache>
                <c:formatCode>0.0%</c:formatCode>
                <c:ptCount val="17"/>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0.72274247819772142</c:v>
                </c:pt>
                <c:pt idx="12">
                  <c:v>0.7833826776579379</c:v>
                </c:pt>
                <c:pt idx="13">
                  <c:v>0.84926879818274759</c:v>
                </c:pt>
                <c:pt idx="14">
                  <c:v>0.92087823673803915</c:v>
                </c:pt>
                <c:pt idx="15">
                  <c:v>0.99880628840262542</c:v>
                </c:pt>
                <c:pt idx="16">
                  <c:v>1.0836129110991011</c:v>
                </c:pt>
              </c:numCache>
            </c:numRef>
          </c:val>
          <c:smooth val="0"/>
        </c:ser>
        <c:dLbls>
          <c:showLegendKey val="0"/>
          <c:showVal val="0"/>
          <c:showCatName val="0"/>
          <c:showSerName val="0"/>
          <c:showPercent val="0"/>
          <c:showBubbleSize val="0"/>
        </c:dLbls>
        <c:marker val="1"/>
        <c:smooth val="0"/>
        <c:axId val="406449784"/>
        <c:axId val="406449392"/>
      </c:lineChart>
      <c:catAx>
        <c:axId val="406448608"/>
        <c:scaling>
          <c:orientation val="minMax"/>
        </c:scaling>
        <c:delete val="0"/>
        <c:axPos val="b"/>
        <c:numFmt formatCode="General" sourceLinked="0"/>
        <c:majorTickMark val="out"/>
        <c:minorTickMark val="none"/>
        <c:tickLblPos val="nextTo"/>
        <c:txPr>
          <a:bodyPr rot="-2700000" vert="horz"/>
          <a:lstStyle/>
          <a:p>
            <a:pPr>
              <a:defRPr sz="1600"/>
            </a:pPr>
            <a:endParaRPr lang="es-ES"/>
          </a:p>
        </c:txPr>
        <c:crossAx val="406449000"/>
        <c:crosses val="autoZero"/>
        <c:auto val="1"/>
        <c:lblAlgn val="ctr"/>
        <c:lblOffset val="100"/>
        <c:noMultiLvlLbl val="0"/>
      </c:catAx>
      <c:valAx>
        <c:axId val="406449000"/>
        <c:scaling>
          <c:orientation val="minMax"/>
        </c:scaling>
        <c:delete val="0"/>
        <c:axPos val="l"/>
        <c:numFmt formatCode="#,##0" sourceLinked="1"/>
        <c:majorTickMark val="out"/>
        <c:minorTickMark val="none"/>
        <c:tickLblPos val="nextTo"/>
        <c:crossAx val="406448608"/>
        <c:crosses val="autoZero"/>
        <c:crossBetween val="between"/>
      </c:valAx>
      <c:valAx>
        <c:axId val="406449392"/>
        <c:scaling>
          <c:orientation val="minMax"/>
          <c:max val="1.1500000000000001"/>
        </c:scaling>
        <c:delete val="0"/>
        <c:axPos val="r"/>
        <c:numFmt formatCode="0.0%" sourceLinked="1"/>
        <c:majorTickMark val="out"/>
        <c:minorTickMark val="none"/>
        <c:tickLblPos val="nextTo"/>
        <c:crossAx val="406449784"/>
        <c:crosses val="max"/>
        <c:crossBetween val="between"/>
        <c:majorUnit val="0.2"/>
      </c:valAx>
      <c:catAx>
        <c:axId val="406449784"/>
        <c:scaling>
          <c:orientation val="minMax"/>
        </c:scaling>
        <c:delete val="1"/>
        <c:axPos val="b"/>
        <c:numFmt formatCode="@" sourceLinked="1"/>
        <c:majorTickMark val="out"/>
        <c:minorTickMark val="none"/>
        <c:tickLblPos val="nextTo"/>
        <c:crossAx val="406449392"/>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n-US" sz="1800"/>
              <a:t>Cantidad de Expedientes Calificados por la ARL  Según Agente Dañino</a:t>
            </a:r>
          </a:p>
        </c:rich>
      </c:tx>
      <c:layout>
        <c:manualLayout>
          <c:xMode val="edge"/>
          <c:yMode val="edge"/>
          <c:x val="0.24433461947697943"/>
          <c:y val="4.42827058527573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178407368889779E-2"/>
          <c:y val="0.16002009454035457"/>
          <c:w val="0.96173186888668416"/>
          <c:h val="0.5999982854487752"/>
        </c:manualLayout>
      </c:layout>
      <c:bar3DChart>
        <c:barDir val="col"/>
        <c:grouping val="clustered"/>
        <c:varyColors val="0"/>
        <c:ser>
          <c:idx val="0"/>
          <c:order val="0"/>
          <c:tx>
            <c:strRef>
              <c:f>'V.4.18. EC. x Agente daño'!$K$3</c:f>
              <c:strCache>
                <c:ptCount val="1"/>
                <c:pt idx="0">
                  <c:v>% por Mecanismo</c:v>
                </c:pt>
              </c:strCache>
            </c:strRef>
          </c:tx>
          <c:spPr>
            <a:solidFill>
              <a:srgbClr val="00B05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7367869960606529E-2"/>
                  <c:y val="-2.81877335926416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35372098829998E-2"/>
                  <c:y val="-2.3003358022618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415720801677906E-2"/>
                  <c:y val="-2.50065860331188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574326270587755E-2"/>
                  <c:y val="-2.7359008041713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69829222322473E-2"/>
                  <c:y val="-2.82206027387809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4294941542498595E-3"/>
                  <c:y val="-2.43887578475672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daño'!$K$4:$K$11</c:f>
              <c:numCache>
                <c:formatCode>0.00%</c:formatCode>
                <c:ptCount val="8"/>
                <c:pt idx="0">
                  <c:v>7.7868473070032617E-4</c:v>
                </c:pt>
                <c:pt idx="1">
                  <c:v>8.0645600431271548E-3</c:v>
                </c:pt>
                <c:pt idx="2">
                  <c:v>3.2666641255043753E-2</c:v>
                </c:pt>
                <c:pt idx="3">
                  <c:v>8.9597752160441732E-2</c:v>
                </c:pt>
                <c:pt idx="4">
                  <c:v>0.13814302750445157</c:v>
                </c:pt>
                <c:pt idx="5">
                  <c:v>0.23687807321814608</c:v>
                </c:pt>
                <c:pt idx="6">
                  <c:v>0.21791192694521436</c:v>
                </c:pt>
                <c:pt idx="7">
                  <c:v>0.27595933414287505</c:v>
                </c:pt>
              </c:numCache>
            </c:numRef>
          </c:val>
        </c:ser>
        <c:dLbls>
          <c:showLegendKey val="0"/>
          <c:showVal val="0"/>
          <c:showCatName val="0"/>
          <c:showSerName val="0"/>
          <c:showPercent val="0"/>
          <c:showBubbleSize val="0"/>
        </c:dLbls>
        <c:gapWidth val="75"/>
        <c:shape val="cylinder"/>
        <c:axId val="468675296"/>
        <c:axId val="468675688"/>
        <c:axId val="0"/>
      </c:bar3DChart>
      <c:catAx>
        <c:axId val="468675296"/>
        <c:scaling>
          <c:orientation val="minMax"/>
        </c:scaling>
        <c:delete val="0"/>
        <c:axPos val="b"/>
        <c:numFmt formatCode="General" sourceLinked="1"/>
        <c:majorTickMark val="none"/>
        <c:minorTickMark val="none"/>
        <c:tickLblPos val="nextTo"/>
        <c:txPr>
          <a:bodyPr/>
          <a:lstStyle/>
          <a:p>
            <a:pPr>
              <a:defRPr sz="1400" b="1"/>
            </a:pPr>
            <a:endParaRPr lang="es-ES"/>
          </a:p>
        </c:txPr>
        <c:crossAx val="468675688"/>
        <c:crosses val="autoZero"/>
        <c:auto val="1"/>
        <c:lblAlgn val="ctr"/>
        <c:lblOffset val="100"/>
        <c:noMultiLvlLbl val="0"/>
      </c:catAx>
      <c:valAx>
        <c:axId val="468675688"/>
        <c:scaling>
          <c:orientation val="minMax"/>
        </c:scaling>
        <c:delete val="1"/>
        <c:axPos val="l"/>
        <c:numFmt formatCode="0.00%" sourceLinked="1"/>
        <c:majorTickMark val="out"/>
        <c:minorTickMark val="none"/>
        <c:tickLblPos val="nextTo"/>
        <c:crossAx val="46867529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accid.'!$K$3</c:f>
              <c:strCache>
                <c:ptCount val="1"/>
                <c:pt idx="0">
                  <c:v>% por Mecanismo</c:v>
                </c:pt>
              </c:strCache>
            </c:strRef>
          </c:tx>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accid.'!$K$4:$K$12</c:f>
              <c:numCache>
                <c:formatCode>0.00%</c:formatCode>
                <c:ptCount val="9"/>
                <c:pt idx="0">
                  <c:v>3.0096437108955962E-2</c:v>
                </c:pt>
                <c:pt idx="1">
                  <c:v>0.4080416895825052</c:v>
                </c:pt>
                <c:pt idx="2">
                  <c:v>3.4577958321308192E-3</c:v>
                </c:pt>
                <c:pt idx="3">
                  <c:v>2.9094493119803097E-2</c:v>
                </c:pt>
                <c:pt idx="4">
                  <c:v>3.2922572600099106E-2</c:v>
                </c:pt>
                <c:pt idx="5">
                  <c:v>1.105405596728435E-2</c:v>
                </c:pt>
                <c:pt idx="6">
                  <c:v>5.6620726082671269E-2</c:v>
                </c:pt>
                <c:pt idx="7">
                  <c:v>0.27844241272468867</c:v>
                </c:pt>
                <c:pt idx="8">
                  <c:v>0.15026981698186154</c:v>
                </c:pt>
              </c:numCache>
            </c:numRef>
          </c:val>
        </c:ser>
        <c:dLbls>
          <c:showLegendKey val="0"/>
          <c:showVal val="0"/>
          <c:showCatName val="0"/>
          <c:showSerName val="0"/>
          <c:showPercent val="0"/>
          <c:showBubbleSize val="0"/>
        </c:dLbls>
        <c:gapWidth val="45"/>
        <c:shape val="cylinder"/>
        <c:axId val="468676472"/>
        <c:axId val="468676864"/>
        <c:axId val="0"/>
      </c:bar3DChart>
      <c:catAx>
        <c:axId val="468676472"/>
        <c:scaling>
          <c:orientation val="minMax"/>
        </c:scaling>
        <c:delete val="0"/>
        <c:axPos val="b"/>
        <c:numFmt formatCode="General" sourceLinked="1"/>
        <c:majorTickMark val="none"/>
        <c:minorTickMark val="none"/>
        <c:tickLblPos val="nextTo"/>
        <c:txPr>
          <a:bodyPr/>
          <a:lstStyle/>
          <a:p>
            <a:pPr>
              <a:defRPr sz="1600" b="1"/>
            </a:pPr>
            <a:endParaRPr lang="es-ES"/>
          </a:p>
        </c:txPr>
        <c:crossAx val="468676864"/>
        <c:crosses val="autoZero"/>
        <c:auto val="1"/>
        <c:lblAlgn val="ctr"/>
        <c:lblOffset val="100"/>
        <c:noMultiLvlLbl val="0"/>
      </c:catAx>
      <c:valAx>
        <c:axId val="468676864"/>
        <c:scaling>
          <c:orientation val="minMax"/>
        </c:scaling>
        <c:delete val="1"/>
        <c:axPos val="l"/>
        <c:numFmt formatCode="0.00%" sourceLinked="1"/>
        <c:majorTickMark val="out"/>
        <c:minorTickMark val="none"/>
        <c:tickLblPos val="nextTo"/>
        <c:crossAx val="4686764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6360248941777587E-3"/>
          <c:y val="0.16860240702819418"/>
          <c:w val="0.9627030208211439"/>
          <c:h val="0.68966035408114645"/>
        </c:manualLayout>
      </c:layout>
      <c:bar3DChart>
        <c:barDir val="col"/>
        <c:grouping val="clustered"/>
        <c:varyColors val="0"/>
        <c:ser>
          <c:idx val="0"/>
          <c:order val="0"/>
          <c:tx>
            <c:strRef>
              <c:f>'V.4.20.EC. Accid incapac.'!$B$3</c:f>
              <c:strCache>
                <c:ptCount val="1"/>
                <c:pt idx="0">
                  <c:v>Lesión Discapacitante</c:v>
                </c:pt>
              </c:strCache>
            </c:strRef>
          </c:tx>
          <c:invertIfNegative val="0"/>
          <c:dPt>
            <c:idx val="0"/>
            <c:invertIfNegative val="0"/>
            <c:bubble3D val="0"/>
          </c:dPt>
          <c:dPt>
            <c:idx val="1"/>
            <c:invertIfNegative val="0"/>
            <c:bubble3D val="0"/>
          </c:dPt>
          <c:dPt>
            <c:idx val="2"/>
            <c:invertIfNegative val="0"/>
            <c:bubble3D val="0"/>
          </c:dPt>
          <c:dLbls>
            <c:dLbl>
              <c:idx val="0"/>
              <c:layout>
                <c:manualLayout>
                  <c:x val="1.8316839791157634E-2"/>
                  <c:y val="-3.00477673673179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5423422716348317E-2"/>
                  <c:y val="-2.73021704564593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13205644392993E-2"/>
                  <c:y val="-3.1338179625851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233413121353736E-2"/>
                  <c:y val="-2.36997903516535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505148978628475E-2"/>
                  <c:y val="-2.11161392647625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416005041223451E-2"/>
                  <c:y val="-2.32277531912388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4080739682137629E-2"/>
                  <c:y val="-2.9562594970667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6801678739069729E-2"/>
                  <c:y val="-2.671437039868962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400" b="1">
                    <a:solidFill>
                      <a:schemeClr val="tx2">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incapac.'!$A$4:$A$11</c:f>
              <c:strCache>
                <c:ptCount val="8"/>
                <c:pt idx="0">
                  <c:v>2009</c:v>
                </c:pt>
                <c:pt idx="1">
                  <c:v>2010</c:v>
                </c:pt>
                <c:pt idx="2">
                  <c:v>2011</c:v>
                </c:pt>
                <c:pt idx="3">
                  <c:v>2012</c:v>
                </c:pt>
                <c:pt idx="4">
                  <c:v>2013</c:v>
                </c:pt>
                <c:pt idx="5">
                  <c:v>2014</c:v>
                </c:pt>
                <c:pt idx="6">
                  <c:v>2015</c:v>
                </c:pt>
                <c:pt idx="7">
                  <c:v>Ene-Abr. 2016</c:v>
                </c:pt>
              </c:strCache>
            </c:strRef>
          </c:cat>
          <c:val>
            <c:numRef>
              <c:f>'V.4.20.EC. Accid incapac.'!$B$4:$B$11</c:f>
              <c:numCache>
                <c:formatCode>_(* #,##0_);_(* \(#,##0\);_(* "-"??_);_(@_)</c:formatCode>
                <c:ptCount val="8"/>
                <c:pt idx="0">
                  <c:v>10456</c:v>
                </c:pt>
                <c:pt idx="1">
                  <c:v>13140</c:v>
                </c:pt>
                <c:pt idx="2">
                  <c:v>17313</c:v>
                </c:pt>
                <c:pt idx="3">
                  <c:v>20883</c:v>
                </c:pt>
                <c:pt idx="4">
                  <c:v>22389</c:v>
                </c:pt>
                <c:pt idx="5">
                  <c:v>25583</c:v>
                </c:pt>
                <c:pt idx="6">
                  <c:v>29539</c:v>
                </c:pt>
                <c:pt idx="7">
                  <c:v>10732</c:v>
                </c:pt>
              </c:numCache>
            </c:numRef>
          </c:val>
        </c:ser>
        <c:dLbls>
          <c:showLegendKey val="0"/>
          <c:showVal val="0"/>
          <c:showCatName val="0"/>
          <c:showSerName val="0"/>
          <c:showPercent val="0"/>
          <c:showBubbleSize val="0"/>
        </c:dLbls>
        <c:gapWidth val="65"/>
        <c:shape val="cylinder"/>
        <c:axId val="468677648"/>
        <c:axId val="468678040"/>
        <c:axId val="0"/>
      </c:bar3DChart>
      <c:catAx>
        <c:axId val="468677648"/>
        <c:scaling>
          <c:orientation val="minMax"/>
        </c:scaling>
        <c:delete val="0"/>
        <c:axPos val="b"/>
        <c:numFmt formatCode="General" sourceLinked="1"/>
        <c:majorTickMark val="out"/>
        <c:minorTickMark val="none"/>
        <c:tickLblPos val="nextTo"/>
        <c:txPr>
          <a:bodyPr/>
          <a:lstStyle/>
          <a:p>
            <a:pPr>
              <a:defRPr sz="1600"/>
            </a:pPr>
            <a:endParaRPr lang="es-ES"/>
          </a:p>
        </c:txPr>
        <c:crossAx val="468678040"/>
        <c:crosses val="autoZero"/>
        <c:auto val="1"/>
        <c:lblAlgn val="ctr"/>
        <c:lblOffset val="100"/>
        <c:noMultiLvlLbl val="0"/>
      </c:catAx>
      <c:valAx>
        <c:axId val="468678040"/>
        <c:scaling>
          <c:orientation val="minMax"/>
        </c:scaling>
        <c:delete val="1"/>
        <c:axPos val="l"/>
        <c:numFmt formatCode="_(* #,##0_);_(* \(#,##0\);_(* &quot;-&quot;??_);_(@_)" sourceLinked="1"/>
        <c:majorTickMark val="out"/>
        <c:minorTickMark val="none"/>
        <c:tickLblPos val="nextTo"/>
        <c:crossAx val="4686776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136132732477526"/>
          <c:y val="4.609974539542906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334495416290696E-3"/>
          <c:y val="0.31507875661028012"/>
          <c:w val="0.98603115340121283"/>
          <c:h val="0.58299744372456908"/>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4307397184570842E-3"/>
                  <c:y val="-1.8053888832174795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(R)'!$A$4:$A$11</c:f>
              <c:strCache>
                <c:ptCount val="8"/>
                <c:pt idx="0">
                  <c:v>2009</c:v>
                </c:pt>
                <c:pt idx="1">
                  <c:v>2010</c:v>
                </c:pt>
                <c:pt idx="2">
                  <c:v>2011</c:v>
                </c:pt>
                <c:pt idx="3">
                  <c:v>2012</c:v>
                </c:pt>
                <c:pt idx="4">
                  <c:v>2013</c:v>
                </c:pt>
                <c:pt idx="5">
                  <c:v>2014</c:v>
                </c:pt>
                <c:pt idx="6">
                  <c:v>2015</c:v>
                </c:pt>
                <c:pt idx="7">
                  <c:v>Ene-Abr. 2016</c:v>
                </c:pt>
              </c:strCache>
            </c:strRef>
          </c:cat>
          <c:val>
            <c:numRef>
              <c:f>'V.4.21. EC. Enferm. Prof (R)'!$E$4:$E$11</c:f>
              <c:numCache>
                <c:formatCode>0.0%</c:formatCode>
                <c:ptCount val="8"/>
                <c:pt idx="0">
                  <c:v>0.54081632653061229</c:v>
                </c:pt>
                <c:pt idx="1">
                  <c:v>0.38306451612903225</c:v>
                </c:pt>
                <c:pt idx="2">
                  <c:v>0.57215189873417727</c:v>
                </c:pt>
                <c:pt idx="3">
                  <c:v>0.4321266968325792</c:v>
                </c:pt>
                <c:pt idx="4">
                  <c:v>0.23505976095617531</c:v>
                </c:pt>
                <c:pt idx="5">
                  <c:v>0.2890995260663507</c:v>
                </c:pt>
                <c:pt idx="6">
                  <c:v>0.29565217391304349</c:v>
                </c:pt>
                <c:pt idx="7">
                  <c:v>0.23015873015873015</c:v>
                </c:pt>
              </c:numCache>
            </c:numRef>
          </c:val>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890428944791314E-2"/>
                  <c:y val="-2.2256430840635801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0248199159542385E-3"/>
                  <c:y val="-3.15190650634575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9801731362145423E-3"/>
                  <c:y val="-3.151906506345755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(R)'!$A$4:$A$11</c:f>
              <c:strCache>
                <c:ptCount val="8"/>
                <c:pt idx="0">
                  <c:v>2009</c:v>
                </c:pt>
                <c:pt idx="1">
                  <c:v>2010</c:v>
                </c:pt>
                <c:pt idx="2">
                  <c:v>2011</c:v>
                </c:pt>
                <c:pt idx="3">
                  <c:v>2012</c:v>
                </c:pt>
                <c:pt idx="4">
                  <c:v>2013</c:v>
                </c:pt>
                <c:pt idx="5">
                  <c:v>2014</c:v>
                </c:pt>
                <c:pt idx="6">
                  <c:v>2015</c:v>
                </c:pt>
                <c:pt idx="7">
                  <c:v>Ene-Abr. 2016</c:v>
                </c:pt>
              </c:strCache>
            </c:strRef>
          </c:cat>
          <c:val>
            <c:numRef>
              <c:f>'V.4.21. EC. Enferm. Prof (R)'!$F$4:$F$11</c:f>
              <c:numCache>
                <c:formatCode>0.0%</c:formatCode>
                <c:ptCount val="8"/>
                <c:pt idx="0">
                  <c:v>0.45918367346938777</c:v>
                </c:pt>
                <c:pt idx="1">
                  <c:v>0.61693548387096775</c:v>
                </c:pt>
                <c:pt idx="2">
                  <c:v>0.42784810126582279</c:v>
                </c:pt>
                <c:pt idx="3">
                  <c:v>0.5678733031674208</c:v>
                </c:pt>
                <c:pt idx="4">
                  <c:v>0.76494023904382469</c:v>
                </c:pt>
                <c:pt idx="5">
                  <c:v>0.7109004739336493</c:v>
                </c:pt>
                <c:pt idx="6">
                  <c:v>0.70434782608695656</c:v>
                </c:pt>
                <c:pt idx="7">
                  <c:v>0.76984126984126988</c:v>
                </c:pt>
              </c:numCache>
            </c:numRef>
          </c:val>
        </c:ser>
        <c:dLbls>
          <c:showLegendKey val="0"/>
          <c:showVal val="0"/>
          <c:showCatName val="0"/>
          <c:showSerName val="0"/>
          <c:showPercent val="0"/>
          <c:showBubbleSize val="0"/>
        </c:dLbls>
        <c:gapWidth val="75"/>
        <c:shape val="cylinder"/>
        <c:axId val="468678824"/>
        <c:axId val="468679216"/>
        <c:axId val="0"/>
      </c:bar3DChart>
      <c:catAx>
        <c:axId val="468678824"/>
        <c:scaling>
          <c:orientation val="minMax"/>
        </c:scaling>
        <c:delete val="0"/>
        <c:axPos val="b"/>
        <c:numFmt formatCode="General" sourceLinked="1"/>
        <c:majorTickMark val="none"/>
        <c:minorTickMark val="none"/>
        <c:tickLblPos val="nextTo"/>
        <c:txPr>
          <a:bodyPr/>
          <a:lstStyle/>
          <a:p>
            <a:pPr>
              <a:defRPr sz="1600"/>
            </a:pPr>
            <a:endParaRPr lang="es-ES"/>
          </a:p>
        </c:txPr>
        <c:crossAx val="468679216"/>
        <c:crosses val="autoZero"/>
        <c:auto val="1"/>
        <c:lblAlgn val="ctr"/>
        <c:lblOffset val="100"/>
        <c:noMultiLvlLbl val="0"/>
      </c:catAx>
      <c:valAx>
        <c:axId val="468679216"/>
        <c:scaling>
          <c:orientation val="minMax"/>
        </c:scaling>
        <c:delete val="1"/>
        <c:axPos val="l"/>
        <c:numFmt formatCode="0.0%" sourceLinked="1"/>
        <c:majorTickMark val="out"/>
        <c:minorTickMark val="none"/>
        <c:tickLblPos val="nextTo"/>
        <c:crossAx val="468678824"/>
        <c:crosses val="autoZero"/>
        <c:crossBetween val="between"/>
      </c:valAx>
      <c:spPr>
        <a:noFill/>
        <a:ln w="25400">
          <a:noFill/>
        </a:ln>
      </c:spPr>
    </c:plotArea>
    <c:legend>
      <c:legendPos val="t"/>
      <c:layout>
        <c:manualLayout>
          <c:xMode val="edge"/>
          <c:yMode val="edge"/>
          <c:x val="0.17403302281752545"/>
          <c:y val="0.11730521388929596"/>
          <c:w val="0.62983333619795689"/>
          <c:h val="4.132523233193368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214141349168E-3"/>
          <c:y val="0.21522816534349423"/>
          <c:w val="0.98642299307152148"/>
          <c:h val="0.5805098383865017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850739419888046E-3"/>
                  <c:y val="-1.409262149988012E-2"/>
                </c:manualLayout>
              </c:layout>
              <c:spPr/>
              <c:txPr>
                <a:bodyPr/>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Lab.(R)'!$A$4:$A$11</c:f>
              <c:strCache>
                <c:ptCount val="8"/>
                <c:pt idx="0">
                  <c:v>2009</c:v>
                </c:pt>
                <c:pt idx="1">
                  <c:v>2010</c:v>
                </c:pt>
                <c:pt idx="2">
                  <c:v>2011</c:v>
                </c:pt>
                <c:pt idx="3">
                  <c:v>2012</c:v>
                </c:pt>
                <c:pt idx="4">
                  <c:v>2013</c:v>
                </c:pt>
                <c:pt idx="5">
                  <c:v>2014</c:v>
                </c:pt>
                <c:pt idx="6">
                  <c:v>2015</c:v>
                </c:pt>
                <c:pt idx="7">
                  <c:v>Ene-Abr.2016</c:v>
                </c:pt>
              </c:strCache>
            </c:strRef>
          </c:cat>
          <c:val>
            <c:numRef>
              <c:f>'V.4.22.EC. Accid Lab.(R)'!$E$4:$E$11</c:f>
              <c:numCache>
                <c:formatCode>0.0%</c:formatCode>
                <c:ptCount val="8"/>
                <c:pt idx="0">
                  <c:v>0.58940397350993379</c:v>
                </c:pt>
                <c:pt idx="1">
                  <c:v>0.6095890410958904</c:v>
                </c:pt>
                <c:pt idx="2">
                  <c:v>0.5</c:v>
                </c:pt>
                <c:pt idx="3">
                  <c:v>0.36885245901639346</c:v>
                </c:pt>
                <c:pt idx="4">
                  <c:v>0.37264150943396224</c:v>
                </c:pt>
                <c:pt idx="5">
                  <c:v>0.36464088397790057</c:v>
                </c:pt>
                <c:pt idx="6">
                  <c:v>0.36</c:v>
                </c:pt>
                <c:pt idx="7">
                  <c:v>0.44642857142857145</c:v>
                </c:pt>
              </c:numCache>
            </c:numRef>
          </c:val>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534396665235351E-2"/>
                  <c:y val="-1.001653454335838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Lab.(R)'!$A$4:$A$11</c:f>
              <c:strCache>
                <c:ptCount val="8"/>
                <c:pt idx="0">
                  <c:v>2009</c:v>
                </c:pt>
                <c:pt idx="1">
                  <c:v>2010</c:v>
                </c:pt>
                <c:pt idx="2">
                  <c:v>2011</c:v>
                </c:pt>
                <c:pt idx="3">
                  <c:v>2012</c:v>
                </c:pt>
                <c:pt idx="4">
                  <c:v>2013</c:v>
                </c:pt>
                <c:pt idx="5">
                  <c:v>2014</c:v>
                </c:pt>
                <c:pt idx="6">
                  <c:v>2015</c:v>
                </c:pt>
                <c:pt idx="7">
                  <c:v>Ene-Abr.2016</c:v>
                </c:pt>
              </c:strCache>
            </c:strRef>
          </c:cat>
          <c:val>
            <c:numRef>
              <c:f>'V.4.22.EC. Accid Lab.(R)'!$F$4:$F$11</c:f>
              <c:numCache>
                <c:formatCode>0.0%</c:formatCode>
                <c:ptCount val="8"/>
                <c:pt idx="0">
                  <c:v>0.37748344370860926</c:v>
                </c:pt>
                <c:pt idx="1">
                  <c:v>0.3904109589041096</c:v>
                </c:pt>
                <c:pt idx="2">
                  <c:v>0.5</c:v>
                </c:pt>
                <c:pt idx="3">
                  <c:v>0.63114754098360659</c:v>
                </c:pt>
                <c:pt idx="4">
                  <c:v>0.62735849056603776</c:v>
                </c:pt>
                <c:pt idx="5">
                  <c:v>0.63535911602209949</c:v>
                </c:pt>
                <c:pt idx="6">
                  <c:v>0.64</c:v>
                </c:pt>
                <c:pt idx="7">
                  <c:v>0.5535714285714286</c:v>
                </c:pt>
              </c:numCache>
            </c:numRef>
          </c:val>
        </c:ser>
        <c:dLbls>
          <c:showLegendKey val="0"/>
          <c:showVal val="0"/>
          <c:showCatName val="0"/>
          <c:showSerName val="0"/>
          <c:showPercent val="0"/>
          <c:showBubbleSize val="0"/>
        </c:dLbls>
        <c:gapWidth val="75"/>
        <c:shape val="cylinder"/>
        <c:axId val="468680000"/>
        <c:axId val="468680392"/>
        <c:axId val="0"/>
      </c:bar3DChart>
      <c:catAx>
        <c:axId val="468680000"/>
        <c:scaling>
          <c:orientation val="minMax"/>
        </c:scaling>
        <c:delete val="0"/>
        <c:axPos val="b"/>
        <c:numFmt formatCode="General" sourceLinked="1"/>
        <c:majorTickMark val="none"/>
        <c:minorTickMark val="none"/>
        <c:tickLblPos val="nextTo"/>
        <c:txPr>
          <a:bodyPr/>
          <a:lstStyle/>
          <a:p>
            <a:pPr>
              <a:defRPr sz="1400"/>
            </a:pPr>
            <a:endParaRPr lang="es-ES"/>
          </a:p>
        </c:txPr>
        <c:crossAx val="468680392"/>
        <c:crosses val="autoZero"/>
        <c:auto val="1"/>
        <c:lblAlgn val="ctr"/>
        <c:lblOffset val="100"/>
        <c:noMultiLvlLbl val="0"/>
      </c:catAx>
      <c:valAx>
        <c:axId val="468680392"/>
        <c:scaling>
          <c:orientation val="minMax"/>
        </c:scaling>
        <c:delete val="1"/>
        <c:axPos val="l"/>
        <c:numFmt formatCode="0.0%" sourceLinked="1"/>
        <c:majorTickMark val="out"/>
        <c:minorTickMark val="none"/>
        <c:tickLblPos val="nextTo"/>
        <c:crossAx val="468680000"/>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Ene-Abr.2016</c:v>
                </c:pt>
              </c:strCache>
            </c:strRef>
          </c:cat>
          <c:val>
            <c:numRef>
              <c:f>'V.4.23. Accid. Aprobxtipo'!$G$4:$G$11</c:f>
              <c:numCache>
                <c:formatCode>0.00%</c:formatCode>
                <c:ptCount val="8"/>
                <c:pt idx="0">
                  <c:v>0.52307692307692311</c:v>
                </c:pt>
                <c:pt idx="1">
                  <c:v>0.2247191011235955</c:v>
                </c:pt>
                <c:pt idx="2">
                  <c:v>0.33720930232558138</c:v>
                </c:pt>
                <c:pt idx="3">
                  <c:v>0.33333333333333331</c:v>
                </c:pt>
                <c:pt idx="4">
                  <c:v>0.50632911392405067</c:v>
                </c:pt>
                <c:pt idx="5">
                  <c:v>0.46969696969696972</c:v>
                </c:pt>
                <c:pt idx="6">
                  <c:v>0.51515151515151514</c:v>
                </c:pt>
                <c:pt idx="7">
                  <c:v>0.64</c:v>
                </c:pt>
              </c:numCache>
            </c:numRef>
          </c:val>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Ene-Abr.2016</c:v>
                </c:pt>
              </c:strCache>
            </c:strRef>
          </c:cat>
          <c:val>
            <c:numRef>
              <c:f>'V.4.23. Accid. Aprobxtipo'!$H$4:$H$11</c:f>
              <c:numCache>
                <c:formatCode>0.00%</c:formatCode>
                <c:ptCount val="8"/>
                <c:pt idx="0">
                  <c:v>0.43076923076923079</c:v>
                </c:pt>
                <c:pt idx="1">
                  <c:v>0.7191011235955056</c:v>
                </c:pt>
                <c:pt idx="2">
                  <c:v>0.62790697674418605</c:v>
                </c:pt>
                <c:pt idx="3">
                  <c:v>0.57777777777777772</c:v>
                </c:pt>
                <c:pt idx="4">
                  <c:v>0.48101265822784811</c:v>
                </c:pt>
                <c:pt idx="5">
                  <c:v>0.48484848484848486</c:v>
                </c:pt>
                <c:pt idx="6">
                  <c:v>0.48484848484848486</c:v>
                </c:pt>
                <c:pt idx="7">
                  <c:v>0.34</c:v>
                </c:pt>
              </c:numCache>
            </c:numRef>
          </c:val>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22363947136546E-2"/>
                  <c:y val="-1.6486695026162082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Ene-Abr.2016</c:v>
                </c:pt>
              </c:strCache>
            </c:strRef>
          </c:cat>
          <c:val>
            <c:numRef>
              <c:f>'V.4.23. Accid. Aprobxtipo'!$I$4:$I$11</c:f>
              <c:numCache>
                <c:formatCode>0.00%</c:formatCode>
                <c:ptCount val="8"/>
                <c:pt idx="0">
                  <c:v>3.0769230769230771E-2</c:v>
                </c:pt>
                <c:pt idx="1">
                  <c:v>5.6179775280898875E-2</c:v>
                </c:pt>
                <c:pt idx="2">
                  <c:v>3.4883720930232558E-2</c:v>
                </c:pt>
                <c:pt idx="3">
                  <c:v>8.8888888888888892E-2</c:v>
                </c:pt>
                <c:pt idx="4">
                  <c:v>1.2658227848101266E-2</c:v>
                </c:pt>
                <c:pt idx="5">
                  <c:v>4.5454545454545456E-2</c:v>
                </c:pt>
                <c:pt idx="6">
                  <c:v>0</c:v>
                </c:pt>
                <c:pt idx="7">
                  <c:v>0.02</c:v>
                </c:pt>
              </c:numCache>
            </c:numRef>
          </c:val>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Ene-Abr.2016</c:v>
                </c:pt>
              </c:strCache>
            </c:strRef>
          </c:cat>
          <c:val>
            <c:numRef>
              <c:f>'V.4.23. Accid. Aprobxtipo'!$J$4:$J$11</c:f>
              <c:numCache>
                <c:formatCode>0.00%</c:formatCode>
                <c:ptCount val="8"/>
                <c:pt idx="0">
                  <c:v>1.5384615384615385E-2</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75"/>
        <c:shape val="cylinder"/>
        <c:axId val="468681176"/>
        <c:axId val="468681568"/>
        <c:axId val="0"/>
      </c:bar3DChart>
      <c:catAx>
        <c:axId val="468681176"/>
        <c:scaling>
          <c:orientation val="minMax"/>
        </c:scaling>
        <c:delete val="0"/>
        <c:axPos val="b"/>
        <c:numFmt formatCode="General" sourceLinked="1"/>
        <c:majorTickMark val="none"/>
        <c:minorTickMark val="none"/>
        <c:tickLblPos val="nextTo"/>
        <c:txPr>
          <a:bodyPr/>
          <a:lstStyle/>
          <a:p>
            <a:pPr>
              <a:defRPr sz="1400"/>
            </a:pPr>
            <a:endParaRPr lang="es-ES"/>
          </a:p>
        </c:txPr>
        <c:crossAx val="468681568"/>
        <c:crosses val="autoZero"/>
        <c:auto val="1"/>
        <c:lblAlgn val="ctr"/>
        <c:lblOffset val="100"/>
        <c:noMultiLvlLbl val="0"/>
      </c:catAx>
      <c:valAx>
        <c:axId val="468681568"/>
        <c:scaling>
          <c:orientation val="minMax"/>
        </c:scaling>
        <c:delete val="0"/>
        <c:axPos val="l"/>
        <c:numFmt formatCode="0.00%" sourceLinked="1"/>
        <c:majorTickMark val="none"/>
        <c:minorTickMark val="none"/>
        <c:tickLblPos val="nextTo"/>
        <c:spPr>
          <a:ln w="9525">
            <a:noFill/>
          </a:ln>
        </c:spPr>
        <c:crossAx val="468681176"/>
        <c:crosses val="autoZero"/>
        <c:crossBetween val="between"/>
      </c:valAx>
      <c:spPr>
        <a:noFill/>
        <a:ln w="25400">
          <a:noFill/>
        </a:ln>
      </c:spPr>
    </c:plotArea>
    <c:legend>
      <c:legendPos val="t"/>
      <c:layout>
        <c:manualLayout>
          <c:xMode val="edge"/>
          <c:yMode val="edge"/>
          <c:x val="0.25598361107165224"/>
          <c:y val="8.8655072403680396E-2"/>
          <c:w val="0.46753230415059238"/>
          <c:h val="4.225445818245546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'!$G$3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857873991046946E-3"/>
                  <c:y val="-2.2756355945551874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Ene-Abr.2016</c:v>
                </c:pt>
              </c:strCache>
            </c:strRef>
          </c:cat>
          <c:val>
            <c:numRef>
              <c:f>'V.4.24. Accid. Aprob xLesión '!$G$4:$G$11</c:f>
              <c:numCache>
                <c:formatCode>0.00%</c:formatCode>
                <c:ptCount val="8"/>
                <c:pt idx="0">
                  <c:v>0.16923076923076924</c:v>
                </c:pt>
                <c:pt idx="1">
                  <c:v>7.8651685393258425E-2</c:v>
                </c:pt>
                <c:pt idx="2">
                  <c:v>6.9767441860465115E-2</c:v>
                </c:pt>
                <c:pt idx="3">
                  <c:v>0.13333333333333333</c:v>
                </c:pt>
                <c:pt idx="4">
                  <c:v>0.10126582278481013</c:v>
                </c:pt>
                <c:pt idx="5">
                  <c:v>0.10606060606060606</c:v>
                </c:pt>
                <c:pt idx="6">
                  <c:v>0.22222222222222221</c:v>
                </c:pt>
                <c:pt idx="7">
                  <c:v>0.28000000000000003</c:v>
                </c:pt>
              </c:numCache>
            </c:numRef>
          </c:val>
        </c:ser>
        <c:ser>
          <c:idx val="1"/>
          <c:order val="1"/>
          <c:tx>
            <c:strRef>
              <c:f>'V.4.24.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817085544029667E-2"/>
                  <c:y val="-1.9169747019716455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Ene-Abr.2016</c:v>
                </c:pt>
              </c:strCache>
            </c:strRef>
          </c:cat>
          <c:val>
            <c:numRef>
              <c:f>'V.4.24. Accid. Aprob xLesión '!$H$4:$H$11</c:f>
              <c:numCache>
                <c:formatCode>0.00%</c:formatCode>
                <c:ptCount val="8"/>
                <c:pt idx="0">
                  <c:v>0.76923076923076927</c:v>
                </c:pt>
                <c:pt idx="1">
                  <c:v>0.6741573033707865</c:v>
                </c:pt>
                <c:pt idx="2">
                  <c:v>0.7441860465116279</c:v>
                </c:pt>
                <c:pt idx="3">
                  <c:v>0.57777777777777772</c:v>
                </c:pt>
                <c:pt idx="4">
                  <c:v>0.73417721518987344</c:v>
                </c:pt>
                <c:pt idx="5">
                  <c:v>0.74242424242424243</c:v>
                </c:pt>
                <c:pt idx="6">
                  <c:v>0.66666666666666663</c:v>
                </c:pt>
                <c:pt idx="7">
                  <c:v>0.56000000000000005</c:v>
                </c:pt>
              </c:numCache>
            </c:numRef>
          </c:val>
        </c:ser>
        <c:ser>
          <c:idx val="2"/>
          <c:order val="2"/>
          <c:tx>
            <c:strRef>
              <c:f>'V.4.24. Accid. Aprob xLesión '!$I$3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511779290024419E-3"/>
                  <c:y val="-8.5927005237029213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Ene-Abr.2016</c:v>
                </c:pt>
              </c:strCache>
            </c:strRef>
          </c:cat>
          <c:val>
            <c:numRef>
              <c:f>'V.4.24. Accid. Aprob xLesión '!$I$4:$I$11</c:f>
              <c:numCache>
                <c:formatCode>0.00%</c:formatCode>
                <c:ptCount val="8"/>
                <c:pt idx="0">
                  <c:v>3.0769230769230771E-2</c:v>
                </c:pt>
                <c:pt idx="1">
                  <c:v>0.15730337078651685</c:v>
                </c:pt>
                <c:pt idx="2">
                  <c:v>0.11627906976744186</c:v>
                </c:pt>
                <c:pt idx="3">
                  <c:v>0.22222222222222221</c:v>
                </c:pt>
                <c:pt idx="4">
                  <c:v>0.10126582278481013</c:v>
                </c:pt>
                <c:pt idx="5">
                  <c:v>0.12121212121212122</c:v>
                </c:pt>
                <c:pt idx="6">
                  <c:v>5.0505050505050504E-2</c:v>
                </c:pt>
                <c:pt idx="7">
                  <c:v>0.1</c:v>
                </c:pt>
              </c:numCache>
            </c:numRef>
          </c:val>
        </c:ser>
        <c:ser>
          <c:idx val="3"/>
          <c:order val="3"/>
          <c:tx>
            <c:strRef>
              <c:f>'V.4.24. Accid. Aprob xLesión '!$J$3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161866559905684E-3"/>
                  <c:y val="-8.6170734513824638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Ene-Abr.2016</c:v>
                </c:pt>
              </c:strCache>
            </c:strRef>
          </c:cat>
          <c:val>
            <c:numRef>
              <c:f>'V.4.24. Accid. Aprob xLesión '!$J$4:$J$11</c:f>
              <c:numCache>
                <c:formatCode>0.00%</c:formatCode>
                <c:ptCount val="8"/>
                <c:pt idx="0">
                  <c:v>3.0769230769230771E-2</c:v>
                </c:pt>
                <c:pt idx="1">
                  <c:v>8.98876404494382E-2</c:v>
                </c:pt>
                <c:pt idx="2">
                  <c:v>6.9767441860465115E-2</c:v>
                </c:pt>
                <c:pt idx="3">
                  <c:v>6.6666666666666666E-2</c:v>
                </c:pt>
                <c:pt idx="4">
                  <c:v>6.3291139240506333E-2</c:v>
                </c:pt>
                <c:pt idx="5">
                  <c:v>3.0303030303030304E-2</c:v>
                </c:pt>
                <c:pt idx="6">
                  <c:v>6.0606060606060608E-2</c:v>
                </c:pt>
                <c:pt idx="7">
                  <c:v>0.06</c:v>
                </c:pt>
              </c:numCache>
            </c:numRef>
          </c:val>
        </c:ser>
        <c:dLbls>
          <c:showLegendKey val="0"/>
          <c:showVal val="0"/>
          <c:showCatName val="0"/>
          <c:showSerName val="0"/>
          <c:showPercent val="0"/>
          <c:showBubbleSize val="0"/>
        </c:dLbls>
        <c:gapWidth val="75"/>
        <c:shape val="cylinder"/>
        <c:axId val="468682352"/>
        <c:axId val="468682744"/>
        <c:axId val="0"/>
      </c:bar3DChart>
      <c:catAx>
        <c:axId val="468682352"/>
        <c:scaling>
          <c:orientation val="minMax"/>
        </c:scaling>
        <c:delete val="0"/>
        <c:axPos val="b"/>
        <c:numFmt formatCode="General" sourceLinked="1"/>
        <c:majorTickMark val="none"/>
        <c:minorTickMark val="none"/>
        <c:tickLblPos val="nextTo"/>
        <c:txPr>
          <a:bodyPr/>
          <a:lstStyle/>
          <a:p>
            <a:pPr>
              <a:defRPr sz="1400"/>
            </a:pPr>
            <a:endParaRPr lang="es-ES"/>
          </a:p>
        </c:txPr>
        <c:crossAx val="468682744"/>
        <c:crosses val="autoZero"/>
        <c:auto val="1"/>
        <c:lblAlgn val="ctr"/>
        <c:lblOffset val="100"/>
        <c:noMultiLvlLbl val="0"/>
      </c:catAx>
      <c:valAx>
        <c:axId val="468682744"/>
        <c:scaling>
          <c:orientation val="minMax"/>
        </c:scaling>
        <c:delete val="0"/>
        <c:axPos val="l"/>
        <c:numFmt formatCode="0.00%" sourceLinked="1"/>
        <c:majorTickMark val="none"/>
        <c:minorTickMark val="none"/>
        <c:tickLblPos val="nextTo"/>
        <c:spPr>
          <a:ln w="9525">
            <a:noFill/>
          </a:ln>
        </c:spPr>
        <c:crossAx val="468682352"/>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1228930564155575E-2"/>
          <c:y val="0.22937707509706037"/>
          <c:w val="0.93989329813786604"/>
          <c:h val="0.66363319408348276"/>
        </c:manualLayout>
      </c:layout>
      <c:bar3DChart>
        <c:barDir val="col"/>
        <c:grouping val="clustered"/>
        <c:varyColors val="0"/>
        <c:ser>
          <c:idx val="0"/>
          <c:order val="0"/>
          <c:tx>
            <c:strRef>
              <c:f>'V.4.25.Accid.Aprob Según suc.'!$I$3</c:f>
              <c:strCache>
                <c:ptCount val="1"/>
                <c:pt idx="0">
                  <c:v>% Acto Fuera de Norma</c:v>
                </c:pt>
              </c:strCache>
            </c:strRef>
          </c:tx>
          <c:invertIfNegative val="0"/>
          <c:dLbls>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Ene-Abr. 2016</c:v>
                </c:pt>
              </c:strCache>
            </c:strRef>
          </c:cat>
          <c:val>
            <c:numRef>
              <c:f>'V.4.25.Accid.Aprob Según suc.'!$I$4:$I$11</c:f>
              <c:numCache>
                <c:formatCode>0.00%</c:formatCode>
                <c:ptCount val="8"/>
                <c:pt idx="0">
                  <c:v>0.2</c:v>
                </c:pt>
                <c:pt idx="1">
                  <c:v>7.8651685393258425E-2</c:v>
                </c:pt>
                <c:pt idx="2">
                  <c:v>0.16279069767441862</c:v>
                </c:pt>
                <c:pt idx="3">
                  <c:v>2.2222222222222223E-2</c:v>
                </c:pt>
                <c:pt idx="4">
                  <c:v>2.5316455696202531E-2</c:v>
                </c:pt>
                <c:pt idx="5">
                  <c:v>3.0303030303030304E-2</c:v>
                </c:pt>
                <c:pt idx="6">
                  <c:v>3.0303030303030304E-2</c:v>
                </c:pt>
                <c:pt idx="7">
                  <c:v>0</c:v>
                </c:pt>
              </c:numCache>
            </c:numRef>
          </c:val>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Ene-Abr. 2016</c:v>
                </c:pt>
              </c:strCache>
            </c:strRef>
          </c:cat>
          <c:val>
            <c:numRef>
              <c:f>'V.4.25.Accid.Aprob Según suc.'!$J$4:$J$11</c:f>
              <c:numCache>
                <c:formatCode>0.00%</c:formatCode>
                <c:ptCount val="8"/>
                <c:pt idx="0">
                  <c:v>6.1538461538461542E-2</c:v>
                </c:pt>
                <c:pt idx="1">
                  <c:v>8.98876404494382E-2</c:v>
                </c:pt>
                <c:pt idx="2">
                  <c:v>6.9767441860465115E-2</c:v>
                </c:pt>
                <c:pt idx="3">
                  <c:v>0</c:v>
                </c:pt>
                <c:pt idx="4">
                  <c:v>2.5316455696202531E-2</c:v>
                </c:pt>
                <c:pt idx="5">
                  <c:v>0.18181818181818182</c:v>
                </c:pt>
                <c:pt idx="6">
                  <c:v>4.0404040404040407E-2</c:v>
                </c:pt>
                <c:pt idx="7">
                  <c:v>0.18</c:v>
                </c:pt>
              </c:numCache>
            </c:numRef>
          </c:val>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Ene-Abr. 2016</c:v>
                </c:pt>
              </c:strCache>
            </c:strRef>
          </c:cat>
          <c:val>
            <c:numRef>
              <c:f>'V.4.25.Accid.Aprob Según suc.'!$K$4:$K$11</c:f>
              <c:numCache>
                <c:formatCode>0.00%</c:formatCode>
                <c:ptCount val="8"/>
                <c:pt idx="0">
                  <c:v>9.2307692307692313E-2</c:v>
                </c:pt>
                <c:pt idx="1">
                  <c:v>0</c:v>
                </c:pt>
                <c:pt idx="2">
                  <c:v>1.1627906976744186E-2</c:v>
                </c:pt>
                <c:pt idx="3">
                  <c:v>0</c:v>
                </c:pt>
                <c:pt idx="4">
                  <c:v>1.2658227848101266E-2</c:v>
                </c:pt>
                <c:pt idx="5">
                  <c:v>1.5151515151515152E-2</c:v>
                </c:pt>
                <c:pt idx="6">
                  <c:v>1.0101010101010102E-2</c:v>
                </c:pt>
                <c:pt idx="7">
                  <c:v>0.02</c:v>
                </c:pt>
              </c:numCache>
            </c:numRef>
          </c:val>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Ene-Abr. 2016</c:v>
                </c:pt>
              </c:strCache>
            </c:strRef>
          </c:cat>
          <c:val>
            <c:numRef>
              <c:f>'V.4.25.Accid.Aprob Según suc.'!$L$4:$L$11</c:f>
              <c:numCache>
                <c:formatCode>0.00%</c:formatCode>
                <c:ptCount val="8"/>
                <c:pt idx="0">
                  <c:v>0.43076923076923079</c:v>
                </c:pt>
                <c:pt idx="1">
                  <c:v>0.6179775280898876</c:v>
                </c:pt>
                <c:pt idx="2">
                  <c:v>0.63953488372093026</c:v>
                </c:pt>
                <c:pt idx="3">
                  <c:v>0.8</c:v>
                </c:pt>
                <c:pt idx="4">
                  <c:v>0.810126582278481</c:v>
                </c:pt>
                <c:pt idx="5">
                  <c:v>0.69696969696969702</c:v>
                </c:pt>
                <c:pt idx="6">
                  <c:v>0.83838383838383834</c:v>
                </c:pt>
                <c:pt idx="7">
                  <c:v>0.72</c:v>
                </c:pt>
              </c:numCache>
            </c:numRef>
          </c:val>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Ene-Abr. 2016</c:v>
                </c:pt>
              </c:strCache>
            </c:strRef>
          </c:cat>
          <c:val>
            <c:numRef>
              <c:f>'V.4.25.Accid.Aprob Según suc.'!$M$4:$M$11</c:f>
              <c:numCache>
                <c:formatCode>0.00%</c:formatCode>
                <c:ptCount val="8"/>
                <c:pt idx="0">
                  <c:v>0.2153846153846154</c:v>
                </c:pt>
                <c:pt idx="1">
                  <c:v>0.19101123595505617</c:v>
                </c:pt>
                <c:pt idx="2">
                  <c:v>4.6511627906976744E-2</c:v>
                </c:pt>
                <c:pt idx="3">
                  <c:v>2.2222222222222223E-2</c:v>
                </c:pt>
                <c:pt idx="4">
                  <c:v>8.8607594936708861E-2</c:v>
                </c:pt>
                <c:pt idx="5">
                  <c:v>7.575757575757576E-2</c:v>
                </c:pt>
                <c:pt idx="6">
                  <c:v>8.0808080808080815E-2</c:v>
                </c:pt>
                <c:pt idx="7">
                  <c:v>0.08</c:v>
                </c:pt>
              </c:numCache>
            </c:numRef>
          </c:val>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Ene-Abr. 2016</c:v>
                </c:pt>
              </c:strCache>
            </c:strRef>
          </c:cat>
          <c:val>
            <c:numRef>
              <c:f>'V.4.25.Accid.Aprob Según suc.'!$N$4:$N$11</c:f>
              <c:numCache>
                <c:formatCode>0.00%</c:formatCode>
                <c:ptCount val="8"/>
                <c:pt idx="0">
                  <c:v>0</c:v>
                </c:pt>
                <c:pt idx="1">
                  <c:v>2.247191011235955E-2</c:v>
                </c:pt>
                <c:pt idx="2">
                  <c:v>6.9767441860465115E-2</c:v>
                </c:pt>
                <c:pt idx="3">
                  <c:v>0.15555555555555556</c:v>
                </c:pt>
                <c:pt idx="4">
                  <c:v>3.7974683544303799E-2</c:v>
                </c:pt>
                <c:pt idx="5">
                  <c:v>0</c:v>
                </c:pt>
                <c:pt idx="6">
                  <c:v>0</c:v>
                </c:pt>
                <c:pt idx="7">
                  <c:v>0</c:v>
                </c:pt>
              </c:numCache>
            </c:numRef>
          </c:val>
        </c:ser>
        <c:dLbls>
          <c:showLegendKey val="0"/>
          <c:showVal val="0"/>
          <c:showCatName val="0"/>
          <c:showSerName val="0"/>
          <c:showPercent val="0"/>
          <c:showBubbleSize val="0"/>
        </c:dLbls>
        <c:gapWidth val="150"/>
        <c:shape val="cylinder"/>
        <c:axId val="468683528"/>
        <c:axId val="468683920"/>
        <c:axId val="0"/>
      </c:bar3DChart>
      <c:catAx>
        <c:axId val="468683528"/>
        <c:scaling>
          <c:orientation val="minMax"/>
        </c:scaling>
        <c:delete val="0"/>
        <c:axPos val="b"/>
        <c:numFmt formatCode="General" sourceLinked="0"/>
        <c:majorTickMark val="out"/>
        <c:minorTickMark val="none"/>
        <c:tickLblPos val="nextTo"/>
        <c:txPr>
          <a:bodyPr/>
          <a:lstStyle/>
          <a:p>
            <a:pPr>
              <a:defRPr sz="1200"/>
            </a:pPr>
            <a:endParaRPr lang="es-ES"/>
          </a:p>
        </c:txPr>
        <c:crossAx val="468683920"/>
        <c:crosses val="autoZero"/>
        <c:auto val="1"/>
        <c:lblAlgn val="ctr"/>
        <c:lblOffset val="100"/>
        <c:noMultiLvlLbl val="0"/>
      </c:catAx>
      <c:valAx>
        <c:axId val="468683920"/>
        <c:scaling>
          <c:orientation val="minMax"/>
        </c:scaling>
        <c:delete val="0"/>
        <c:axPos val="l"/>
        <c:numFmt formatCode="0.00%" sourceLinked="1"/>
        <c:majorTickMark val="out"/>
        <c:minorTickMark val="none"/>
        <c:tickLblPos val="nextTo"/>
        <c:crossAx val="468683528"/>
        <c:crosses val="autoZero"/>
        <c:crossBetween val="between"/>
      </c:valAx>
      <c:spPr>
        <a:ln>
          <a:noFill/>
        </a:ln>
      </c:spPr>
    </c:plotArea>
    <c:legend>
      <c:legendPos val="r"/>
      <c:layout>
        <c:manualLayout>
          <c:xMode val="edge"/>
          <c:yMode val="edge"/>
          <c:x val="0.23305617424307834"/>
          <c:y val="8.0173248368883177E-2"/>
          <c:w val="0.60085793125358655"/>
          <c:h val="6.64832929677713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2.0900167701211472E-2"/>
          <c:y val="0.17590809605346738"/>
          <c:w val="0.96137760958493024"/>
          <c:h val="0.65454146977698902"/>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Ene-Abr. 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600</c:v>
                </c:pt>
              </c:numCache>
            </c:numRef>
          </c:val>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Ene-Abr. 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220</c:v>
                </c:pt>
              </c:numCache>
            </c:numRef>
          </c:val>
        </c:ser>
        <c:dLbls>
          <c:showLegendKey val="0"/>
          <c:showVal val="0"/>
          <c:showCatName val="0"/>
          <c:showSerName val="0"/>
          <c:showPercent val="0"/>
          <c:showBubbleSize val="0"/>
        </c:dLbls>
        <c:gapWidth val="34"/>
        <c:overlap val="13"/>
        <c:axId val="468684704"/>
        <c:axId val="468685096"/>
      </c:barChart>
      <c:catAx>
        <c:axId val="468684704"/>
        <c:scaling>
          <c:orientation val="minMax"/>
        </c:scaling>
        <c:delete val="0"/>
        <c:axPos val="b"/>
        <c:numFmt formatCode="General" sourceLinked="0"/>
        <c:majorTickMark val="none"/>
        <c:minorTickMark val="none"/>
        <c:tickLblPos val="nextTo"/>
        <c:txPr>
          <a:bodyPr/>
          <a:lstStyle/>
          <a:p>
            <a:pPr>
              <a:defRPr sz="1200"/>
            </a:pPr>
            <a:endParaRPr lang="es-ES"/>
          </a:p>
        </c:txPr>
        <c:crossAx val="468685096"/>
        <c:crosses val="autoZero"/>
        <c:auto val="1"/>
        <c:lblAlgn val="ctr"/>
        <c:lblOffset val="100"/>
        <c:noMultiLvlLbl val="0"/>
      </c:catAx>
      <c:valAx>
        <c:axId val="468685096"/>
        <c:scaling>
          <c:orientation val="minMax"/>
        </c:scaling>
        <c:delete val="1"/>
        <c:axPos val="l"/>
        <c:numFmt formatCode="_(* #,##0_);_(* \(#,##0\);_(* &quot;-&quot;??_);_(@_)" sourceLinked="1"/>
        <c:majorTickMark val="none"/>
        <c:minorTickMark val="none"/>
        <c:tickLblPos val="nextTo"/>
        <c:crossAx val="4686847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4673849979278905E-2"/>
          <c:y val="0.14072263084761463"/>
          <c:w val="0.94363766634433854"/>
          <c:h val="0.73455636868920793"/>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Ene-Abr.2016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70</c:v>
                </c:pt>
                <c:pt idx="8">
                  <c:v>5</c:v>
                </c:pt>
              </c:numCache>
            </c:numRef>
          </c:val>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Ene-Abr.2016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4</c:v>
                </c:pt>
              </c:numCache>
            </c:numRef>
          </c:val>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Ene-Abr.2016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ser>
        <c:dLbls>
          <c:showLegendKey val="0"/>
          <c:showVal val="0"/>
          <c:showCatName val="0"/>
          <c:showSerName val="0"/>
          <c:showPercent val="0"/>
          <c:showBubbleSize val="0"/>
        </c:dLbls>
        <c:gapWidth val="37"/>
        <c:gapDepth val="74"/>
        <c:shape val="box"/>
        <c:axId val="468685880"/>
        <c:axId val="468686272"/>
        <c:axId val="468833408"/>
      </c:bar3DChart>
      <c:catAx>
        <c:axId val="468685880"/>
        <c:scaling>
          <c:orientation val="minMax"/>
        </c:scaling>
        <c:delete val="0"/>
        <c:axPos val="b"/>
        <c:numFmt formatCode="General" sourceLinked="0"/>
        <c:majorTickMark val="none"/>
        <c:minorTickMark val="none"/>
        <c:tickLblPos val="nextTo"/>
        <c:txPr>
          <a:bodyPr/>
          <a:lstStyle/>
          <a:p>
            <a:pPr>
              <a:defRPr sz="1600" b="1"/>
            </a:pPr>
            <a:endParaRPr lang="es-ES"/>
          </a:p>
        </c:txPr>
        <c:crossAx val="468686272"/>
        <c:crosses val="autoZero"/>
        <c:auto val="1"/>
        <c:lblAlgn val="ctr"/>
        <c:lblOffset val="100"/>
        <c:noMultiLvlLbl val="0"/>
      </c:catAx>
      <c:valAx>
        <c:axId val="468686272"/>
        <c:scaling>
          <c:orientation val="minMax"/>
        </c:scaling>
        <c:delete val="1"/>
        <c:axPos val="r"/>
        <c:numFmt formatCode="_(* #,##0_);_(* \(#,##0\);_(* &quot;-&quot;??_);_(@_)" sourceLinked="1"/>
        <c:majorTickMark val="none"/>
        <c:minorTickMark val="none"/>
        <c:tickLblPos val="nextTo"/>
        <c:crossAx val="468685880"/>
        <c:crosses val="autoZero"/>
        <c:crossBetween val="between"/>
      </c:valAx>
      <c:serAx>
        <c:axId val="468833408"/>
        <c:scaling>
          <c:orientation val="minMax"/>
        </c:scaling>
        <c:delete val="1"/>
        <c:axPos val="b"/>
        <c:majorTickMark val="out"/>
        <c:minorTickMark val="none"/>
        <c:tickLblPos val="nextTo"/>
        <c:crossAx val="468686272"/>
        <c:crosses val="autoZero"/>
      </c:serAx>
    </c:plotArea>
    <c:legend>
      <c:legendPos val="t"/>
      <c:layout>
        <c:manualLayout>
          <c:xMode val="edge"/>
          <c:yMode val="edge"/>
          <c:x val="0.18874985562776714"/>
          <c:y val="6.5554668321390258E-2"/>
          <c:w val="0.60191547635492937"/>
          <c:h val="3.1985842884190062E-2"/>
        </c:manualLayout>
      </c:layout>
      <c:overlay val="0"/>
      <c:txPr>
        <a:bodyPr/>
        <a:lstStyle/>
        <a:p>
          <a:pPr>
            <a:defRPr sz="20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6.xml"/></Relationships>
</file>

<file path=xl/drawings/_rels/drawing103.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8.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9.xml"/></Relationships>
</file>

<file path=xl/drawings/_rels/drawing10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50.xml"/></Relationships>
</file>

<file path=xl/drawings/_rels/drawing112.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7"/></Relationships>
</file>

<file path=xl/drawings/_rels/drawing1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2.xml"/></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3.xml"/></Relationships>
</file>

<file path=xl/drawings/_rels/drawing1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6.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2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7.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8.xml"/></Relationships>
</file>

<file path=xl/drawings/_rels/drawing127.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9.xml"/><Relationship Id="rId4" Type="http://schemas.openxmlformats.org/officeDocument/2006/relationships/image" Target="../media/image4.png"/></Relationships>
</file>

<file path=xl/drawings/_rels/drawing128.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3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hyperlink" Target="#Contenido!A58"/><Relationship Id="rId1" Type="http://schemas.openxmlformats.org/officeDocument/2006/relationships/image" Target="../media/image4.png"/></Relationships>
</file>

<file path=xl/drawings/_rels/drawing13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18.png"/><Relationship Id="rId1" Type="http://schemas.openxmlformats.org/officeDocument/2006/relationships/hyperlink" Target="#Contenido!A95"/></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3.xml"/></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4.xml"/></Relationships>
</file>

<file path=xl/drawings/_rels/drawing13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5.xml"/></Relationships>
</file>

<file path=xl/drawings/_rels/drawing139.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4.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5.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8.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image" Target="../media/image21.png"/></Relationships>
</file>

<file path=xl/drawings/_rels/drawing150.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9.xml"/><Relationship Id="rId4" Type="http://schemas.openxmlformats.org/officeDocument/2006/relationships/image" Target="../media/image4.png"/></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1.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2.xml"/><Relationship Id="rId4" Type="http://schemas.openxmlformats.org/officeDocument/2006/relationships/hyperlink" Target="#Contenido!A58"/></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3.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16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4.xml"/></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5.xml"/></Relationships>
</file>

<file path=xl/drawings/_rels/drawing1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6.xml"/></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7.xml"/></Relationships>
</file>

<file path=xl/drawings/_rels/drawing167.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9.xml"/></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80.xml"/></Relationships>
</file>

<file path=xl/drawings/_rels/drawing17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81.xml"/><Relationship Id="rId4" Type="http://schemas.openxmlformats.org/officeDocument/2006/relationships/image" Target="../media/image4.png"/></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2.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3.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5.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6.xml"/></Relationships>
</file>

<file path=xl/drawings/_rels/drawing185.xml.rels><?xml version="1.0" encoding="UTF-8" standalone="yes"?>
<Relationships xmlns="http://schemas.openxmlformats.org/package/2006/relationships"><Relationship Id="rId3" Type="http://schemas.openxmlformats.org/officeDocument/2006/relationships/hyperlink" Target="#Contenido!A122"/><Relationship Id="rId2" Type="http://schemas.openxmlformats.org/officeDocument/2006/relationships/image" Target="../media/image23.gif"/><Relationship Id="rId1" Type="http://schemas.openxmlformats.org/officeDocument/2006/relationships/chart" Target="../charts/chart87.xml"/><Relationship Id="rId4" Type="http://schemas.openxmlformats.org/officeDocument/2006/relationships/image" Target="../media/image4.png"/></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8.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90.xml"/></Relationships>
</file>

<file path=xl/drawings/_rels/drawing19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INDICE!A1"/><Relationship Id="rId1" Type="http://schemas.openxmlformats.org/officeDocument/2006/relationships/chart" Target="../charts/chart91.xml"/><Relationship Id="rId5" Type="http://schemas.openxmlformats.org/officeDocument/2006/relationships/image" Target="../media/image4.png"/><Relationship Id="rId4" Type="http://schemas.openxmlformats.org/officeDocument/2006/relationships/hyperlink" Target="#Contenido!A134"/></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7.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8.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5.xml"/></Relationships>
</file>

<file path=xl/drawings/_rels/drawing2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7.xml"/></Relationships>
</file>

<file path=xl/drawings/_rels/drawing203.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8.xml"/></Relationships>
</file>

<file path=xl/drawings/_rels/drawing2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9.xml"/></Relationships>
</file>

<file path=xl/drawings/_rels/drawing207.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4.png"/><Relationship Id="rId1" Type="http://schemas.openxmlformats.org/officeDocument/2006/relationships/chart" Target="../charts/chart100.xml"/><Relationship Id="rId4" Type="http://schemas.openxmlformats.org/officeDocument/2006/relationships/image" Target="../media/image4.png"/></Relationships>
</file>

<file path=xl/drawings/_rels/drawing20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0.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1.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image" Target="../media/image4.png"/><Relationship Id="rId1" Type="http://schemas.openxmlformats.org/officeDocument/2006/relationships/hyperlink" Target="#Contenido!A148"/></Relationships>
</file>

<file path=xl/drawings/_rels/drawing213.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3.xml"/></Relationships>
</file>

<file path=xl/drawings/_rels/drawing2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6.xml"/></Relationships>
</file>

<file path=xl/drawings/_rels/drawing22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2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5.png"/><Relationship Id="rId1" Type="http://schemas.openxmlformats.org/officeDocument/2006/relationships/chart" Target="../charts/chart107.xml"/><Relationship Id="rId4" Type="http://schemas.openxmlformats.org/officeDocument/2006/relationships/image" Target="../media/image4.png"/></Relationships>
</file>

<file path=xl/drawings/_rels/drawing2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8.xml"/></Relationships>
</file>

<file path=xl/drawings/_rels/drawing2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8.xml"/><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1.xml"/></Relationships>
</file>

<file path=xl/drawings/_rels/drawing3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2.xm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26"/></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5.xml"/></Relationships>
</file>

<file path=xl/drawings/_rels/drawing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7.xml"/></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8.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26"/></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20.xml"/></Relationships>
</file>

<file path=xl/drawings/_rels/drawing4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21.xml"/></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3.xml"/></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9.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5.xml"/><Relationship Id="rId1" Type="http://schemas.openxmlformats.org/officeDocument/2006/relationships/image" Target="../media/image8.gif"/><Relationship Id="rId4" Type="http://schemas.openxmlformats.org/officeDocument/2006/relationships/image" Target="../media/image9.png"/></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8.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30.xml"/></Relationships>
</file>

<file path=xl/drawings/_rels/drawing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1.xml"/></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2.xml"/><Relationship Id="rId5" Type="http://schemas.openxmlformats.org/officeDocument/2006/relationships/image" Target="../media/image9.png"/><Relationship Id="rId4" Type="http://schemas.openxmlformats.org/officeDocument/2006/relationships/hyperlink" Target="#Contenido!A1"/></Relationships>
</file>

<file path=xl/drawings/_rels/drawing7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10.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9.xml"/></Relationships>
</file>

<file path=xl/drawings/_rels/drawing87.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1.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2.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1809748</xdr:colOff>
      <xdr:row>101</xdr:row>
      <xdr:rowOff>166687</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49686" cy="19740562"/>
        </a:xfrm>
        <a:prstGeom prst="rect">
          <a:avLst/>
        </a:prstGeom>
      </xdr:spPr>
    </xdr:pic>
    <xdr:clientData/>
  </xdr:twoCellAnchor>
  <xdr:twoCellAnchor editAs="oneCell">
    <xdr:from>
      <xdr:col>5</xdr:col>
      <xdr:colOff>1181100</xdr:colOff>
      <xdr:row>25</xdr:row>
      <xdr:rowOff>1</xdr:rowOff>
    </xdr:from>
    <xdr:to>
      <xdr:col>12</xdr:col>
      <xdr:colOff>214312</xdr:colOff>
      <xdr:row>74</xdr:row>
      <xdr:rowOff>71437</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24600" y="5095876"/>
          <a:ext cx="8629650" cy="9405936"/>
        </a:xfrm>
        <a:prstGeom prst="rect">
          <a:avLst/>
        </a:prstGeom>
        <a:noFill/>
        <a:ln>
          <a:noFill/>
        </a:ln>
      </xdr:spPr>
    </xdr:pic>
    <xdr:clientData/>
  </xdr:twoCellAnchor>
  <xdr:twoCellAnchor>
    <xdr:from>
      <xdr:col>6</xdr:col>
      <xdr:colOff>690562</xdr:colOff>
      <xdr:row>53</xdr:row>
      <xdr:rowOff>71437</xdr:rowOff>
    </xdr:from>
    <xdr:to>
      <xdr:col>12</xdr:col>
      <xdr:colOff>1500187</xdr:colOff>
      <xdr:row>69</xdr:row>
      <xdr:rowOff>61910</xdr:rowOff>
    </xdr:to>
    <xdr:sp macro="" textlink="">
      <xdr:nvSpPr>
        <xdr:cNvPr id="4" name="3 Rectángulo"/>
        <xdr:cNvSpPr/>
      </xdr:nvSpPr>
      <xdr:spPr>
        <a:xfrm>
          <a:off x="7310437" y="10501312"/>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p>
        <a:p>
          <a:pPr lvl="1" algn="r"/>
          <a:r>
            <a:rPr lang="es-DO" sz="8000" b="1" i="0" baseline="0">
              <a:solidFill>
                <a:schemeClr val="accent3">
                  <a:lumMod val="50000"/>
                </a:schemeClr>
              </a:solidFill>
              <a:latin typeface="Baskerville Old Face" pitchFamily="18" charset="0"/>
              <a:ea typeface="+mn-ea"/>
              <a:cs typeface="+mn-cs"/>
            </a:rPr>
            <a:t>A</a:t>
          </a:r>
          <a:r>
            <a:rPr lang="es-DO" sz="8000" b="1" i="0">
              <a:solidFill>
                <a:schemeClr val="accent5">
                  <a:lumMod val="50000"/>
                </a:schemeClr>
              </a:solidFill>
              <a:latin typeface="Baskerville Old Face" pitchFamily="18" charset="0"/>
              <a:ea typeface="+mn-ea"/>
              <a:cs typeface="+mn-cs"/>
            </a:rPr>
            <a:t>bril</a:t>
          </a:r>
          <a:r>
            <a:rPr lang="es-DO" sz="7200" b="1" i="0" baseline="0">
              <a:solidFill>
                <a:schemeClr val="accent5">
                  <a:lumMod val="50000"/>
                </a:schemeClr>
              </a:solidFill>
              <a:latin typeface="Baskerville Old Face" pitchFamily="18" charset="0"/>
              <a:ea typeface="+mn-ea"/>
              <a:cs typeface="+mn-cs"/>
            </a:rPr>
            <a:t> </a:t>
          </a:r>
          <a:r>
            <a:rPr lang="es-DO" sz="5400" b="1" i="0">
              <a:solidFill>
                <a:schemeClr val="accent3">
                  <a:lumMod val="50000"/>
                </a:schemeClr>
              </a:solidFill>
              <a:latin typeface="Baskerville Old Face" pitchFamily="18" charset="0"/>
              <a:ea typeface="+mn-ea"/>
              <a:cs typeface="+mn-cs"/>
            </a:rPr>
            <a:t>2</a:t>
          </a:r>
          <a:r>
            <a:rPr lang="es-DO" sz="5400" b="1" i="0">
              <a:solidFill>
                <a:schemeClr val="accent5">
                  <a:lumMod val="50000"/>
                </a:schemeClr>
              </a:solidFill>
              <a:latin typeface="Baskerville Old Face" pitchFamily="18" charset="0"/>
              <a:ea typeface="+mn-ea"/>
              <a:cs typeface="+mn-cs"/>
            </a:rPr>
            <a:t>016</a:t>
          </a:r>
          <a:endParaRPr lang="es-DO" sz="24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6</xdr:col>
      <xdr:colOff>71437</xdr:colOff>
      <xdr:row>24</xdr:row>
      <xdr:rowOff>95249</xdr:rowOff>
    </xdr:from>
    <xdr:to>
      <xdr:col>12</xdr:col>
      <xdr:colOff>1428750</xdr:colOff>
      <xdr:row>46</xdr:row>
      <xdr:rowOff>147635</xdr:rowOff>
    </xdr:to>
    <xdr:sp macro="" textlink="">
      <xdr:nvSpPr>
        <xdr:cNvPr id="5" name="3 Rectángulo"/>
        <xdr:cNvSpPr/>
      </xdr:nvSpPr>
      <xdr:spPr>
        <a:xfrm>
          <a:off x="6691312" y="5000624"/>
          <a:ext cx="9477376" cy="42433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12</xdr:row>
      <xdr:rowOff>122463</xdr:rowOff>
    </xdr:from>
    <xdr:to>
      <xdr:col>13</xdr:col>
      <xdr:colOff>762000</xdr:colOff>
      <xdr:row>38</xdr:row>
      <xdr:rowOff>421821</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1061357</xdr:colOff>
      <xdr:row>1</xdr:row>
      <xdr:rowOff>367392</xdr:rowOff>
    </xdr:to>
    <xdr:sp macro="" textlink="">
      <xdr:nvSpPr>
        <xdr:cNvPr id="5" name="4 Rectángulo redondeado"/>
        <xdr:cNvSpPr/>
      </xdr:nvSpPr>
      <xdr:spPr>
        <a:xfrm>
          <a:off x="0" y="0"/>
          <a:ext cx="12314464"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Abril 2016</a:t>
          </a:r>
          <a:endParaRPr lang="es-DO" sz="4800">
            <a:effectLst/>
          </a:endParaRPr>
        </a:p>
      </xdr:txBody>
    </xdr:sp>
    <xdr:clientData/>
  </xdr:twoCellAnchor>
  <xdr:twoCellAnchor editAs="oneCell">
    <xdr:from>
      <xdr:col>0</xdr:col>
      <xdr:colOff>530679</xdr:colOff>
      <xdr:row>0</xdr:row>
      <xdr:rowOff>190500</xdr:rowOff>
    </xdr:from>
    <xdr:to>
      <xdr:col>1</xdr:col>
      <xdr:colOff>591817</xdr:colOff>
      <xdr:row>1</xdr:row>
      <xdr:rowOff>195943</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90500"/>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0.04438</cdr:x>
      <cdr:y>0.91769</cdr:y>
    </cdr:from>
    <cdr:to>
      <cdr:x>0.18674</cdr:x>
      <cdr:y>0.97563</cdr:y>
    </cdr:to>
    <cdr:sp macro="" textlink="">
      <cdr:nvSpPr>
        <cdr:cNvPr id="3" name="1 CuadroTexto"/>
        <cdr:cNvSpPr txBox="1"/>
      </cdr:nvSpPr>
      <cdr:spPr>
        <a:xfrm xmlns:a="http://schemas.openxmlformats.org/drawingml/2006/main">
          <a:off x="532653" y="5122210"/>
          <a:ext cx="1708522" cy="3233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71437</xdr:colOff>
      <xdr:row>18</xdr:row>
      <xdr:rowOff>178593</xdr:rowOff>
    </xdr:from>
    <xdr:to>
      <xdr:col>10</xdr:col>
      <xdr:colOff>559594</xdr:colOff>
      <xdr:row>49</xdr:row>
      <xdr:rowOff>142875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Origen de los Aportes</a:t>
          </a:r>
        </a:p>
        <a:p>
          <a:pPr algn="ctr" eaLnBrk="1" fontAlgn="auto" latinLnBrk="0" hangingPunct="1"/>
          <a:r>
            <a:rPr lang="es-DO" sz="1800" b="1">
              <a:solidFill>
                <a:schemeClr val="lt1"/>
              </a:solidFill>
              <a:effectLst/>
              <a:latin typeface="+mn-lt"/>
              <a:ea typeface="+mn-ea"/>
              <a:cs typeface="+mn-cs"/>
            </a:rPr>
            <a:t>Período: 2003 - </a:t>
          </a:r>
          <a:r>
            <a:rPr lang="es-DO" sz="1800" b="1" baseline="0">
              <a:solidFill>
                <a:schemeClr val="lt1"/>
              </a:solidFill>
              <a:effectLst/>
              <a:latin typeface="+mn-lt"/>
              <a:ea typeface="+mn-ea"/>
              <a:cs typeface="+mn-cs"/>
            </a:rPr>
            <a:t> Abril 2016</a:t>
          </a:r>
          <a:endParaRPr lang="es-DO" sz="2800">
            <a:effectLst/>
          </a:endParaRPr>
        </a:p>
      </xdr:txBody>
    </xdr:sp>
    <xdr:clientData/>
  </xdr:twoCellAnchor>
  <xdr:twoCellAnchor editAs="oneCell">
    <xdr:from>
      <xdr:col>0</xdr:col>
      <xdr:colOff>324970</xdr:colOff>
      <xdr:row>0</xdr:row>
      <xdr:rowOff>67236</xdr:rowOff>
    </xdr:from>
    <xdr:to>
      <xdr:col>1</xdr:col>
      <xdr:colOff>1121</xdr:colOff>
      <xdr:row>0</xdr:row>
      <xdr:rowOff>549089</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0" y="67236"/>
          <a:ext cx="700089"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631033</xdr:colOff>
      <xdr:row>48</xdr:row>
      <xdr:rowOff>95249</xdr:rowOff>
    </xdr:from>
    <xdr:to>
      <xdr:col>1</xdr:col>
      <xdr:colOff>1000125</xdr:colOff>
      <xdr:row>49</xdr:row>
      <xdr:rowOff>178592</xdr:rowOff>
    </xdr:to>
    <xdr:sp macro="" textlink="">
      <xdr:nvSpPr>
        <xdr:cNvPr id="5" name="CuadroTexto 4"/>
        <xdr:cNvSpPr txBox="1"/>
      </xdr:nvSpPr>
      <xdr:spPr>
        <a:xfrm>
          <a:off x="631033" y="9751218"/>
          <a:ext cx="1393030"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69635</xdr:colOff>
      <xdr:row>17</xdr:row>
      <xdr:rowOff>41623</xdr:rowOff>
    </xdr:from>
    <xdr:to>
      <xdr:col>10</xdr:col>
      <xdr:colOff>537882</xdr:colOff>
      <xdr:row>50</xdr:row>
      <xdr:rowOff>100853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47</xdr:row>
      <xdr:rowOff>134471</xdr:rowOff>
    </xdr:from>
    <xdr:to>
      <xdr:col>1</xdr:col>
      <xdr:colOff>750795</xdr:colOff>
      <xdr:row>49</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2005 - Abril 2016</a:t>
          </a:r>
          <a:endParaRPr lang="es-DO" sz="2800">
            <a:effectLst/>
          </a:endParaRPr>
        </a:p>
      </xdr:txBody>
    </xdr:sp>
    <xdr:clientData/>
  </xdr:twoCellAnchor>
  <xdr:twoCellAnchor editAs="oneCell">
    <xdr:from>
      <xdr:col>0</xdr:col>
      <xdr:colOff>246530</xdr:colOff>
      <xdr:row>1</xdr:row>
      <xdr:rowOff>22411</xdr:rowOff>
    </xdr:from>
    <xdr:to>
      <xdr:col>0</xdr:col>
      <xdr:colOff>962900</xdr:colOff>
      <xdr:row>1</xdr:row>
      <xdr:rowOff>515470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530" y="224117"/>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3</xdr:col>
      <xdr:colOff>963706</xdr:colOff>
      <xdr:row>9</xdr:row>
      <xdr:rowOff>155907</xdr:rowOff>
    </xdr:from>
    <xdr:to>
      <xdr:col>7</xdr:col>
      <xdr:colOff>1039401</xdr:colOff>
      <xdr:row>36</xdr:row>
      <xdr:rowOff>93544</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249706" y="2105731"/>
          <a:ext cx="4423577" cy="5081137"/>
        </a:xfrm>
        <a:prstGeom prst="rect">
          <a:avLst/>
        </a:prstGeom>
        <a:noFill/>
        <a:ln>
          <a:noFill/>
        </a:ln>
      </xdr:spPr>
    </xdr:pic>
    <xdr:clientData/>
  </xdr:twoCellAnchor>
  <xdr:twoCellAnchor>
    <xdr:from>
      <xdr:col>0</xdr:col>
      <xdr:colOff>1</xdr:colOff>
      <xdr:row>0</xdr:row>
      <xdr:rowOff>0</xdr:rowOff>
    </xdr:from>
    <xdr:to>
      <xdr:col>12</xdr:col>
      <xdr:colOff>0</xdr:colOff>
      <xdr:row>2</xdr:row>
      <xdr:rowOff>145677</xdr:rowOff>
    </xdr:to>
    <xdr:sp macro="" textlink="">
      <xdr:nvSpPr>
        <xdr:cNvPr id="2" name="3 Rectángulo redondeado"/>
        <xdr:cNvSpPr/>
      </xdr:nvSpPr>
      <xdr:spPr>
        <a:xfrm>
          <a:off x="1" y="0"/>
          <a:ext cx="11979087"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 por Seguros</a:t>
          </a:r>
          <a:endParaRPr lang="es-DO" sz="3200">
            <a:effectLst/>
          </a:endParaRPr>
        </a:p>
      </xdr:txBody>
    </xdr:sp>
    <xdr:clientData/>
  </xdr:twoCellAnchor>
  <xdr:twoCellAnchor>
    <xdr:from>
      <xdr:col>0</xdr:col>
      <xdr:colOff>123265</xdr:colOff>
      <xdr:row>2</xdr:row>
      <xdr:rowOff>246529</xdr:rowOff>
    </xdr:from>
    <xdr:to>
      <xdr:col>11</xdr:col>
      <xdr:colOff>1154206</xdr:colOff>
      <xdr:row>45</xdr:row>
      <xdr:rowOff>78441</xdr:rowOff>
    </xdr:to>
    <xdr:sp macro="" textlink="">
      <xdr:nvSpPr>
        <xdr:cNvPr id="3" name="CuadroTexto 2"/>
        <xdr:cNvSpPr txBox="1"/>
      </xdr:nvSpPr>
      <xdr:spPr>
        <a:xfrm>
          <a:off x="123265" y="997323"/>
          <a:ext cx="11676529" cy="810185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abril 2016, los egresos del SDSS ascienden a  RD$ </a:t>
          </a:r>
          <a:r>
            <a:rPr lang="es-ES" sz="1400" b="0" baseline="0">
              <a:solidFill>
                <a:sysClr val="windowText" lastClr="000000"/>
              </a:solidFill>
              <a:effectLst/>
              <a:latin typeface="+mn-lt"/>
              <a:ea typeface="+mn-ea"/>
              <a:cs typeface="+mn-cs"/>
            </a:rPr>
            <a:t>553,299,291,044.99, </a:t>
          </a:r>
          <a:r>
            <a:rPr lang="es-DO" sz="1400" b="0" baseline="0">
              <a:solidFill>
                <a:sysClr val="windowText" lastClr="000000"/>
              </a:solidFill>
              <a:effectLst/>
              <a:latin typeface="+mn-lt"/>
              <a:ea typeface="+mn-ea"/>
              <a:cs typeface="+mn-cs"/>
            </a:rPr>
            <a:t>los cuales han sido desembolsado a diferentes entidades que componen el sistema, como se detalla a continuación:</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Los fondos pagados al Seguro Familiar de Salud (SFS) del RC en el período comprendido entre septiembre de 2007,  fecha en que inició dicho seguro, hasta abril 2016 asciende a RD$217,759,989,988.43,  de los cuales un 93.64% fue asignado para el cuidado de la salud; 0.76% para cubrir el Fondo Nacional de Atenciones Médicas por Accidentes de Tránsito (FONAMAT); un 4.37% fue asignado a la Cuenta de Subsidios (Enfermedad Común, Maternidad y Lactancia); 0.63% pagado como comisión a SISALRIL y un 0.60% destinado para cubrir los servicios de las Estancias Infantiles los cuales iniciaron en junio de 2009.  Los fondos desembolsado para el SFS del RC el mes de abril 2016 fueron superiores al mes de  abril 2015 en un 14.5%.</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abril 2016 fue de RD$</a:t>
          </a:r>
          <a:r>
            <a:rPr lang="es-ES" sz="1400" b="0" baseline="0">
              <a:solidFill>
                <a:sysClr val="windowText" lastClr="000000"/>
              </a:solidFill>
              <a:effectLst/>
              <a:latin typeface="+mn-lt"/>
              <a:ea typeface="+mn-ea"/>
              <a:cs typeface="+mn-cs"/>
            </a:rPr>
            <a:t>3,286,881,505.65,</a:t>
          </a:r>
          <a:r>
            <a:rPr lang="es-DO" sz="1400" b="0" baseline="0">
              <a:solidFill>
                <a:sysClr val="windowText" lastClr="000000"/>
              </a:solidFill>
              <a:effectLst/>
              <a:latin typeface="+mn-lt"/>
              <a:ea typeface="+mn-ea"/>
              <a:cs typeface="+mn-cs"/>
            </a:rPr>
            <a:t> distribuidos de la siguiente manera: el 78.6% del dinero fue pagado a las cuatro ARS que poseen el mayor número de afiliados (ARS Humano 34.69%; Palic Salud 15.70%; SENASA Contributivo 16.76%; Universal 11.42%),  el restante 21.4% de los fondos se distribuye entre las 17 ARS restantes.   El monto total pagado a las ARS desde 2007 al mes de abril 2016 alcanza la suma de  RD$205,566,343,578.13,  para cubrir el Plan de Servicios de Salud (PDSS) y el Fondo de Atenciones Médicas por Accidentes  de Tránsito (FONAMAT).</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En cuanto a las inversiones de los fondos acumulados en la Cuenta del Cuidado de la Salud del RC, al mes de abril 2016,  RD$6,403,115,292.30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Desde el inicio de este seguro en noviembre de 2002 hasta el mes de abril 2016 el gobierno ha transferido al sistema según lo presupuestado anualmente la suma de RD$42,780,851,086.25,  para cubrir la afiliación al Seguro Familiar de Salud de los ciudadanos con menos ingresos del país, así como las personas que viven con discapacidad, personas VIH positivas y trabajadores por cuenta propia con ingresos inestables e inferiores al salario mínimo nacional; y                     RD$42,777,589,042.31,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abril 2016 el monto total pagado a las Administradoras de Riesgos de Salud (ARS)  (Salud Segura, SEMMA y SENASA), fue de RD$1,849,425,820.52.  En el período enero al mes de abril 2016, se pagó un total de RD$111,188,929.28,  de los cuales el 38.8% fue pagado  a la ARS Salud Segura; el 48.0% a SENASA y el 13.2%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403416</xdr:colOff>
      <xdr:row>0</xdr:row>
      <xdr:rowOff>154935</xdr:rowOff>
    </xdr:from>
    <xdr:to>
      <xdr:col>1</xdr:col>
      <xdr:colOff>347384</xdr:colOff>
      <xdr:row>1</xdr:row>
      <xdr:rowOff>395363</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3416" y="154935"/>
          <a:ext cx="705968" cy="509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0</xdr:colOff>
      <xdr:row>9</xdr:row>
      <xdr:rowOff>54427</xdr:rowOff>
    </xdr:from>
    <xdr:to>
      <xdr:col>13</xdr:col>
      <xdr:colOff>489857</xdr:colOff>
      <xdr:row>56</xdr:row>
      <xdr:rowOff>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Abril 2016</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0.02559</cdr:x>
      <cdr:y>0.93539</cdr:y>
    </cdr:from>
    <cdr:to>
      <cdr:x>0.1592</cdr:x>
      <cdr:y>0.98253</cdr:y>
    </cdr:to>
    <cdr:sp macro="" textlink="">
      <cdr:nvSpPr>
        <cdr:cNvPr id="2" name="1 CuadroTexto"/>
        <cdr:cNvSpPr txBox="1"/>
      </cdr:nvSpPr>
      <cdr:spPr>
        <a:xfrm xmlns:a="http://schemas.openxmlformats.org/drawingml/2006/main">
          <a:off x="463620" y="8550935"/>
          <a:ext cx="2420320" cy="4309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0</xdr:colOff>
      <xdr:row>17</xdr:row>
      <xdr:rowOff>65316</xdr:rowOff>
    </xdr:from>
    <xdr:to>
      <xdr:col>10</xdr:col>
      <xdr:colOff>1660071</xdr:colOff>
      <xdr:row>43</xdr:row>
      <xdr:rowOff>95250</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Abril </a:t>
          </a:r>
          <a:r>
            <a:rPr lang="es-DO" sz="1800" b="1">
              <a:solidFill>
                <a:schemeClr val="lt1"/>
              </a:solidFill>
              <a:effectLst/>
              <a:latin typeface="+mn-lt"/>
              <a:ea typeface="+mn-ea"/>
              <a:cs typeface="+mn-cs"/>
            </a:rPr>
            <a:t>2015 - Abril 2016</a:t>
          </a:r>
          <a:endParaRPr lang="es-DO" sz="2800">
            <a:effectLst/>
          </a:endParaRPr>
        </a:p>
      </xdr:txBody>
    </xdr:sp>
    <xdr:clientData/>
  </xdr:twoCellAnchor>
  <xdr:twoCellAnchor editAs="oneCell">
    <xdr:from>
      <xdr:col>0</xdr:col>
      <xdr:colOff>461404</xdr:colOff>
      <xdr:row>0</xdr:row>
      <xdr:rowOff>231322</xdr:rowOff>
    </xdr:from>
    <xdr:to>
      <xdr:col>1</xdr:col>
      <xdr:colOff>502396</xdr:colOff>
      <xdr:row>0</xdr:row>
      <xdr:rowOff>843644</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1404" y="231322"/>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0.07361</cdr:x>
      <cdr:y>0.91489</cdr:y>
    </cdr:from>
    <cdr:to>
      <cdr:x>0.4632</cdr:x>
      <cdr:y>0.9766</cdr:y>
    </cdr:to>
    <cdr:sp macro="" textlink="">
      <cdr:nvSpPr>
        <cdr:cNvPr id="3" name="CuadroTexto 2"/>
        <cdr:cNvSpPr txBox="1"/>
      </cdr:nvSpPr>
      <cdr:spPr>
        <a:xfrm xmlns:a="http://schemas.openxmlformats.org/drawingml/2006/main">
          <a:off x="1115785" y="5851073"/>
          <a:ext cx="5905500"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0</xdr:colOff>
      <xdr:row>34</xdr:row>
      <xdr:rowOff>123266</xdr:rowOff>
    </xdr:from>
    <xdr:to>
      <xdr:col>12</xdr:col>
      <xdr:colOff>807842</xdr:colOff>
      <xdr:row>82</xdr:row>
      <xdr:rowOff>0</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33618</xdr:colOff>
      <xdr:row>0</xdr:row>
      <xdr:rowOff>1030941</xdr:rowOff>
    </xdr:to>
    <xdr:sp macro="" textlink="">
      <xdr:nvSpPr>
        <xdr:cNvPr id="3" name="3 Rectángulo redondeado"/>
        <xdr:cNvSpPr/>
      </xdr:nvSpPr>
      <xdr:spPr>
        <a:xfrm>
          <a:off x="0" y="0"/>
          <a:ext cx="14220265"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Abril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editAs="oneCell">
    <xdr:from>
      <xdr:col>1</xdr:col>
      <xdr:colOff>851647</xdr:colOff>
      <xdr:row>0</xdr:row>
      <xdr:rowOff>201706</xdr:rowOff>
    </xdr:from>
    <xdr:to>
      <xdr:col>1</xdr:col>
      <xdr:colOff>1581514</xdr:colOff>
      <xdr:row>0</xdr:row>
      <xdr:rowOff>683560</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1647" y="201706"/>
          <a:ext cx="729867" cy="481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0.31981</cdr:x>
      <cdr:y>0.07342</cdr:y>
    </cdr:from>
    <cdr:to>
      <cdr:x>0.34216</cdr:x>
      <cdr:y>0.08702</cdr:y>
    </cdr:to>
    <cdr:sp macro="" textlink="">
      <cdr:nvSpPr>
        <cdr:cNvPr id="8" name="7 Rectángulo"/>
        <cdr:cNvSpPr/>
      </cdr:nvSpPr>
      <cdr:spPr>
        <a:xfrm xmlns:a="http://schemas.openxmlformats.org/drawingml/2006/main">
          <a:off x="4333082" y="673872"/>
          <a:ext cx="302819" cy="124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0.33549</cdr:x>
      <cdr:y>0.06093</cdr:y>
    </cdr:from>
    <cdr:to>
      <cdr:x>0.81549</cdr:x>
      <cdr:y>0.09772</cdr:y>
    </cdr:to>
    <cdr:sp macro="" textlink="">
      <cdr:nvSpPr>
        <cdr:cNvPr id="9" name="8 CuadroTexto"/>
        <cdr:cNvSpPr txBox="1"/>
      </cdr:nvSpPr>
      <cdr:spPr>
        <a:xfrm xmlns:a="http://schemas.openxmlformats.org/drawingml/2006/main">
          <a:off x="4594411" y="559254"/>
          <a:ext cx="6573403" cy="33768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t>  ARS de Autogestión                    </a:t>
          </a:r>
          <a:r>
            <a:rPr lang="en-US" sz="1100" baseline="0"/>
            <a:t> </a:t>
          </a:r>
          <a:r>
            <a:rPr lang="en-US" sz="1100"/>
            <a:t>     </a:t>
          </a:r>
          <a:r>
            <a:rPr lang="en-US" sz="1100">
              <a:effectLst/>
              <a:latin typeface="+mn-lt"/>
              <a:ea typeface="+mn-ea"/>
              <a:cs typeface="+mn-cs"/>
            </a:rPr>
            <a:t>ARS</a:t>
          </a:r>
          <a:r>
            <a:rPr lang="en-US" sz="1100" baseline="0">
              <a:effectLst/>
              <a:latin typeface="+mn-lt"/>
              <a:ea typeface="+mn-ea"/>
              <a:cs typeface="+mn-cs"/>
            </a:rPr>
            <a:t> Privadas                     </a:t>
          </a:r>
          <a:r>
            <a:rPr lang="en-US" sz="1100">
              <a:effectLst/>
              <a:latin typeface="+mn-lt"/>
              <a:ea typeface="+mn-ea"/>
              <a:cs typeface="+mn-cs"/>
            </a:rPr>
            <a:t>ARS Pública                             </a:t>
          </a:r>
          <a:r>
            <a:rPr lang="en-US" sz="1100"/>
            <a:t>No existen                      </a:t>
          </a:r>
        </a:p>
      </cdr:txBody>
    </cdr:sp>
  </cdr:relSizeAnchor>
  <cdr:relSizeAnchor xmlns:cdr="http://schemas.openxmlformats.org/drawingml/2006/chartDrawing">
    <cdr:from>
      <cdr:x>0.63466</cdr:x>
      <cdr:y>0.07604</cdr:y>
    </cdr:from>
    <cdr:to>
      <cdr:x>0.65606</cdr:x>
      <cdr:y>0.08927</cdr:y>
    </cdr:to>
    <cdr:sp macro="" textlink="">
      <cdr:nvSpPr>
        <cdr:cNvPr id="10" name="9 Rectángulo"/>
        <cdr:cNvSpPr/>
      </cdr:nvSpPr>
      <cdr:spPr>
        <a:xfrm xmlns:a="http://schemas.openxmlformats.org/drawingml/2006/main" flipH="1" flipV="1">
          <a:off x="9843553" y="704660"/>
          <a:ext cx="331913" cy="122605"/>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0.44292</cdr:x>
      <cdr:y>0.0739</cdr:y>
    </cdr:from>
    <cdr:to>
      <cdr:x>0.46432</cdr:x>
      <cdr:y>0.08713</cdr:y>
    </cdr:to>
    <cdr:sp macro="" textlink="">
      <cdr:nvSpPr>
        <cdr:cNvPr id="12" name="9 Rectángulo"/>
        <cdr:cNvSpPr/>
      </cdr:nvSpPr>
      <cdr:spPr>
        <a:xfrm xmlns:a="http://schemas.openxmlformats.org/drawingml/2006/main" flipH="1" flipV="1">
          <a:off x="6001123" y="678329"/>
          <a:ext cx="289947" cy="121433"/>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0.53288</cdr:x>
      <cdr:y>0.07389</cdr:y>
    </cdr:from>
    <cdr:to>
      <cdr:x>0.55428</cdr:x>
      <cdr:y>0.08712</cdr:y>
    </cdr:to>
    <cdr:sp macro="" textlink="">
      <cdr:nvSpPr>
        <cdr:cNvPr id="13" name="9 Rectángulo"/>
        <cdr:cNvSpPr/>
      </cdr:nvSpPr>
      <cdr:spPr>
        <a:xfrm xmlns:a="http://schemas.openxmlformats.org/drawingml/2006/main" flipH="1" flipV="1">
          <a:off x="8258941" y="684751"/>
          <a:ext cx="331674" cy="12260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1.xml><?xml version="1.0" encoding="utf-8"?>
<c:userShapes xmlns:c="http://schemas.openxmlformats.org/drawingml/2006/chart">
  <cdr:relSizeAnchor xmlns:cdr="http://schemas.openxmlformats.org/drawingml/2006/chartDrawing">
    <cdr:from>
      <cdr:x>0.04905</cdr:x>
      <cdr:y>0.95153</cdr:y>
    </cdr:from>
    <cdr:to>
      <cdr:x>0.23182</cdr:x>
      <cdr:y>1</cdr:y>
    </cdr:to>
    <cdr:sp macro="" textlink="">
      <cdr:nvSpPr>
        <cdr:cNvPr id="2" name="2 CuadroTexto"/>
        <cdr:cNvSpPr txBox="1"/>
      </cdr:nvSpPr>
      <cdr:spPr>
        <a:xfrm xmlns:a="http://schemas.openxmlformats.org/drawingml/2006/main">
          <a:off x="717550" y="6253682"/>
          <a:ext cx="2673404" cy="31856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SISALRIL</a:t>
          </a: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1</xdr:colOff>
      <xdr:row>2</xdr:row>
      <xdr:rowOff>27215</xdr:rowOff>
    </xdr:from>
    <xdr:to>
      <xdr:col>9</xdr:col>
      <xdr:colOff>966108</xdr:colOff>
      <xdr:row>51</xdr:row>
      <xdr:rowOff>54427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10</xdr:col>
      <xdr:colOff>1088571</xdr:colOff>
      <xdr:row>0</xdr:row>
      <xdr:rowOff>1088570</xdr:rowOff>
    </xdr:to>
    <xdr:sp macro="" textlink="">
      <xdr:nvSpPr>
        <xdr:cNvPr id="3" name="3 Rectángulo redondeado"/>
        <xdr:cNvSpPr/>
      </xdr:nvSpPr>
      <xdr:spPr>
        <a:xfrm>
          <a:off x="1" y="0"/>
          <a:ext cx="14614070"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del RC a las ARS del SFS</a:t>
          </a:r>
        </a:p>
        <a:p>
          <a:pPr algn="ctr" eaLnBrk="1" fontAlgn="auto" latinLnBrk="0" hangingPunct="1"/>
          <a:r>
            <a:rPr lang="es-DO" sz="1600" b="1" baseline="0">
              <a:solidFill>
                <a:schemeClr val="lt1"/>
              </a:solidFill>
              <a:effectLst/>
              <a:latin typeface="+mn-lt"/>
              <a:ea typeface="+mn-ea"/>
              <a:cs typeface="+mn-cs"/>
            </a:rPr>
            <a:t>Abril  2016</a:t>
          </a:r>
          <a:endParaRPr lang="es-DO" sz="24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0.1795</cdr:x>
      <cdr:y>0.96604</cdr:y>
    </cdr:from>
    <cdr:to>
      <cdr:x>0.38585</cdr:x>
      <cdr:y>1</cdr:y>
    </cdr:to>
    <cdr:sp macro="" textlink="">
      <cdr:nvSpPr>
        <cdr:cNvPr id="2" name="1 CuadroTexto"/>
        <cdr:cNvSpPr txBox="1"/>
      </cdr:nvSpPr>
      <cdr:spPr>
        <a:xfrm xmlns:a="http://schemas.openxmlformats.org/drawingml/2006/main">
          <a:off x="2281257" y="9385562"/>
          <a:ext cx="2622517" cy="3299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TSS</a:t>
          </a:r>
        </a:p>
      </cdr:txBody>
    </cdr:sp>
  </cdr:relSizeAnchor>
  <cdr:relSizeAnchor xmlns:cdr="http://schemas.openxmlformats.org/drawingml/2006/chartDrawing">
    <cdr:from>
      <cdr:x>0.24842</cdr:x>
      <cdr:y>0.02651</cdr:y>
    </cdr:from>
    <cdr:to>
      <cdr:x>0.27552</cdr:x>
      <cdr:y>0.03952</cdr:y>
    </cdr:to>
    <cdr:sp macro="" textlink="">
      <cdr:nvSpPr>
        <cdr:cNvPr id="4" name="7 Rectángulo"/>
        <cdr:cNvSpPr/>
      </cdr:nvSpPr>
      <cdr:spPr>
        <a:xfrm xmlns:a="http://schemas.openxmlformats.org/drawingml/2006/main">
          <a:off x="3157213" y="257575"/>
          <a:ext cx="344416" cy="126398"/>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0.26135</cdr:x>
      <cdr:y>0.01821</cdr:y>
    </cdr:from>
    <cdr:to>
      <cdr:x>0.76376</cdr:x>
      <cdr:y>0.04972</cdr:y>
    </cdr:to>
    <cdr:sp macro="" textlink="">
      <cdr:nvSpPr>
        <cdr:cNvPr id="5" name="8 CuadroTexto"/>
        <cdr:cNvSpPr txBox="1"/>
      </cdr:nvSpPr>
      <cdr:spPr>
        <a:xfrm xmlns:a="http://schemas.openxmlformats.org/drawingml/2006/main">
          <a:off x="3101029" y="174441"/>
          <a:ext cx="5961327" cy="30180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      ARS de Autogestión                                  </a:t>
          </a:r>
          <a:r>
            <a:rPr lang="en-US" sz="1200">
              <a:effectLst/>
              <a:latin typeface="+mn-lt"/>
              <a:ea typeface="+mn-ea"/>
              <a:cs typeface="+mn-cs"/>
            </a:rPr>
            <a:t>ARS</a:t>
          </a:r>
          <a:r>
            <a:rPr lang="en-US" sz="1200" baseline="0">
              <a:effectLst/>
              <a:latin typeface="+mn-lt"/>
              <a:ea typeface="+mn-ea"/>
              <a:cs typeface="+mn-cs"/>
            </a:rPr>
            <a:t> Privadas                                   </a:t>
          </a:r>
          <a:r>
            <a:rPr lang="en-US" sz="1200">
              <a:effectLst/>
              <a:latin typeface="+mn-lt"/>
              <a:ea typeface="+mn-ea"/>
              <a:cs typeface="+mn-cs"/>
            </a:rPr>
            <a:t>ARS Pública   </a:t>
          </a:r>
          <a:r>
            <a:rPr lang="en-US" sz="1200"/>
            <a:t>                     </a:t>
          </a:r>
        </a:p>
      </cdr:txBody>
    </cdr:sp>
  </cdr:relSizeAnchor>
  <cdr:relSizeAnchor xmlns:cdr="http://schemas.openxmlformats.org/drawingml/2006/chartDrawing">
    <cdr:from>
      <cdr:x>0.6034</cdr:x>
      <cdr:y>0.02656</cdr:y>
    </cdr:from>
    <cdr:to>
      <cdr:x>0.6305</cdr:x>
      <cdr:y>0.03958</cdr:y>
    </cdr:to>
    <cdr:sp macro="" textlink="">
      <cdr:nvSpPr>
        <cdr:cNvPr id="6" name="7 Rectángulo"/>
        <cdr:cNvSpPr/>
      </cdr:nvSpPr>
      <cdr:spPr>
        <a:xfrm xmlns:a="http://schemas.openxmlformats.org/drawingml/2006/main">
          <a:off x="5468268" y="253697"/>
          <a:ext cx="245590" cy="124370"/>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0.43907</cdr:x>
      <cdr:y>0.02794</cdr:y>
    </cdr:from>
    <cdr:to>
      <cdr:x>0.46618</cdr:x>
      <cdr:y>0.04095</cdr:y>
    </cdr:to>
    <cdr:sp macro="" textlink="">
      <cdr:nvSpPr>
        <cdr:cNvPr id="7" name="7 Rectángulo"/>
        <cdr:cNvSpPr/>
      </cdr:nvSpPr>
      <cdr:spPr>
        <a:xfrm xmlns:a="http://schemas.openxmlformats.org/drawingml/2006/main">
          <a:off x="3979045" y="266922"/>
          <a:ext cx="245681" cy="124274"/>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Abril 2016</a:t>
          </a:r>
          <a:endParaRPr lang="es-DO" sz="2800">
            <a:effectLst/>
          </a:endParaRPr>
        </a:p>
      </xdr:txBody>
    </xdr:sp>
    <xdr:clientData/>
  </xdr:twoCellAnchor>
  <xdr:twoCellAnchor editAs="oneCell">
    <xdr:from>
      <xdr:col>0</xdr:col>
      <xdr:colOff>231321</xdr:colOff>
      <xdr:row>0</xdr:row>
      <xdr:rowOff>258535</xdr:rowOff>
    </xdr:from>
    <xdr:to>
      <xdr:col>0</xdr:col>
      <xdr:colOff>1040545</xdr:colOff>
      <xdr:row>0</xdr:row>
      <xdr:rowOff>803620</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31321" y="258535"/>
          <a:ext cx="809224" cy="545085"/>
        </a:xfrm>
        <a:prstGeom prst="rect">
          <a:avLst/>
        </a:prstGeom>
        <a:ln>
          <a:noFill/>
        </a:ln>
        <a:effectLst>
          <a:outerShdw blurRad="190500" algn="tl" rotWithShape="0">
            <a:srgbClr val="000000">
              <a:alpha val="70000"/>
            </a:srgbClr>
          </a:outerShdw>
        </a:effectLst>
      </xdr:spPr>
    </xdr:pic>
    <xdr:clientData/>
  </xdr:twoCellAnchor>
  <xdr:twoCellAnchor>
    <xdr:from>
      <xdr:col>0</xdr:col>
      <xdr:colOff>217714</xdr:colOff>
      <xdr:row>11</xdr:row>
      <xdr:rowOff>68036</xdr:rowOff>
    </xdr:from>
    <xdr:to>
      <xdr:col>9</xdr:col>
      <xdr:colOff>680356</xdr:colOff>
      <xdr:row>50</xdr:row>
      <xdr:rowOff>81642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54428</xdr:colOff>
      <xdr:row>6</xdr:row>
      <xdr:rowOff>68036</xdr:rowOff>
    </xdr:from>
    <xdr:to>
      <xdr:col>10</xdr:col>
      <xdr:colOff>598714</xdr:colOff>
      <xdr:row>42</xdr:row>
      <xdr:rowOff>13607</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639536</xdr:colOff>
      <xdr:row>0</xdr:row>
      <xdr:rowOff>884464</xdr:rowOff>
    </xdr:to>
    <xdr:sp macro="" textlink="">
      <xdr:nvSpPr>
        <xdr:cNvPr id="4" name="3 Rectángulo redondeado"/>
        <xdr:cNvSpPr/>
      </xdr:nvSpPr>
      <xdr:spPr>
        <a:xfrm>
          <a:off x="0" y="0"/>
          <a:ext cx="11157857" cy="8844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Abril 2016</a:t>
          </a:r>
          <a:endParaRPr lang="es-DO" sz="2800">
            <a:effectLst/>
          </a:endParaRPr>
        </a:p>
      </xdr:txBody>
    </xdr:sp>
    <xdr:clientData/>
  </xdr:twoCellAnchor>
  <xdr:twoCellAnchor editAs="oneCell">
    <xdr:from>
      <xdr:col>0</xdr:col>
      <xdr:colOff>435429</xdr:colOff>
      <xdr:row>0</xdr:row>
      <xdr:rowOff>190502</xdr:rowOff>
    </xdr:from>
    <xdr:to>
      <xdr:col>0</xdr:col>
      <xdr:colOff>1199563</xdr:colOff>
      <xdr:row>0</xdr:row>
      <xdr:rowOff>680358</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90502"/>
          <a:ext cx="764134" cy="489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TSS</a:t>
          </a:r>
          <a:endParaRPr lang="es-ES" sz="1400"/>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19</xdr:row>
      <xdr:rowOff>17318</xdr:rowOff>
    </xdr:from>
    <xdr:to>
      <xdr:col>11</xdr:col>
      <xdr:colOff>917863</xdr:colOff>
      <xdr:row>62</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2003 -  Abril</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2016</a:t>
          </a:r>
          <a:endParaRPr lang="es-DO" sz="3600">
            <a:effectLst/>
          </a:endParaRPr>
        </a:p>
      </xdr:txBody>
    </xdr:sp>
    <xdr:clientData/>
  </xdr:twoCellAnchor>
  <xdr:twoCellAnchor editAs="oneCell">
    <xdr:from>
      <xdr:col>0</xdr:col>
      <xdr:colOff>476250</xdr:colOff>
      <xdr:row>0</xdr:row>
      <xdr:rowOff>258536</xdr:rowOff>
    </xdr:from>
    <xdr:to>
      <xdr:col>0</xdr:col>
      <xdr:colOff>1244494</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355023</xdr:colOff>
      <xdr:row>0</xdr:row>
      <xdr:rowOff>258536</xdr:rowOff>
    </xdr:from>
    <xdr:to>
      <xdr:col>0</xdr:col>
      <xdr:colOff>1281546</xdr:colOff>
      <xdr:row>0</xdr:row>
      <xdr:rowOff>927040</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023" y="258536"/>
          <a:ext cx="926523" cy="668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6.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2</xdr:col>
      <xdr:colOff>172305</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40823</xdr:colOff>
      <xdr:row>15</xdr:row>
      <xdr:rowOff>95249</xdr:rowOff>
    </xdr:from>
    <xdr:to>
      <xdr:col>11</xdr:col>
      <xdr:colOff>1415142</xdr:colOff>
      <xdr:row>48</xdr:row>
      <xdr:rowOff>108856</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2</xdr:col>
      <xdr:colOff>172305</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1074964</xdr:rowOff>
    </xdr:to>
    <xdr:sp macro="" textlink="">
      <xdr:nvSpPr>
        <xdr:cNvPr id="7" name="6 Rectángulo redondeado"/>
        <xdr:cNvSpPr/>
      </xdr:nvSpPr>
      <xdr:spPr>
        <a:xfrm>
          <a:off x="0" y="0"/>
          <a:ext cx="13067960"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Aportes y Pagos Mensual </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Abril </a:t>
          </a:r>
          <a:r>
            <a:rPr lang="es-DO" sz="1600" b="1">
              <a:solidFill>
                <a:schemeClr val="lt1"/>
              </a:solidFill>
              <a:effectLst/>
              <a:latin typeface="+mn-lt"/>
              <a:ea typeface="+mn-ea"/>
              <a:cs typeface="+mn-cs"/>
            </a:rPr>
            <a:t>2015 - Abril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452440</xdr:colOff>
      <xdr:row>0</xdr:row>
      <xdr:rowOff>189270</xdr:rowOff>
    </xdr:from>
    <xdr:to>
      <xdr:col>1</xdr:col>
      <xdr:colOff>540802</xdr:colOff>
      <xdr:row>0</xdr:row>
      <xdr:rowOff>802822</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2440" y="189270"/>
          <a:ext cx="850362" cy="613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0.02039</cdr:x>
      <cdr:y>0.91343</cdr:y>
    </cdr:from>
    <cdr:to>
      <cdr:x>0.13557</cdr:x>
      <cdr:y>0.96267</cdr:y>
    </cdr:to>
    <cdr:sp macro="" textlink="">
      <cdr:nvSpPr>
        <cdr:cNvPr id="2" name="1 CuadroTexto"/>
        <cdr:cNvSpPr txBox="1"/>
      </cdr:nvSpPr>
      <cdr:spPr>
        <a:xfrm xmlns:a="http://schemas.openxmlformats.org/drawingml/2006/main">
          <a:off x="265214" y="6155540"/>
          <a:ext cx="1498310" cy="331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9672357"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Abril</a:t>
          </a:r>
          <a:r>
            <a:rPr lang="es-DO" sz="1600" b="1" baseline="0">
              <a:solidFill>
                <a:schemeClr val="lt1"/>
              </a:solidFill>
              <a:effectLst/>
              <a:latin typeface="+mn-lt"/>
              <a:ea typeface="+mn-ea"/>
              <a:cs typeface="+mn-cs"/>
            </a:rPr>
            <a:t> 2016</a:t>
          </a:r>
          <a:endParaRPr lang="es-DO" sz="2400">
            <a:effectLst/>
          </a:endParaRPr>
        </a:p>
      </xdr:txBody>
    </xdr:sp>
    <xdr:clientData/>
  </xdr:twoCellAnchor>
  <xdr:twoCellAnchor>
    <xdr:from>
      <xdr:col>0</xdr:col>
      <xdr:colOff>44824</xdr:colOff>
      <xdr:row>15</xdr:row>
      <xdr:rowOff>33616</xdr:rowOff>
    </xdr:from>
    <xdr:to>
      <xdr:col>9</xdr:col>
      <xdr:colOff>649940</xdr:colOff>
      <xdr:row>52</xdr:row>
      <xdr:rowOff>56029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0.05792</cdr:x>
      <cdr:y>0.90576</cdr:y>
    </cdr:from>
    <cdr:to>
      <cdr:x>0.19492</cdr:x>
      <cdr:y>0.94928</cdr:y>
    </cdr:to>
    <cdr:sp macro="" textlink="">
      <cdr:nvSpPr>
        <cdr:cNvPr id="2" name="1 CuadroTexto"/>
        <cdr:cNvSpPr txBox="1"/>
      </cdr:nvSpPr>
      <cdr:spPr>
        <a:xfrm xmlns:a="http://schemas.openxmlformats.org/drawingml/2006/main">
          <a:off x="633509" y="6404572"/>
          <a:ext cx="1498361"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14</xdr:row>
      <xdr:rowOff>47625</xdr:rowOff>
    </xdr:from>
    <xdr:to>
      <xdr:col>13</xdr:col>
      <xdr:colOff>1285874</xdr:colOff>
      <xdr:row>59</xdr:row>
      <xdr:rowOff>103910</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2</xdr:row>
      <xdr:rowOff>277089</xdr:rowOff>
    </xdr:to>
    <xdr:sp macro="" textlink="">
      <xdr:nvSpPr>
        <xdr:cNvPr id="6" name="5 Rectángulo redondeado"/>
        <xdr:cNvSpPr/>
      </xdr:nvSpPr>
      <xdr:spPr>
        <a:xfrm>
          <a:off x="0" y="0"/>
          <a:ext cx="18166774" cy="12815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Abril 2016</a:t>
          </a:r>
          <a:endParaRPr lang="es-DO" sz="2200">
            <a:effectLst/>
          </a:endParaRPr>
        </a:p>
      </xdr:txBody>
    </xdr:sp>
    <xdr:clientData/>
  </xdr:twoCellAnchor>
  <xdr:twoCellAnchor editAs="oneCell">
    <xdr:from>
      <xdr:col>0</xdr:col>
      <xdr:colOff>710044</xdr:colOff>
      <xdr:row>1</xdr:row>
      <xdr:rowOff>69273</xdr:rowOff>
    </xdr:from>
    <xdr:to>
      <xdr:col>1</xdr:col>
      <xdr:colOff>121226</xdr:colOff>
      <xdr:row>1</xdr:row>
      <xdr:rowOff>760722</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121227</xdr:colOff>
      <xdr:row>2</xdr:row>
      <xdr:rowOff>8972</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Abril </a:t>
          </a:r>
          <a:r>
            <a:rPr lang="es-DO" sz="1800" b="1" baseline="0">
              <a:solidFill>
                <a:schemeClr val="lt1"/>
              </a:solidFill>
              <a:effectLst/>
              <a:latin typeface="+mn-lt"/>
              <a:ea typeface="+mn-ea"/>
              <a:cs typeface="+mn-cs"/>
            </a:rPr>
            <a:t>2015 - Abril 2016</a:t>
          </a:r>
          <a:endParaRPr lang="es-DO" sz="2800">
            <a:effectLst/>
          </a:endParaRPr>
        </a:p>
      </xdr:txBody>
    </xdr:sp>
    <xdr:clientData/>
  </xdr:twoCellAnchor>
  <xdr:twoCellAnchor>
    <xdr:from>
      <xdr:col>0</xdr:col>
      <xdr:colOff>95250</xdr:colOff>
      <xdr:row>22</xdr:row>
      <xdr:rowOff>54428</xdr:rowOff>
    </xdr:from>
    <xdr:to>
      <xdr:col>12</xdr:col>
      <xdr:colOff>653142</xdr:colOff>
      <xdr:row>55</xdr:row>
      <xdr:rowOff>136069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392205</xdr:colOff>
      <xdr:row>0</xdr:row>
      <xdr:rowOff>112059</xdr:rowOff>
    </xdr:from>
    <xdr:to>
      <xdr:col>1</xdr:col>
      <xdr:colOff>360268</xdr:colOff>
      <xdr:row>3</xdr:row>
      <xdr:rowOff>83484</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05" y="11205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0.03892</cdr:x>
      <cdr:y>0.93667</cdr:y>
    </cdr:from>
    <cdr:to>
      <cdr:x>0.1472</cdr:x>
      <cdr:y>0.9805</cdr:y>
    </cdr:to>
    <cdr:sp macro="" textlink="">
      <cdr:nvSpPr>
        <cdr:cNvPr id="2" name="1 CuadroTexto"/>
        <cdr:cNvSpPr txBox="1"/>
      </cdr:nvSpPr>
      <cdr:spPr>
        <a:xfrm xmlns:a="http://schemas.openxmlformats.org/drawingml/2006/main">
          <a:off x="535431" y="6640354"/>
          <a:ext cx="1489589" cy="310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8</xdr:col>
      <xdr:colOff>647196</xdr:colOff>
      <xdr:row>38</xdr:row>
      <xdr:rowOff>49696</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56029</xdr:colOff>
      <xdr:row>4</xdr:row>
      <xdr:rowOff>156883</xdr:rowOff>
    </xdr:from>
    <xdr:to>
      <xdr:col>11</xdr:col>
      <xdr:colOff>1333501</xdr:colOff>
      <xdr:row>49</xdr:row>
      <xdr:rowOff>22412</xdr:rowOff>
    </xdr:to>
    <xdr:sp macro="" textlink="">
      <xdr:nvSpPr>
        <xdr:cNvPr id="3" name="CuadroTexto 2"/>
        <xdr:cNvSpPr txBox="1"/>
      </xdr:nvSpPr>
      <xdr:spPr>
        <a:xfrm>
          <a:off x="56029" y="918883"/>
          <a:ext cx="11508443" cy="851647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abril 2016 ascienden a un monto total de RD$264,686,354,620.85, de los cuales RD$</a:t>
          </a:r>
          <a:r>
            <a:rPr lang="es-ES" sz="1400">
              <a:solidFill>
                <a:sysClr val="windowText" lastClr="000000"/>
              </a:solidFill>
              <a:effectLst/>
              <a:latin typeface="+mn-lt"/>
              <a:ea typeface="+mn-ea"/>
              <a:cs typeface="+mn-cs"/>
            </a:rPr>
            <a:t> 211,404,104,144.28 </a:t>
          </a:r>
          <a:r>
            <a:rPr lang="es-DO" sz="1400">
              <a:solidFill>
                <a:sysClr val="windowText" lastClr="000000"/>
              </a:solidFill>
              <a:effectLst/>
              <a:latin typeface="+mn-lt"/>
              <a:ea typeface="+mn-ea"/>
              <a:cs typeface="+mn-cs"/>
            </a:rPr>
            <a:t>han si asignados a Capitalización Individual y Reparto, representando un 79.9%; al Seguro de Vida RD$ 22,854,593,012.79 (8.6%); Comisión AFP RD$ 13,011,454,550.87 (4.9%);  Comisión SIPEN RD$2,012,428,201.46 (0.8%) y por último RD$ 10,341,938,463.29  desembolsado al Fondo de Solidaridad Social (FSS), equivalente al 3.9% del total de la recaudación individualizada. Cabe destacar que el FSS representa el 2.7% del patrimonio total del Sistema Dominicano de Pensiones.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En el período julio 2003 al mes de abril 2016 el patrimonio de los fondos de pensiones ha alcanzó un monto acumulado de RD$ 389,901.69 millones, representando el un 12.90% del Producto Interno Bruto (PIB) y en diciembre de 2003 se contaba con un patrimonio de RD$6,849.88 millones lo que al mes de abril 2016 se ha multiplicado 56.9 veces.  Hasta diciembre 2015 se había experimentado un crecimiento promedio anual de </a:t>
          </a:r>
          <a:r>
            <a:rPr lang="es-DO" sz="1400" baseline="0">
              <a:solidFill>
                <a:sysClr val="windowText" lastClr="000000"/>
              </a:solidFill>
              <a:effectLst/>
              <a:latin typeface="+mn-lt"/>
              <a:ea typeface="+mn-ea"/>
              <a:cs typeface="+mn-cs"/>
            </a:rPr>
            <a:t>32.21</a:t>
          </a:r>
          <a:r>
            <a:rPr lang="es-DO" sz="1400">
              <a:solidFill>
                <a:sysClr val="windowText" lastClr="000000"/>
              </a:solidFill>
              <a:effectLst/>
              <a:latin typeface="+mn-lt"/>
              <a:ea typeface="+mn-ea"/>
              <a:cs typeface="+mn-cs"/>
            </a:rPr>
            <a:t>%.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La Cartera total de Inversión de los fondos de pensiones a marzo 2016, ascendió a un monto de  RD$351,081,328,321.24.</a:t>
          </a:r>
          <a:r>
            <a:rPr lang="es-DO" sz="1400" baseline="0">
              <a:solidFill>
                <a:sysClr val="windowText" lastClr="000000"/>
              </a:solidFill>
              <a:effectLst/>
              <a:latin typeface="+mn-lt"/>
              <a:ea typeface="+mn-ea"/>
              <a:cs typeface="+mn-cs"/>
            </a:rPr>
            <a:t> </a:t>
          </a:r>
          <a:r>
            <a:rPr lang="es-DO" sz="1400">
              <a:solidFill>
                <a:sysClr val="windowText" lastClr="000000"/>
              </a:solidFill>
              <a:effectLst/>
              <a:latin typeface="+mn-lt"/>
              <a:ea typeface="+mn-ea"/>
              <a:cs typeface="+mn-cs"/>
            </a:rPr>
            <a:t>La composición por tipo de emisor de  instrumento de inversión, se observa que el 95% está colocada en tres tipos de  emisores principales: Banco Central contiene el 46.3%;  el 26%  en Bancos Múltiples y el  22.7%  en la cartera del Ministerio de Hacienda.   En cuanto a la de la diversificación por instrumentos financieros el  32.80% están colocados en certificados de ventanillas; el 21.06% en certificado de depósitos; el 22.71% en bonos del Gobierno Central; el 13.48% en nota de renta fija;  8.87% en otros bonos (ordinarios, corporativos o subordinados) y el 1.08% en otras inversiones.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Desde diciembre 2003 hasta abril 2016,  la rentabilidad nominal promedio de los fondos de pensiones tanto de la Cuenta de Capitalización Individual como del sistema en general, ha tenido un comportamiento similar, acorde a los cambios de las tasas de interés en la economía.   Para  el mes de abril 2016 la tasa promedio del sistema es de 10.48% y la tasa promedio de la CCI es de 9.94%.   Utilizando la inflación acumulada disponible en el Banco Central de la República Dominicana, se estima una rentabilidad real es de un 8.73% al mes de abril 2016.  </a:t>
          </a:r>
        </a:p>
        <a:p>
          <a:r>
            <a:rPr lang="es-DO" sz="1400">
              <a:solidFill>
                <a:sysClr val="windowText" lastClr="000000"/>
              </a:solidFill>
              <a:effectLst/>
              <a:latin typeface="+mn-lt"/>
              <a:ea typeface="+mn-ea"/>
              <a:cs typeface="+mn-cs"/>
            </a:rPr>
            <a:t> </a:t>
          </a:r>
        </a:p>
        <a:p>
          <a:endParaRPr lang="es-DO" sz="14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9524</xdr:colOff>
      <xdr:row>4</xdr:row>
      <xdr:rowOff>85725</xdr:rowOff>
    </xdr:to>
    <xdr:sp macro="" textlink="">
      <xdr:nvSpPr>
        <xdr:cNvPr id="4" name="3 Rectángulo redondeado"/>
        <xdr:cNvSpPr/>
      </xdr:nvSpPr>
      <xdr:spPr>
        <a:xfrm>
          <a:off x="0" y="0"/>
          <a:ext cx="9667874"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Sistema Dominicano de Seguridad Social (SDSS)</a:t>
          </a:r>
          <a:endParaRPr lang="es-ES" sz="1800">
            <a:effectLst/>
          </a:endParaRPr>
        </a:p>
        <a:p>
          <a:pPr algn="ctr" eaLnBrk="1" fontAlgn="auto" latinLnBrk="0" hangingPunct="1"/>
          <a:r>
            <a:rPr lang="es-DO" sz="1800" b="1">
              <a:solidFill>
                <a:schemeClr val="lt1"/>
              </a:solidFill>
              <a:effectLst/>
              <a:latin typeface="+mn-lt"/>
              <a:ea typeface="+mn-ea"/>
              <a:cs typeface="+mn-cs"/>
            </a:rPr>
            <a:t>Pagos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Seguro de Vejez, Discapacidad y Sobrevivencia (SVDS)</a:t>
          </a:r>
          <a:endParaRPr lang="es-ES" sz="1800">
            <a:effectLst/>
          </a:endParaRPr>
        </a:p>
      </xdr:txBody>
    </xdr:sp>
    <xdr:clientData/>
  </xdr:twoCellAnchor>
  <xdr:twoCellAnchor editAs="oneCell">
    <xdr:from>
      <xdr:col>0</xdr:col>
      <xdr:colOff>374836</xdr:colOff>
      <xdr:row>0</xdr:row>
      <xdr:rowOff>149038</xdr:rowOff>
    </xdr:from>
    <xdr:to>
      <xdr:col>1</xdr:col>
      <xdr:colOff>357648</xdr:colOff>
      <xdr:row>3</xdr:row>
      <xdr:rowOff>76200</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4836" y="149038"/>
          <a:ext cx="744812" cy="49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138545</xdr:colOff>
      <xdr:row>19</xdr:row>
      <xdr:rowOff>155863</xdr:rowOff>
    </xdr:from>
    <xdr:to>
      <xdr:col>11</xdr:col>
      <xdr:colOff>519547</xdr:colOff>
      <xdr:row>57</xdr:row>
      <xdr:rowOff>163284</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2003 -  Abril 2016</a:t>
          </a:r>
          <a:endParaRPr lang="es-DO" sz="3600">
            <a:effectLst/>
          </a:endParaRPr>
        </a:p>
      </xdr:txBody>
    </xdr:sp>
    <xdr:clientData/>
  </xdr:twoCellAnchor>
  <xdr:twoCellAnchor editAs="oneCell">
    <xdr:from>
      <xdr:col>0</xdr:col>
      <xdr:colOff>721179</xdr:colOff>
      <xdr:row>0</xdr:row>
      <xdr:rowOff>163285</xdr:rowOff>
    </xdr:from>
    <xdr:to>
      <xdr:col>0</xdr:col>
      <xdr:colOff>1477365</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0.0473</cdr:x>
      <cdr:y>0.91475</cdr:y>
    </cdr:from>
    <cdr:to>
      <cdr:x>0.20211</cdr:x>
      <cdr:y>0.95597</cdr:y>
    </cdr:to>
    <cdr:sp macro="" textlink="">
      <cdr:nvSpPr>
        <cdr:cNvPr id="2" name="1 CuadroTexto"/>
        <cdr:cNvSpPr txBox="1"/>
      </cdr:nvSpPr>
      <cdr:spPr>
        <a:xfrm xmlns:a="http://schemas.openxmlformats.org/drawingml/2006/main">
          <a:off x="573883" y="6842157"/>
          <a:ext cx="1878386" cy="3083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TSS</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0</xdr:colOff>
      <xdr:row>12</xdr:row>
      <xdr:rowOff>42190</xdr:rowOff>
    </xdr:from>
    <xdr:to>
      <xdr:col>15</xdr:col>
      <xdr:colOff>1255059</xdr:colOff>
      <xdr:row>38</xdr:row>
      <xdr:rowOff>582706</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Abril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0.0754</cdr:x>
      <cdr:y>0.90678</cdr:y>
    </cdr:from>
    <cdr:to>
      <cdr:x>0.27451</cdr:x>
      <cdr:y>0.95224</cdr:y>
    </cdr:to>
    <cdr:sp macro="" textlink="">
      <cdr:nvSpPr>
        <cdr:cNvPr id="2" name="1 CuadroTexto"/>
        <cdr:cNvSpPr txBox="1"/>
      </cdr:nvSpPr>
      <cdr:spPr>
        <a:xfrm xmlns:a="http://schemas.openxmlformats.org/drawingml/2006/main">
          <a:off x="996587" y="5220844"/>
          <a:ext cx="2631816" cy="261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0</xdr:colOff>
      <xdr:row>19</xdr:row>
      <xdr:rowOff>59232</xdr:rowOff>
    </xdr:from>
    <xdr:to>
      <xdr:col>11</xdr:col>
      <xdr:colOff>1212273</xdr:colOff>
      <xdr:row>71</xdr:row>
      <xdr:rowOff>69272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1469570</xdr:colOff>
      <xdr:row>0</xdr:row>
      <xdr:rowOff>843643</xdr:rowOff>
    </xdr:to>
    <xdr:sp macro="" textlink="">
      <xdr:nvSpPr>
        <xdr:cNvPr id="4" name="4 Rectángulo redondeado"/>
        <xdr:cNvSpPr/>
      </xdr:nvSpPr>
      <xdr:spPr>
        <a:xfrm>
          <a:off x="0" y="0"/>
          <a:ext cx="15920356" cy="843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2007 -  Abril 2016</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xdr:row>
      <xdr:rowOff>48227</xdr:rowOff>
    </xdr:from>
    <xdr:to>
      <xdr:col>9</xdr:col>
      <xdr:colOff>916328</xdr:colOff>
      <xdr:row>42</xdr:row>
      <xdr:rowOff>204968</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2005 -  Abril 2016</a:t>
          </a:r>
          <a:endParaRPr lang="es-DO" sz="2800">
            <a:effectLst/>
          </a:endParaRPr>
        </a:p>
      </xdr:txBody>
    </xdr:sp>
    <xdr:clientData/>
  </xdr:twoCellAnchor>
  <xdr:twoCellAnchor editAs="oneCell">
    <xdr:from>
      <xdr:col>0</xdr:col>
      <xdr:colOff>783703</xdr:colOff>
      <xdr:row>0</xdr:row>
      <xdr:rowOff>180853</xdr:rowOff>
    </xdr:from>
    <xdr:to>
      <xdr:col>1</xdr:col>
      <xdr:colOff>426937</xdr:colOff>
      <xdr:row>0</xdr:row>
      <xdr:rowOff>723778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3703" y="18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3.xml><?xml version="1.0" encoding="utf-8"?>
<c:userShapes xmlns:c="http://schemas.openxmlformats.org/drawingml/2006/chart">
  <cdr:relSizeAnchor xmlns:cdr="http://schemas.openxmlformats.org/drawingml/2006/chartDrawing">
    <cdr:from>
      <cdr:x>0.04765</cdr:x>
      <cdr:y>0.91781</cdr:y>
    </cdr:from>
    <cdr:to>
      <cdr:x>0.32882</cdr:x>
      <cdr:y>0.96137</cdr:y>
    </cdr:to>
    <cdr:sp macro="" textlink="">
      <cdr:nvSpPr>
        <cdr:cNvPr id="2" name="2 CuadroTexto"/>
        <cdr:cNvSpPr txBox="1"/>
      </cdr:nvSpPr>
      <cdr:spPr>
        <a:xfrm xmlns:a="http://schemas.openxmlformats.org/drawingml/2006/main">
          <a:off x="830118" y="7168572"/>
          <a:ext cx="4898571" cy="34017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SISALRIL</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11205</xdr:colOff>
      <xdr:row>1</xdr:row>
      <xdr:rowOff>81642</xdr:rowOff>
    </xdr:to>
    <xdr:sp macro="" textlink="">
      <xdr:nvSpPr>
        <xdr:cNvPr id="4" name="3 Rectángulo redondeado"/>
        <xdr:cNvSpPr/>
      </xdr:nvSpPr>
      <xdr:spPr>
        <a:xfrm>
          <a:off x="0" y="0"/>
          <a:ext cx="13794440" cy="8996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600" b="1">
              <a:solidFill>
                <a:schemeClr val="lt1"/>
              </a:solidFill>
              <a:effectLst/>
              <a:latin typeface="+mn-lt"/>
              <a:ea typeface="+mn-ea"/>
              <a:cs typeface="+mn-cs"/>
            </a:rPr>
            <a:t>Marzo 2016</a:t>
          </a:r>
          <a:endParaRPr lang="es-DO" sz="24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xdr:row>
      <xdr:rowOff>40821</xdr:rowOff>
    </xdr:from>
    <xdr:to>
      <xdr:col>9</xdr:col>
      <xdr:colOff>557893</xdr:colOff>
      <xdr:row>53</xdr:row>
      <xdr:rowOff>81642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1537608</xdr:colOff>
      <xdr:row>0</xdr:row>
      <xdr:rowOff>870856</xdr:rowOff>
    </xdr:to>
    <xdr:sp macro="" textlink="">
      <xdr:nvSpPr>
        <xdr:cNvPr id="4" name="3 Rectángulo redondeado"/>
        <xdr:cNvSpPr/>
      </xdr:nvSpPr>
      <xdr:spPr>
        <a:xfrm>
          <a:off x="0" y="0"/>
          <a:ext cx="12436929" cy="8708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a:solidFill>
                <a:schemeClr val="lt1"/>
              </a:solidFill>
              <a:effectLst/>
              <a:latin typeface="+mn-lt"/>
              <a:ea typeface="+mn-ea"/>
              <a:cs typeface="+mn-cs"/>
            </a:rPr>
            <a:t>Marzo 2016</a:t>
          </a:r>
          <a:endParaRPr lang="es-DO" sz="2400">
            <a:effectLst/>
          </a:endParaRPr>
        </a:p>
      </xdr:txBody>
    </xdr:sp>
    <xdr:clientData/>
  </xdr:twoCellAnchor>
  <xdr:twoCellAnchor editAs="oneCell">
    <xdr:from>
      <xdr:col>0</xdr:col>
      <xdr:colOff>504264</xdr:colOff>
      <xdr:row>0</xdr:row>
      <xdr:rowOff>156883</xdr:rowOff>
    </xdr:from>
    <xdr:to>
      <xdr:col>0</xdr:col>
      <xdr:colOff>1176618</xdr:colOff>
      <xdr:row>0</xdr:row>
      <xdr:rowOff>705614</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3"/>
          <a:ext cx="672354" cy="54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xdr:row>
      <xdr:rowOff>87965</xdr:rowOff>
    </xdr:from>
    <xdr:to>
      <xdr:col>7</xdr:col>
      <xdr:colOff>1434352</xdr:colOff>
      <xdr:row>51</xdr:row>
      <xdr:rowOff>100852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69273</xdr:colOff>
      <xdr:row>68</xdr:row>
      <xdr:rowOff>86590</xdr:rowOff>
    </xdr:from>
    <xdr:to>
      <xdr:col>18</xdr:col>
      <xdr:colOff>623453</xdr:colOff>
      <xdr:row>112</xdr:row>
      <xdr:rowOff>103909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Junio 2005 -  Abril 2016</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0</xdr:colOff>
      <xdr:row>18</xdr:row>
      <xdr:rowOff>138546</xdr:rowOff>
    </xdr:from>
    <xdr:to>
      <xdr:col>14</xdr:col>
      <xdr:colOff>692727</xdr:colOff>
      <xdr:row>66</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Abril 2016</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2</xdr:col>
      <xdr:colOff>429933</xdr:colOff>
      <xdr:row>6</xdr:row>
      <xdr:rowOff>80683</xdr:rowOff>
    </xdr:from>
    <xdr:to>
      <xdr:col>6</xdr:col>
      <xdr:colOff>714374</xdr:colOff>
      <xdr:row>26</xdr:row>
      <xdr:rowOff>95251</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53933" y="1223683"/>
          <a:ext cx="3561041" cy="3824568"/>
        </a:xfrm>
        <a:prstGeom prst="rect">
          <a:avLst/>
        </a:prstGeom>
        <a:noFill/>
        <a:ln>
          <a:noFill/>
        </a:ln>
      </xdr:spPr>
    </xdr:pic>
    <xdr:clientData/>
  </xdr:twoCellAnchor>
  <xdr:twoCellAnchor>
    <xdr:from>
      <xdr:col>0</xdr:col>
      <xdr:colOff>123825</xdr:colOff>
      <xdr:row>4</xdr:row>
      <xdr:rowOff>152399</xdr:rowOff>
    </xdr:from>
    <xdr:to>
      <xdr:col>9</xdr:col>
      <xdr:colOff>561975</xdr:colOff>
      <xdr:row>27</xdr:row>
      <xdr:rowOff>66674</xdr:rowOff>
    </xdr:to>
    <xdr:sp macro="" textlink="">
      <xdr:nvSpPr>
        <xdr:cNvPr id="3" name="CuadroTexto 2"/>
        <xdr:cNvSpPr txBox="1"/>
      </xdr:nvSpPr>
      <xdr:spPr>
        <a:xfrm>
          <a:off x="123825" y="914399"/>
          <a:ext cx="7848600" cy="429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abril 2016,  para prevenir y cubrir daños ocasionados por accidentes de trabajo y/o enfermedades profesionales fue de RD$25,465,365,893.07.</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95.03% de los fondos pagados al SRL, pertenecen a ARL Salud Segura; el 4.10% a la Comisión de la SISALRIL y el 0.87% al Fondo de Solidaridad Social.   El crecimiento anual promedio  pagado a la ARL es de un 11.15%.</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abril 2016,  la suma total pagada ascienden a RD$1,321,657,632.90, distribuidos de la siguiente forma: el 95.43% a ARL Salud Segura; 4.12%  a la Comisión SISALRIL y 0.45% al Fondo de Solidaridad Social del Seguro de Riesgos Laborales (SRL).   Comparándolo con el período anterior del 2015, se observa una variación en los pagos RD$281,745,897.01.</a:t>
          </a:r>
        </a:p>
      </xdr:txBody>
    </xdr:sp>
    <xdr:clientData/>
  </xdr:twoCellAnchor>
  <xdr:twoCellAnchor>
    <xdr:from>
      <xdr:col>0</xdr:col>
      <xdr:colOff>0</xdr:colOff>
      <xdr:row>0</xdr:row>
      <xdr:rowOff>0</xdr:rowOff>
    </xdr:from>
    <xdr:to>
      <xdr:col>10</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65241</xdr:colOff>
      <xdr:row>17</xdr:row>
      <xdr:rowOff>130479</xdr:rowOff>
    </xdr:from>
    <xdr:to>
      <xdr:col>11</xdr:col>
      <xdr:colOff>1030789</xdr:colOff>
      <xdr:row>52</xdr:row>
      <xdr:rowOff>68762</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Febrero 2005 - Abril 2016</a:t>
          </a:r>
          <a:endParaRPr lang="es-DO" sz="2800">
            <a:effectLst/>
          </a:endParaRPr>
        </a:p>
      </xdr:txBody>
    </xdr:sp>
    <xdr:clientData/>
  </xdr:twoCellAnchor>
  <xdr:twoCellAnchor editAs="oneCell">
    <xdr:from>
      <xdr:col>0</xdr:col>
      <xdr:colOff>482772</xdr:colOff>
      <xdr:row>0</xdr:row>
      <xdr:rowOff>195718</xdr:rowOff>
    </xdr:from>
    <xdr:to>
      <xdr:col>1</xdr:col>
      <xdr:colOff>86386</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9.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78442</xdr:colOff>
      <xdr:row>17</xdr:row>
      <xdr:rowOff>67236</xdr:rowOff>
    </xdr:from>
    <xdr:to>
      <xdr:col>11</xdr:col>
      <xdr:colOff>537883</xdr:colOff>
      <xdr:row>43</xdr:row>
      <xdr:rowOff>22414</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Abril 2015 - Abril 2016</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57</xdr:row>
      <xdr:rowOff>68036</xdr:rowOff>
    </xdr:from>
    <xdr:to>
      <xdr:col>2</xdr:col>
      <xdr:colOff>585107</xdr:colOff>
      <xdr:row>59</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13</xdr:row>
      <xdr:rowOff>51954</xdr:rowOff>
    </xdr:from>
    <xdr:to>
      <xdr:col>13</xdr:col>
      <xdr:colOff>1541318</xdr:colOff>
      <xdr:row>76</xdr:row>
      <xdr:rowOff>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1229591</xdr:rowOff>
    </xdr:to>
    <xdr:sp macro="" textlink="">
      <xdr:nvSpPr>
        <xdr:cNvPr id="6" name="5 Rectángulo redondeado"/>
        <xdr:cNvSpPr/>
      </xdr:nvSpPr>
      <xdr:spPr>
        <a:xfrm>
          <a:off x="0" y="0"/>
          <a:ext cx="16123227" cy="1229591"/>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 </a:t>
          </a:r>
          <a:r>
            <a:rPr lang="es-DO" sz="2000" b="1" baseline="0">
              <a:solidFill>
                <a:schemeClr val="lt1"/>
              </a:solidFill>
              <a:effectLst/>
              <a:latin typeface="+mn-lt"/>
              <a:ea typeface="+mn-ea"/>
              <a:cs typeface="+mn-cs"/>
            </a:rPr>
            <a:t> Abril 2016</a:t>
          </a:r>
          <a:endParaRPr lang="es-DO" sz="6000">
            <a:effectLst/>
          </a:endParaRPr>
        </a:p>
      </xdr:txBody>
    </xdr:sp>
    <xdr:clientData/>
  </xdr:twoCellAnchor>
  <xdr:twoCellAnchor editAs="oneCell">
    <xdr:from>
      <xdr:col>0</xdr:col>
      <xdr:colOff>554181</xdr:colOff>
      <xdr:row>0</xdr:row>
      <xdr:rowOff>190498</xdr:rowOff>
    </xdr:from>
    <xdr:to>
      <xdr:col>1</xdr:col>
      <xdr:colOff>277091</xdr:colOff>
      <xdr:row>0</xdr:row>
      <xdr:rowOff>1008809</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190498"/>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41.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14</xdr:row>
      <xdr:rowOff>44824</xdr:rowOff>
    </xdr:to>
    <xdr:sp macro="" textlink="">
      <xdr:nvSpPr>
        <xdr:cNvPr id="3" name="2 CuadroTexto"/>
        <xdr:cNvSpPr txBox="1"/>
      </xdr:nvSpPr>
      <xdr:spPr>
        <a:xfrm>
          <a:off x="1411940" y="1378325"/>
          <a:ext cx="7888942" cy="133349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2</xdr:col>
      <xdr:colOff>534755</xdr:colOff>
      <xdr:row>6</xdr:row>
      <xdr:rowOff>58060</xdr:rowOff>
    </xdr:from>
    <xdr:to>
      <xdr:col>7</xdr:col>
      <xdr:colOff>604630</xdr:colOff>
      <xdr:row>26</xdr:row>
      <xdr:rowOff>183191</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058755" y="1201060"/>
          <a:ext cx="3747353" cy="3943414"/>
        </a:xfrm>
        <a:prstGeom prst="rect">
          <a:avLst/>
        </a:prstGeom>
        <a:noFill/>
        <a:ln>
          <a:noFill/>
        </a:ln>
      </xdr:spPr>
    </xdr:pic>
    <xdr:clientData/>
  </xdr:twoCellAnchor>
  <xdr:twoCellAnchor>
    <xdr:from>
      <xdr:col>0</xdr:col>
      <xdr:colOff>66261</xdr:colOff>
      <xdr:row>3</xdr:row>
      <xdr:rowOff>107674</xdr:rowOff>
    </xdr:from>
    <xdr:to>
      <xdr:col>10</xdr:col>
      <xdr:colOff>496957</xdr:colOff>
      <xdr:row>32</xdr:row>
      <xdr:rowOff>16564</xdr:rowOff>
    </xdr:to>
    <xdr:sp macro="" textlink="">
      <xdr:nvSpPr>
        <xdr:cNvPr id="3" name="1 CuadroTexto"/>
        <xdr:cNvSpPr txBox="1"/>
      </xdr:nvSpPr>
      <xdr:spPr>
        <a:xfrm>
          <a:off x="66261" y="679174"/>
          <a:ext cx="7918174" cy="544167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las al mes de abril 2016 es de 5,886</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cubierto por RC. Para</a:t>
          </a:r>
          <a:r>
            <a:rPr lang="en-US" sz="1400" baseline="0">
              <a:solidFill>
                <a:sysClr val="windowText" lastClr="000000"/>
              </a:solidFill>
              <a:effectLst/>
              <a:latin typeface="+mn-lt"/>
              <a:ea typeface="+mn-ea"/>
              <a:cs typeface="+mn-cs"/>
            </a:rPr>
            <a:t> el mismo mes de abril 2016, </a:t>
          </a:r>
          <a:r>
            <a:rPr lang="en-US" sz="1400">
              <a:solidFill>
                <a:sysClr val="windowText" lastClr="000000"/>
              </a:solidFill>
              <a:effectLst/>
              <a:latin typeface="+mn-lt"/>
              <a:ea typeface="+mn-ea"/>
              <a:cs typeface="+mn-cs"/>
            </a:rPr>
            <a:t>se ha desembolso a la Administradora de Estancias Infantiles (AEISS) un total de RD$11,772,000.0.  Desde mayo 2009 al mes de abril 2016 la cobertura ha crecido más de 10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abril 2016 la cuenta de Estancias Infantiles posee inversiones en certificados financieros por un monto de RD$927,135,368.63.</a:t>
          </a:r>
        </a:p>
      </xdr:txBody>
    </xdr:sp>
    <xdr:clientData/>
  </xdr:twoCellAnchor>
  <xdr:twoCellAnchor>
    <xdr:from>
      <xdr:col>0</xdr:col>
      <xdr:colOff>0</xdr:colOff>
      <xdr:row>0</xdr:row>
      <xdr:rowOff>1</xdr:rowOff>
    </xdr:from>
    <xdr:to>
      <xdr:col>10</xdr:col>
      <xdr:colOff>752475</xdr:colOff>
      <xdr:row>3</xdr:row>
      <xdr:rowOff>19051</xdr:rowOff>
    </xdr:to>
    <xdr:sp macro="" textlink="">
      <xdr:nvSpPr>
        <xdr:cNvPr id="4" name="4 Rectángulo redondeado"/>
        <xdr:cNvSpPr/>
      </xdr:nvSpPr>
      <xdr:spPr>
        <a:xfrm>
          <a:off x="0" y="1"/>
          <a:ext cx="8239125" cy="5905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51955</xdr:colOff>
      <xdr:row>21</xdr:row>
      <xdr:rowOff>243383</xdr:rowOff>
    </xdr:from>
    <xdr:to>
      <xdr:col>10</xdr:col>
      <xdr:colOff>1679864</xdr:colOff>
      <xdr:row>57</xdr:row>
      <xdr:rowOff>34636</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Mayo 2009 - Abril </a:t>
          </a:r>
          <a:r>
            <a:rPr lang="es-DO" sz="2400" b="1">
              <a:effectLst/>
              <a:latin typeface="+mn-lt"/>
            </a:rPr>
            <a:t>2016</a:t>
          </a: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658091</xdr:colOff>
      <xdr:row>53</xdr:row>
      <xdr:rowOff>121228</xdr:rowOff>
    </xdr:from>
    <xdr:to>
      <xdr:col>4</xdr:col>
      <xdr:colOff>1316181</xdr:colOff>
      <xdr:row>56</xdr:row>
      <xdr:rowOff>34637</xdr:rowOff>
    </xdr:to>
    <xdr:sp macro="" textlink="">
      <xdr:nvSpPr>
        <xdr:cNvPr id="4" name="CuadroTexto 3"/>
        <xdr:cNvSpPr txBox="1"/>
      </xdr:nvSpPr>
      <xdr:spPr>
        <a:xfrm>
          <a:off x="658091" y="14148955"/>
          <a:ext cx="6234545" cy="4849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Informes de la TSS</a:t>
          </a:r>
        </a:p>
      </xdr:txBody>
    </xdr:sp>
    <xdr:clientData/>
  </xdr:twoCellAnchor>
</xdr:wsDr>
</file>

<file path=xl/drawings/drawing146.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56030</xdr:colOff>
      <xdr:row>12</xdr:row>
      <xdr:rowOff>44823</xdr:rowOff>
    </xdr:from>
    <xdr:to>
      <xdr:col>8</xdr:col>
      <xdr:colOff>1815353</xdr:colOff>
      <xdr:row>42</xdr:row>
      <xdr:rowOff>78441</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Abril 2016</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638735</xdr:colOff>
      <xdr:row>40</xdr:row>
      <xdr:rowOff>134471</xdr:rowOff>
    </xdr:from>
    <xdr:to>
      <xdr:col>3</xdr:col>
      <xdr:colOff>291353</xdr:colOff>
      <xdr:row>42</xdr:row>
      <xdr:rowOff>44824</xdr:rowOff>
    </xdr:to>
    <xdr:sp macro="" textlink="">
      <xdr:nvSpPr>
        <xdr:cNvPr id="4" name="CuadroTexto 3"/>
        <xdr:cNvSpPr txBox="1"/>
      </xdr:nvSpPr>
      <xdr:spPr>
        <a:xfrm>
          <a:off x="638735" y="8594912"/>
          <a:ext cx="3059206"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TSS</a:t>
          </a:r>
        </a:p>
      </xdr:txBody>
    </xdr:sp>
    <xdr:clientData/>
  </xdr:twoCellAnchor>
</xdr:wsDr>
</file>

<file path=xl/drawings/drawing147.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168088</xdr:rowOff>
    </xdr:to>
    <xdr:sp macro="" textlink="">
      <xdr:nvSpPr>
        <xdr:cNvPr id="4" name="6 Rectángulo redondeado"/>
        <xdr:cNvSpPr/>
      </xdr:nvSpPr>
      <xdr:spPr>
        <a:xfrm>
          <a:off x="0" y="0"/>
          <a:ext cx="10488706"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324972</xdr:colOff>
      <xdr:row>0</xdr:row>
      <xdr:rowOff>179294</xdr:rowOff>
    </xdr:from>
    <xdr:to>
      <xdr:col>1</xdr:col>
      <xdr:colOff>358590</xdr:colOff>
      <xdr:row>3</xdr:row>
      <xdr:rowOff>176094</xdr:rowOff>
    </xdr:to>
    <xdr:pic>
      <xdr:nvPicPr>
        <xdr:cNvPr id="5" name="5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972" y="179294"/>
          <a:ext cx="795618" cy="5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324972</xdr:colOff>
      <xdr:row>0</xdr:row>
      <xdr:rowOff>179294</xdr:rowOff>
    </xdr:from>
    <xdr:to>
      <xdr:col>1</xdr:col>
      <xdr:colOff>315447</xdr:colOff>
      <xdr:row>3</xdr:row>
      <xdr:rowOff>150719</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2" y="17929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0.04876</cdr:x>
      <cdr:y>0.92905</cdr:y>
    </cdr:from>
    <cdr:to>
      <cdr:x>0.33951</cdr:x>
      <cdr:y>0.988</cdr:y>
    </cdr:to>
    <cdr:sp macro="" textlink="">
      <cdr:nvSpPr>
        <cdr:cNvPr id="2" name="2 CuadroTexto"/>
        <cdr:cNvSpPr txBox="1"/>
      </cdr:nvSpPr>
      <cdr:spPr>
        <a:xfrm xmlns:a="http://schemas.openxmlformats.org/drawingml/2006/main">
          <a:off x="781946" y="8109104"/>
          <a:ext cx="4662652" cy="51453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7</xdr:row>
      <xdr:rowOff>161924</xdr:rowOff>
    </xdr:from>
    <xdr:to>
      <xdr:col>13</xdr:col>
      <xdr:colOff>1323974</xdr:colOff>
      <xdr:row>33</xdr:row>
      <xdr:rowOff>57149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13</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13</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Marzo</a:t>
          </a:r>
          <a:r>
            <a:rPr lang="es-DO" sz="1400" b="1" baseline="0">
              <a:solidFill>
                <a:schemeClr val="lt1"/>
              </a:solidFill>
              <a:effectLst/>
              <a:latin typeface="+mn-lt"/>
              <a:ea typeface="+mn-ea"/>
              <a:cs typeface="+mn-cs"/>
            </a:rPr>
            <a:t> 2016</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7</xdr:row>
      <xdr:rowOff>163286</xdr:rowOff>
    </xdr:from>
    <xdr:to>
      <xdr:col>13</xdr:col>
      <xdr:colOff>779318</xdr:colOff>
      <xdr:row>33</xdr:row>
      <xdr:rowOff>155864</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762000</xdr:colOff>
      <xdr:row>1</xdr:row>
      <xdr:rowOff>0</xdr:rowOff>
    </xdr:to>
    <xdr:sp macro="" textlink="">
      <xdr:nvSpPr>
        <xdr:cNvPr id="4" name="6 Rectángulo redondeado"/>
        <xdr:cNvSpPr/>
      </xdr:nvSpPr>
      <xdr:spPr>
        <a:xfrm>
          <a:off x="0" y="0"/>
          <a:ext cx="19852821"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2008  - Marzo 2016</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c:userShapes xmlns:c="http://schemas.openxmlformats.org/drawingml/2006/chart">
  <cdr:relSizeAnchor xmlns:cdr="http://schemas.openxmlformats.org/drawingml/2006/chartDrawing">
    <cdr:from>
      <cdr:x>0.03158</cdr:x>
      <cdr:y>0.923</cdr:y>
    </cdr:from>
    <cdr:to>
      <cdr:x>0.49311</cdr:x>
      <cdr:y>0.98679</cdr:y>
    </cdr:to>
    <cdr:sp macro="" textlink="">
      <cdr:nvSpPr>
        <cdr:cNvPr id="2" name="4 CuadroTexto"/>
        <cdr:cNvSpPr txBox="1"/>
      </cdr:nvSpPr>
      <cdr:spPr>
        <a:xfrm xmlns:a="http://schemas.openxmlformats.org/drawingml/2006/main">
          <a:off x="591755" y="7058396"/>
          <a:ext cx="8648275" cy="48779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53.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43295</xdr:colOff>
      <xdr:row>19</xdr:row>
      <xdr:rowOff>138544</xdr:rowOff>
    </xdr:from>
    <xdr:to>
      <xdr:col>11</xdr:col>
      <xdr:colOff>865909</xdr:colOff>
      <xdr:row>60</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Abril</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57</xdr:row>
      <xdr:rowOff>34637</xdr:rowOff>
    </xdr:from>
    <xdr:to>
      <xdr:col>4</xdr:col>
      <xdr:colOff>1073728</xdr:colOff>
      <xdr:row>59</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40821</xdr:colOff>
      <xdr:row>13</xdr:row>
      <xdr:rowOff>54428</xdr:rowOff>
    </xdr:from>
    <xdr:to>
      <xdr:col>13</xdr:col>
      <xdr:colOff>666749</xdr:colOff>
      <xdr:row>53</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Marzo 2016</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1</xdr:colOff>
      <xdr:row>13</xdr:row>
      <xdr:rowOff>38100</xdr:rowOff>
    </xdr:from>
    <xdr:to>
      <xdr:col>8</xdr:col>
      <xdr:colOff>1181100</xdr:colOff>
      <xdr:row>33</xdr:row>
      <xdr:rowOff>104776</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Marzo 2016</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10</xdr:col>
      <xdr:colOff>145676</xdr:colOff>
      <xdr:row>36</xdr:row>
      <xdr:rowOff>94520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89647</xdr:colOff>
      <xdr:row>4</xdr:row>
      <xdr:rowOff>145676</xdr:rowOff>
    </xdr:from>
    <xdr:to>
      <xdr:col>13</xdr:col>
      <xdr:colOff>628650</xdr:colOff>
      <xdr:row>40</xdr:row>
      <xdr:rowOff>57150</xdr:rowOff>
    </xdr:to>
    <xdr:sp macro="" textlink="">
      <xdr:nvSpPr>
        <xdr:cNvPr id="3" name="1 CuadroTexto"/>
        <xdr:cNvSpPr txBox="1"/>
      </xdr:nvSpPr>
      <xdr:spPr>
        <a:xfrm>
          <a:off x="89647" y="917201"/>
          <a:ext cx="10311653" cy="7131424"/>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abril 2016 es de 216,832 reportes.  El 98.6% de los reportes son de accidentes laborales y el 1.4% por enfermedades profesionales.   El incremento promedio anual de los reportes  de accidentes es de 25.8%, en el período enero 2005 a diciembre 2015.   En el mismo período, las provincias Altagracia, Santiago de los Caballeros, La Romana y Distrito Nacional han, ha reportó el 70.1%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abril 2016, el total de reportes de accidentes laborales y enfermedades profesionales fue de </a:t>
          </a:r>
          <a:r>
            <a:rPr lang="es-ES" sz="1400" baseline="0">
              <a:solidFill>
                <a:sysClr val="windowText" lastClr="000000"/>
              </a:solidFill>
              <a:effectLst/>
              <a:latin typeface="+mn-lt"/>
              <a:ea typeface="+mn-ea"/>
              <a:cs typeface="+mn-cs"/>
            </a:rPr>
            <a:t>12,405 </a:t>
          </a:r>
          <a:r>
            <a:rPr lang="en-US" sz="1400" baseline="0">
              <a:solidFill>
                <a:sysClr val="windowText" lastClr="000000"/>
              </a:solidFill>
              <a:effectLst/>
              <a:latin typeface="+mn-lt"/>
              <a:ea typeface="+mn-ea"/>
              <a:cs typeface="+mn-cs"/>
            </a:rPr>
            <a:t>de los cuales 85.7% de los reportes provenían de la zona urbana y el 14.3% de la rural.   Las empresas del sector público reportaron el 17.30% y el 82.70% del privado.  Asimismo,  el 33.3% de los accidentes son del sexo femenino y el 66.7%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abril 2016, el 7.0% de los afiliados tenían edades menores de 20 años y mayor de 60 años.  En cuanto al nivel educativo de los accidentados, el promedio histórico estimado en el período enero 2005  al  mes de abril 2016 es el 3.48%  que no tiene ninguna educación; el 32.08% tiene una básica; el 47.23% a llegado a la educación media y el  9.37%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abril 2016,  se calificaron el 96.9%.    El 94.63% de los casos calificados fueron aprobados y el 5.37%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abril 2016,  el  65.60% fue un accidente  en el trabajo; el  23.02% en el trayecto, el 0.75% conexo,  y el 5.83% de los accidentes no fueron especificados.  Del total de accidentes el  88.45% fue de leve a moderado, el 4.53%  fueron grave o mortales, y el 1.7%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abril 2016, según las circunstancias de los imprevistos el 82.97% de los accidentes fue por factor de trabajo; el  1.86% por falta de organización y el 9.13% fue por factores o actos fuera de normas o personal.  En cuanto al agente dañino productor del accidente el 27.60% fue por medio de transporte; el 23.69% ambiente de trabajo; el 21.79% por herramientas e implementación; el 26.9%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40.80% de los accidentes  reportados fueron en el área de producción y el 27.84% en el área de circulación vehicular o parqueos.  Al mes de abril 2016 el 89.28% de los casos reportados como calificados tenían lesiones Discapacitantes.  El año que  se reporto mayores lesiones Discapacitantes fue el año 2015, con un total de 29,539 representando el 87.26%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abril 2016,  del 100% de los casos  en proceso de investigación, el  77% fueron declinados y el  23% aprobados.  </a:t>
          </a:r>
        </a:p>
      </xdr:txBody>
    </xdr:sp>
    <xdr:clientData/>
  </xdr:twoCellAnchor>
  <xdr:twoCellAnchor>
    <xdr:from>
      <xdr:col>0</xdr:col>
      <xdr:colOff>0</xdr:colOff>
      <xdr:row>0</xdr:row>
      <xdr:rowOff>0</xdr:rowOff>
    </xdr:from>
    <xdr:to>
      <xdr:col>14</xdr:col>
      <xdr:colOff>11205</xdr:colOff>
      <xdr:row>4</xdr:row>
      <xdr:rowOff>67234</xdr:rowOff>
    </xdr:to>
    <xdr:sp macro="" textlink="">
      <xdr:nvSpPr>
        <xdr:cNvPr id="4" name="4 Rectángulo redondeado"/>
        <xdr:cNvSpPr/>
      </xdr:nvSpPr>
      <xdr:spPr>
        <a:xfrm>
          <a:off x="0" y="0"/>
          <a:ext cx="10544734"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459441</xdr:colOff>
      <xdr:row>0</xdr:row>
      <xdr:rowOff>134471</xdr:rowOff>
    </xdr:from>
    <xdr:to>
      <xdr:col>1</xdr:col>
      <xdr:colOff>449916</xdr:colOff>
      <xdr:row>3</xdr:row>
      <xdr:rowOff>105896</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xdr:colOff>
      <xdr:row>2</xdr:row>
      <xdr:rowOff>155863</xdr:rowOff>
    </xdr:to>
    <xdr:sp macro="" textlink="">
      <xdr:nvSpPr>
        <xdr:cNvPr id="3" name="2 Rectángulo redondeado"/>
        <xdr:cNvSpPr/>
      </xdr:nvSpPr>
      <xdr:spPr>
        <a:xfrm>
          <a:off x="0" y="0"/>
          <a:ext cx="18154651" cy="11559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Trabajadores Afiliados Activos al SDSS, por  Sexo y Edad</a:t>
          </a:r>
        </a:p>
        <a:p>
          <a:pPr algn="ctr" eaLnBrk="1" fontAlgn="auto" latinLnBrk="0" hangingPunct="1"/>
          <a:r>
            <a:rPr lang="es-DO" sz="2000" b="1">
              <a:solidFill>
                <a:schemeClr val="lt1"/>
              </a:solidFill>
              <a:effectLst/>
              <a:latin typeface="+mn-lt"/>
              <a:ea typeface="+mn-ea"/>
              <a:cs typeface="+mn-cs"/>
            </a:rPr>
            <a:t>Abril 2016</a:t>
          </a:r>
          <a:endParaRPr lang="es-DO" sz="6000">
            <a:effectLst/>
          </a:endParaRPr>
        </a:p>
      </xdr:txBody>
    </xdr:sp>
    <xdr:clientData/>
  </xdr:twoCellAnchor>
  <xdr:twoCellAnchor editAs="oneCell">
    <xdr:from>
      <xdr:col>0</xdr:col>
      <xdr:colOff>710044</xdr:colOff>
      <xdr:row>1</xdr:row>
      <xdr:rowOff>69273</xdr:rowOff>
    </xdr:from>
    <xdr:to>
      <xdr:col>1</xdr:col>
      <xdr:colOff>138544</xdr:colOff>
      <xdr:row>1</xdr:row>
      <xdr:rowOff>760722</xdr:rowOff>
    </xdr:to>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044" y="240723"/>
          <a:ext cx="1039957"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20</xdr:row>
      <xdr:rowOff>155864</xdr:rowOff>
    </xdr:from>
    <xdr:to>
      <xdr:col>13</xdr:col>
      <xdr:colOff>1835727</xdr:colOff>
      <xdr:row>67</xdr:row>
      <xdr:rowOff>34636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16</xdr:row>
      <xdr:rowOff>95250</xdr:rowOff>
    </xdr:from>
    <xdr:to>
      <xdr:col>9</xdr:col>
      <xdr:colOff>748393</xdr:colOff>
      <xdr:row>49</xdr:row>
      <xdr:rowOff>123264</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346460</xdr:colOff>
      <xdr:row>49</xdr:row>
      <xdr:rowOff>9054</xdr:rowOff>
    </xdr:from>
    <xdr:to>
      <xdr:col>3</xdr:col>
      <xdr:colOff>163791</xdr:colOff>
      <xdr:row>50</xdr:row>
      <xdr:rowOff>134316</xdr:rowOff>
    </xdr:to>
    <xdr:sp macro="" textlink="">
      <xdr:nvSpPr>
        <xdr:cNvPr id="2" name="1 CuadroTexto"/>
        <xdr:cNvSpPr txBox="1"/>
      </xdr:nvSpPr>
      <xdr:spPr>
        <a:xfrm>
          <a:off x="346460" y="10206407"/>
          <a:ext cx="3403213" cy="315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  </a:t>
          </a:r>
          <a:r>
            <a:rPr lang="es-DO" sz="1400" b="0"/>
            <a:t>Página web</a:t>
          </a:r>
          <a:r>
            <a:rPr lang="es-DO" sz="1400" b="0" baseline="0"/>
            <a:t>  de la  </a:t>
          </a:r>
          <a:r>
            <a:rPr lang="es-DO" sz="1400" b="0"/>
            <a:t>ARL</a:t>
          </a:r>
        </a:p>
      </xdr:txBody>
    </xdr:sp>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2356404"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a:t>
          </a:r>
        </a:p>
        <a:p>
          <a:pPr algn="ctr" eaLnBrk="1" fontAlgn="auto" latinLnBrk="0" hangingPunct="1"/>
          <a:r>
            <a:rPr lang="es-DO" sz="1400" b="1">
              <a:solidFill>
                <a:schemeClr val="lt1"/>
              </a:solidFill>
              <a:effectLst/>
              <a:latin typeface="+mn-lt"/>
              <a:ea typeface="+mn-ea"/>
              <a:cs typeface="+mn-cs"/>
            </a:rPr>
            <a:t>Período: 2005 -  Abril 2016</a:t>
          </a:r>
          <a:endParaRPr lang="es-DO" sz="2000">
            <a:effectLst/>
          </a:endParaRPr>
        </a:p>
      </xdr:txBody>
    </xdr:sp>
    <xdr:clientData/>
  </xdr:twoCellAnchor>
  <xdr:twoCellAnchor editAs="oneCell">
    <xdr:from>
      <xdr:col>0</xdr:col>
      <xdr:colOff>508870</xdr:colOff>
      <xdr:row>0</xdr:row>
      <xdr:rowOff>156576</xdr:rowOff>
    </xdr:from>
    <xdr:to>
      <xdr:col>1</xdr:col>
      <xdr:colOff>133237</xdr:colOff>
      <xdr:row>0</xdr:row>
      <xdr:rowOff>626302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156576"/>
          <a:ext cx="668509" cy="469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40821</xdr:colOff>
      <xdr:row>16</xdr:row>
      <xdr:rowOff>91579</xdr:rowOff>
    </xdr:from>
    <xdr:to>
      <xdr:col>19</xdr:col>
      <xdr:colOff>562739</xdr:colOff>
      <xdr:row>58</xdr:row>
      <xdr:rowOff>188264</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 Abril</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717637</xdr:colOff>
      <xdr:row>0</xdr:row>
      <xdr:rowOff>221815</xdr:rowOff>
    </xdr:from>
    <xdr:to>
      <xdr:col>1</xdr:col>
      <xdr:colOff>403013</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xdr:from>
      <xdr:col>0</xdr:col>
      <xdr:colOff>40821</xdr:colOff>
      <xdr:row>36</xdr:row>
      <xdr:rowOff>40821</xdr:rowOff>
    </xdr:from>
    <xdr:to>
      <xdr:col>16</xdr:col>
      <xdr:colOff>598714</xdr:colOff>
      <xdr:row>63</xdr:row>
      <xdr:rowOff>122463</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Abril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710320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1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65241</xdr:colOff>
      <xdr:row>16</xdr:row>
      <xdr:rowOff>130480</xdr:rowOff>
    </xdr:from>
    <xdr:to>
      <xdr:col>11</xdr:col>
      <xdr:colOff>1096028</xdr:colOff>
      <xdr:row>50</xdr:row>
      <xdr:rowOff>104383</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1200411</xdr:colOff>
      <xdr:row>1</xdr:row>
      <xdr:rowOff>26096</xdr:rowOff>
    </xdr:to>
    <xdr:sp macro="" textlink="">
      <xdr:nvSpPr>
        <xdr:cNvPr id="5" name="6 Rectángulo redondeado"/>
        <xdr:cNvSpPr/>
      </xdr:nvSpPr>
      <xdr:spPr>
        <a:xfrm>
          <a:off x="0" y="0"/>
          <a:ext cx="11782295" cy="90030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Abril 2016</a:t>
          </a:r>
          <a:endParaRPr lang="es-DO" sz="2800">
            <a:effectLst/>
          </a:endParaRPr>
        </a:p>
      </xdr:txBody>
    </xdr:sp>
    <xdr:clientData/>
  </xdr:twoCellAnchor>
  <xdr:twoCellAnchor editAs="oneCell">
    <xdr:from>
      <xdr:col>0</xdr:col>
      <xdr:colOff>548013</xdr:colOff>
      <xdr:row>0</xdr:row>
      <xdr:rowOff>130479</xdr:rowOff>
    </xdr:from>
    <xdr:to>
      <xdr:col>1</xdr:col>
      <xdr:colOff>13047</xdr:colOff>
      <xdr:row>0</xdr:row>
      <xdr:rowOff>721029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013" y="130479"/>
          <a:ext cx="769829"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7.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13048</xdr:colOff>
      <xdr:row>16</xdr:row>
      <xdr:rowOff>78288</xdr:rowOff>
    </xdr:from>
    <xdr:to>
      <xdr:col>11</xdr:col>
      <xdr:colOff>1135172</xdr:colOff>
      <xdr:row>45</xdr:row>
      <xdr:rowOff>39145</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39144</xdr:rowOff>
    </xdr:to>
    <xdr:sp macro="" textlink="">
      <xdr:nvSpPr>
        <xdr:cNvPr id="5" name="6 Rectángulo redondeado"/>
        <xdr:cNvSpPr/>
      </xdr:nvSpPr>
      <xdr:spPr>
        <a:xfrm>
          <a:off x="0" y="0"/>
          <a:ext cx="11899726" cy="93945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400" b="1">
              <a:solidFill>
                <a:schemeClr val="lt1"/>
              </a:solidFill>
              <a:effectLst/>
              <a:latin typeface="+mn-lt"/>
              <a:ea typeface="+mn-ea"/>
              <a:cs typeface="+mn-cs"/>
            </a:rPr>
            <a:t>Período: Período: 2005 -  Abril 2016</a:t>
          </a:r>
          <a:endParaRPr lang="es-DO" sz="2000">
            <a:effectLst/>
          </a:endParaRPr>
        </a:p>
      </xdr:txBody>
    </xdr:sp>
    <xdr:clientData/>
  </xdr:twoCellAnchor>
  <xdr:twoCellAnchor editAs="oneCell">
    <xdr:from>
      <xdr:col>0</xdr:col>
      <xdr:colOff>482774</xdr:colOff>
      <xdr:row>0</xdr:row>
      <xdr:rowOff>130480</xdr:rowOff>
    </xdr:from>
    <xdr:to>
      <xdr:col>1</xdr:col>
      <xdr:colOff>21448</xdr:colOff>
      <xdr:row>0</xdr:row>
      <xdr:rowOff>678494</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2774" y="130480"/>
          <a:ext cx="804325" cy="548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78288</xdr:colOff>
      <xdr:row>17</xdr:row>
      <xdr:rowOff>13048</xdr:rowOff>
    </xdr:from>
    <xdr:to>
      <xdr:col>9</xdr:col>
      <xdr:colOff>1096027</xdr:colOff>
      <xdr:row>42</xdr:row>
      <xdr:rowOff>182671</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13048</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Abril  2016</a:t>
          </a:r>
          <a:endParaRPr lang="es-DO" sz="2000">
            <a:effectLst/>
          </a:endParaRPr>
        </a:p>
      </xdr:txBody>
    </xdr:sp>
    <xdr:clientData/>
  </xdr:twoCellAnchor>
  <xdr:twoCellAnchor editAs="oneCell">
    <xdr:from>
      <xdr:col>0</xdr:col>
      <xdr:colOff>456678</xdr:colOff>
      <xdr:row>0</xdr:row>
      <xdr:rowOff>156575</xdr:rowOff>
    </xdr:from>
    <xdr:to>
      <xdr:col>1</xdr:col>
      <xdr:colOff>144580</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169623</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0.0283</cdr:x>
      <cdr:y>0.93795</cdr:y>
    </cdr:from>
    <cdr:to>
      <cdr:x>0.30108</cdr:x>
      <cdr:y>0.99269</cdr:y>
    </cdr:to>
    <cdr:sp macro="" textlink="">
      <cdr:nvSpPr>
        <cdr:cNvPr id="2" name="2 CuadroTexto"/>
        <cdr:cNvSpPr txBox="1"/>
      </cdr:nvSpPr>
      <cdr:spPr>
        <a:xfrm xmlns:a="http://schemas.openxmlformats.org/drawingml/2006/main">
          <a:off x="505788" y="8755282"/>
          <a:ext cx="4875223" cy="51097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Portal de la SISALRIL</a:t>
          </a:r>
        </a:p>
      </cdr:txBody>
    </cdr:sp>
  </cdr:relSizeAnchor>
</c:userShapes>
</file>

<file path=xl/drawings/drawing170.xml><?xml version="1.0" encoding="utf-8"?>
<c:userShapes xmlns:c="http://schemas.openxmlformats.org/drawingml/2006/chart">
  <cdr:relSizeAnchor xmlns:cdr="http://schemas.openxmlformats.org/drawingml/2006/chartDrawing">
    <cdr:from>
      <cdr:x>0.01242</cdr:x>
      <cdr:y>0.9365</cdr:y>
    </cdr:from>
    <cdr:to>
      <cdr:x>0.24655</cdr:x>
      <cdr:y>0.99415</cdr:y>
    </cdr:to>
    <cdr:sp macro="" textlink="">
      <cdr:nvSpPr>
        <cdr:cNvPr id="2" name="1 CuadroTexto"/>
        <cdr:cNvSpPr txBox="1"/>
      </cdr:nvSpPr>
      <cdr:spPr>
        <a:xfrm xmlns:a="http://schemas.openxmlformats.org/drawingml/2006/main">
          <a:off x="141317" y="4741115"/>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0</xdr:colOff>
      <xdr:row>17</xdr:row>
      <xdr:rowOff>28967</xdr:rowOff>
    </xdr:from>
    <xdr:to>
      <xdr:col>13</xdr:col>
      <xdr:colOff>993321</xdr:colOff>
      <xdr:row>58</xdr:row>
      <xdr:rowOff>108859</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Abril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563858</xdr:colOff>
      <xdr:row>0</xdr:row>
      <xdr:rowOff>131453</xdr:rowOff>
    </xdr:from>
    <xdr:to>
      <xdr:col>1</xdr:col>
      <xdr:colOff>435428</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1</xdr:colOff>
      <xdr:row>16</xdr:row>
      <xdr:rowOff>108858</xdr:rowOff>
    </xdr:from>
    <xdr:to>
      <xdr:col>12</xdr:col>
      <xdr:colOff>762001</xdr:colOff>
      <xdr:row>49</xdr:row>
      <xdr:rowOff>122464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795925</xdr:rowOff>
    </xdr:to>
    <xdr:sp macro="" textlink="">
      <xdr:nvSpPr>
        <xdr:cNvPr id="4" name="6 Rectángulo redondeado"/>
        <xdr:cNvSpPr/>
      </xdr:nvSpPr>
      <xdr:spPr>
        <a:xfrm>
          <a:off x="0" y="0"/>
          <a:ext cx="1197801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400" b="1">
              <a:solidFill>
                <a:schemeClr val="lt1"/>
              </a:solidFill>
              <a:effectLst/>
              <a:latin typeface="+mn-lt"/>
              <a:ea typeface="+mn-ea"/>
              <a:cs typeface="+mn-cs"/>
            </a:rPr>
            <a:t>Período: 2005 - Abril </a:t>
          </a:r>
          <a:r>
            <a:rPr lang="es-DO" sz="1400" b="1" baseline="0">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352294</xdr:colOff>
      <xdr:row>0</xdr:row>
      <xdr:rowOff>117431</xdr:rowOff>
    </xdr:from>
    <xdr:to>
      <xdr:col>1</xdr:col>
      <xdr:colOff>70458</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1</xdr:col>
      <xdr:colOff>114075</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0.04247</cdr:x>
      <cdr:y>0.8984</cdr:y>
    </cdr:from>
    <cdr:to>
      <cdr:x>0.27067</cdr:x>
      <cdr:y>0.94658</cdr:y>
    </cdr:to>
    <cdr:sp macro="" textlink="">
      <cdr:nvSpPr>
        <cdr:cNvPr id="2" name="1 CuadroTexto"/>
        <cdr:cNvSpPr txBox="1"/>
      </cdr:nvSpPr>
      <cdr:spPr>
        <a:xfrm xmlns:a="http://schemas.openxmlformats.org/drawingml/2006/main">
          <a:off x="499836" y="5888265"/>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28738</xdr:colOff>
      <xdr:row>13</xdr:row>
      <xdr:rowOff>61557</xdr:rowOff>
    </xdr:from>
    <xdr:to>
      <xdr:col>11</xdr:col>
      <xdr:colOff>1120589</xdr:colOff>
      <xdr:row>41</xdr:row>
      <xdr:rowOff>67237</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808973</xdr:rowOff>
    </xdr:to>
    <xdr:sp macro="" textlink="">
      <xdr:nvSpPr>
        <xdr:cNvPr id="5" name="6 Rectángulo redondeado"/>
        <xdr:cNvSpPr/>
      </xdr:nvSpPr>
      <xdr:spPr>
        <a:xfrm>
          <a:off x="0" y="0"/>
          <a:ext cx="12656507" cy="8089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400" b="1">
              <a:solidFill>
                <a:schemeClr val="lt1"/>
              </a:solidFill>
              <a:effectLst/>
              <a:latin typeface="+mn-lt"/>
              <a:ea typeface="+mn-ea"/>
              <a:cs typeface="+mn-cs"/>
            </a:rPr>
            <a:t>Período: 2008 -  Abril 2016</a:t>
          </a:r>
          <a:endParaRPr lang="es-DO" sz="20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0</xdr:colOff>
      <xdr:row>13</xdr:row>
      <xdr:rowOff>143528</xdr:rowOff>
    </xdr:from>
    <xdr:to>
      <xdr:col>11</xdr:col>
      <xdr:colOff>887260</xdr:colOff>
      <xdr:row>42</xdr:row>
      <xdr:rowOff>13049</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13048</xdr:rowOff>
    </xdr:to>
    <xdr:sp macro="" textlink="">
      <xdr:nvSpPr>
        <xdr:cNvPr id="4" name="6 Rectángulo redondeado"/>
        <xdr:cNvSpPr/>
      </xdr:nvSpPr>
      <xdr:spPr>
        <a:xfrm>
          <a:off x="0" y="0"/>
          <a:ext cx="11664863" cy="78287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400" b="1">
              <a:solidFill>
                <a:schemeClr val="lt1"/>
              </a:solidFill>
              <a:effectLst/>
              <a:latin typeface="+mn-lt"/>
              <a:ea typeface="+mn-ea"/>
              <a:cs typeface="+mn-cs"/>
            </a:rPr>
            <a:t>Período: 2008 -</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Abril 2016</a:t>
          </a:r>
          <a:endParaRPr lang="es-DO" sz="2000">
            <a:effectLst/>
          </a:endParaRPr>
        </a:p>
      </xdr:txBody>
    </xdr:sp>
    <xdr:clientData/>
  </xdr:twoCellAnchor>
  <xdr:twoCellAnchor editAs="oneCell">
    <xdr:from>
      <xdr:col>0</xdr:col>
      <xdr:colOff>443629</xdr:colOff>
      <xdr:row>0</xdr:row>
      <xdr:rowOff>169623</xdr:rowOff>
    </xdr:from>
    <xdr:to>
      <xdr:col>0</xdr:col>
      <xdr:colOff>1172842</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29213" cy="45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0.03064</cdr:x>
      <cdr:y>0.90835</cdr:y>
    </cdr:from>
    <cdr:to>
      <cdr:x>0.44038</cdr:x>
      <cdr:y>0.96224</cdr:y>
    </cdr:to>
    <cdr:sp macro="" textlink="">
      <cdr:nvSpPr>
        <cdr:cNvPr id="2" name="1 CuadroTexto"/>
        <cdr:cNvSpPr txBox="1"/>
      </cdr:nvSpPr>
      <cdr:spPr>
        <a:xfrm xmlns:a="http://schemas.openxmlformats.org/drawingml/2006/main">
          <a:off x="376999" y="5322170"/>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0</xdr:colOff>
      <xdr:row>13</xdr:row>
      <xdr:rowOff>136072</xdr:rowOff>
    </xdr:from>
    <xdr:to>
      <xdr:col>20</xdr:col>
      <xdr:colOff>707572</xdr:colOff>
      <xdr:row>61</xdr:row>
      <xdr:rowOff>95250</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1400" b="1">
              <a:solidFill>
                <a:schemeClr val="lt1"/>
              </a:solidFill>
              <a:effectLst/>
              <a:latin typeface="+mn-lt"/>
              <a:ea typeface="+mn-ea"/>
              <a:cs typeface="+mn-cs"/>
            </a:rPr>
            <a:t>Período: 2008 -</a:t>
          </a:r>
          <a:r>
            <a:rPr lang="es-DO" sz="1400" b="1" baseline="0">
              <a:solidFill>
                <a:schemeClr val="lt1"/>
              </a:solidFill>
              <a:effectLst/>
              <a:latin typeface="+mn-lt"/>
              <a:ea typeface="+mn-ea"/>
              <a:cs typeface="+mn-cs"/>
            </a:rPr>
            <a:t> Abril 2016</a:t>
          </a:r>
          <a:endParaRPr lang="es-DO" sz="2000">
            <a:effectLst/>
          </a:endParaRPr>
        </a:p>
      </xdr:txBody>
    </xdr:sp>
    <xdr:clientData/>
  </xdr:twoCellAnchor>
  <xdr:twoCellAnchor editAs="oneCell">
    <xdr:from>
      <xdr:col>0</xdr:col>
      <xdr:colOff>530679</xdr:colOff>
      <xdr:row>0</xdr:row>
      <xdr:rowOff>136071</xdr:rowOff>
    </xdr:from>
    <xdr:to>
      <xdr:col>1</xdr:col>
      <xdr:colOff>340179</xdr:colOff>
      <xdr:row>0</xdr:row>
      <xdr:rowOff>726621</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36071"/>
          <a:ext cx="87085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554184</xdr:colOff>
      <xdr:row>9</xdr:row>
      <xdr:rowOff>0</xdr:rowOff>
    </xdr:from>
    <xdr:to>
      <xdr:col>12</xdr:col>
      <xdr:colOff>340179</xdr:colOff>
      <xdr:row>31</xdr:row>
      <xdr:rowOff>27213</xdr:rowOff>
    </xdr:to>
    <xdr:sp macro="" textlink="">
      <xdr:nvSpPr>
        <xdr:cNvPr id="2" name="1 CuadroTexto"/>
        <xdr:cNvSpPr txBox="1"/>
      </xdr:nvSpPr>
      <xdr:spPr>
        <a:xfrm>
          <a:off x="554184" y="1714500"/>
          <a:ext cx="9066066" cy="42182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0</xdr:colOff>
      <xdr:row>11</xdr:row>
      <xdr:rowOff>81643</xdr:rowOff>
    </xdr:from>
    <xdr:to>
      <xdr:col>9</xdr:col>
      <xdr:colOff>1197428</xdr:colOff>
      <xdr:row>43</xdr:row>
      <xdr:rowOff>68035</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617927</xdr:colOff>
      <xdr:row>41</xdr:row>
      <xdr:rowOff>162485</xdr:rowOff>
    </xdr:from>
    <xdr:to>
      <xdr:col>2</xdr:col>
      <xdr:colOff>734787</xdr:colOff>
      <xdr:row>43</xdr:row>
      <xdr:rowOff>163286</xdr:rowOff>
    </xdr:to>
    <xdr:sp macro="" textlink="">
      <xdr:nvSpPr>
        <xdr:cNvPr id="2" name="1 CuadroTexto"/>
        <xdr:cNvSpPr txBox="1"/>
      </xdr:nvSpPr>
      <xdr:spPr>
        <a:xfrm>
          <a:off x="617927" y="7972985"/>
          <a:ext cx="2185146"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870857</xdr:rowOff>
    </xdr:to>
    <xdr:sp macro="" textlink="">
      <xdr:nvSpPr>
        <xdr:cNvPr id="5" name="6 Rectángulo redondeado"/>
        <xdr:cNvSpPr/>
      </xdr:nvSpPr>
      <xdr:spPr>
        <a:xfrm>
          <a:off x="0" y="0"/>
          <a:ext cx="1181099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Abril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489859</xdr:colOff>
      <xdr:row>0</xdr:row>
      <xdr:rowOff>190500</xdr:rowOff>
    </xdr:from>
    <xdr:to>
      <xdr:col>0</xdr:col>
      <xdr:colOff>1214377</xdr:colOff>
      <xdr:row>0</xdr:row>
      <xdr:rowOff>639536</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9" y="190500"/>
          <a:ext cx="724518" cy="449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40821</xdr:colOff>
      <xdr:row>12</xdr:row>
      <xdr:rowOff>61873</xdr:rowOff>
    </xdr:from>
    <xdr:to>
      <xdr:col>11</xdr:col>
      <xdr:colOff>938892</xdr:colOff>
      <xdr:row>42</xdr:row>
      <xdr:rowOff>163286</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13606</xdr:colOff>
      <xdr:row>1</xdr:row>
      <xdr:rowOff>112058</xdr:rowOff>
    </xdr:to>
    <xdr:sp macro="" textlink="">
      <xdr:nvSpPr>
        <xdr:cNvPr id="5" name="6 Rectángulo redondeado"/>
        <xdr:cNvSpPr/>
      </xdr:nvSpPr>
      <xdr:spPr>
        <a:xfrm>
          <a:off x="0" y="0"/>
          <a:ext cx="11174665"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Abril 2016</a:t>
          </a:r>
          <a:endParaRPr lang="es-DO" sz="2400">
            <a:effectLst/>
          </a:endParaRPr>
        </a:p>
      </xdr:txBody>
    </xdr:sp>
    <xdr:clientData/>
  </xdr:twoCellAnchor>
  <xdr:twoCellAnchor editAs="oneCell">
    <xdr:from>
      <xdr:col>0</xdr:col>
      <xdr:colOff>247912</xdr:colOff>
      <xdr:row>0</xdr:row>
      <xdr:rowOff>169624</xdr:rowOff>
    </xdr:from>
    <xdr:to>
      <xdr:col>0</xdr:col>
      <xdr:colOff>976006</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912" y="169624"/>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0.03914</cdr:x>
      <cdr:y>0.90376</cdr:y>
    </cdr:from>
    <cdr:to>
      <cdr:x>0.22403</cdr:x>
      <cdr:y>0.96491</cdr:y>
    </cdr:to>
    <cdr:sp macro="" textlink="">
      <cdr:nvSpPr>
        <cdr:cNvPr id="2" name="CuadroTexto 1"/>
        <cdr:cNvSpPr txBox="1"/>
      </cdr:nvSpPr>
      <cdr:spPr>
        <a:xfrm xmlns:a="http://schemas.openxmlformats.org/drawingml/2006/main">
          <a:off x="425562" y="5256613"/>
          <a:ext cx="2010118" cy="3556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0</xdr:colOff>
      <xdr:row>13</xdr:row>
      <xdr:rowOff>27215</xdr:rowOff>
    </xdr:from>
    <xdr:to>
      <xdr:col>11</xdr:col>
      <xdr:colOff>1660072</xdr:colOff>
      <xdr:row>45</xdr:row>
      <xdr:rowOff>81643</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20</xdr:col>
      <xdr:colOff>0</xdr:colOff>
      <xdr:row>3</xdr:row>
      <xdr:rowOff>0</xdr:rowOff>
    </xdr:from>
    <xdr:to>
      <xdr:col>20</xdr:col>
      <xdr:colOff>228600</xdr:colOff>
      <xdr:row>3</xdr:row>
      <xdr:rowOff>104775</xdr:rowOff>
    </xdr:to>
    <xdr:pic>
      <xdr:nvPicPr>
        <xdr:cNvPr id="5" name="4 Imagen" descr="http://www.arlss.gov.do/Transparen/images/cen_rig.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36325" y="1266825"/>
          <a:ext cx="22860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Abril 2016</a:t>
          </a:r>
          <a:endParaRPr lang="es-DO" sz="2400">
            <a:effectLst/>
          </a:endParaRPr>
        </a:p>
      </xdr:txBody>
    </xdr:sp>
    <xdr:clientData/>
  </xdr:twoCellAnchor>
  <xdr:twoCellAnchor editAs="oneCell">
    <xdr:from>
      <xdr:col>0</xdr:col>
      <xdr:colOff>557892</xdr:colOff>
      <xdr:row>0</xdr:row>
      <xdr:rowOff>146758</xdr:rowOff>
    </xdr:from>
    <xdr:to>
      <xdr:col>1</xdr:col>
      <xdr:colOff>312964</xdr:colOff>
      <xdr:row>0</xdr:row>
      <xdr:rowOff>669015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7892" y="146758"/>
          <a:ext cx="843643" cy="52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38102</xdr:colOff>
      <xdr:row>12</xdr:row>
      <xdr:rowOff>182671</xdr:rowOff>
    </xdr:from>
    <xdr:to>
      <xdr:col>13</xdr:col>
      <xdr:colOff>1109076</xdr:colOff>
      <xdr:row>44</xdr:row>
      <xdr:rowOff>91335</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39144</xdr:rowOff>
    </xdr:to>
    <xdr:sp macro="" textlink="">
      <xdr:nvSpPr>
        <xdr:cNvPr id="5" name="6 Rectángulo redondeado"/>
        <xdr:cNvSpPr/>
      </xdr:nvSpPr>
      <xdr:spPr>
        <a:xfrm>
          <a:off x="0" y="0"/>
          <a:ext cx="11377808"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Abril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404487</xdr:colOff>
      <xdr:row>0</xdr:row>
      <xdr:rowOff>195719</xdr:rowOff>
    </xdr:from>
    <xdr:to>
      <xdr:col>1</xdr:col>
      <xdr:colOff>70077</xdr:colOff>
      <xdr:row>0</xdr:row>
      <xdr:rowOff>704589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4487" y="195719"/>
          <a:ext cx="735522" cy="508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0.03744</cdr:x>
      <cdr:y>0.90041</cdr:y>
    </cdr:from>
    <cdr:to>
      <cdr:x>0.35855</cdr:x>
      <cdr:y>0.96214</cdr:y>
    </cdr:to>
    <cdr:sp macro="" textlink="">
      <cdr:nvSpPr>
        <cdr:cNvPr id="2" name="CuadroTexto 1"/>
        <cdr:cNvSpPr txBox="1"/>
      </cdr:nvSpPr>
      <cdr:spPr>
        <a:xfrm xmlns:a="http://schemas.openxmlformats.org/drawingml/2006/main">
          <a:off x="455287" y="555703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38102</xdr:colOff>
      <xdr:row>12</xdr:row>
      <xdr:rowOff>62433</xdr:rowOff>
    </xdr:from>
    <xdr:to>
      <xdr:col>13</xdr:col>
      <xdr:colOff>857250</xdr:colOff>
      <xdr:row>44</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600" b="1">
              <a:solidFill>
                <a:schemeClr val="lt1"/>
              </a:solidFill>
              <a:effectLst/>
              <a:latin typeface="+mn-lt"/>
              <a:ea typeface="+mn-ea"/>
              <a:cs typeface="+mn-cs"/>
            </a:rPr>
            <a:t>Período: 2009 - Abril 2016</a:t>
          </a:r>
          <a:endParaRPr lang="es-DO" sz="24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705971</xdr:colOff>
      <xdr:row>43</xdr:row>
      <xdr:rowOff>0</xdr:rowOff>
    </xdr:to>
    <xdr:sp macro="" textlink="">
      <xdr:nvSpPr>
        <xdr:cNvPr id="2" name="1 CuadroTexto"/>
        <xdr:cNvSpPr txBox="1"/>
      </xdr:nvSpPr>
      <xdr:spPr>
        <a:xfrm>
          <a:off x="0" y="0"/>
          <a:ext cx="10376647" cy="8729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0</xdr:colOff>
      <xdr:row>12</xdr:row>
      <xdr:rowOff>169624</xdr:rowOff>
    </xdr:from>
    <xdr:to>
      <xdr:col>14</xdr:col>
      <xdr:colOff>587158</xdr:colOff>
      <xdr:row>42</xdr:row>
      <xdr:rowOff>130478</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13048</xdr:rowOff>
    </xdr:to>
    <xdr:sp macro="" textlink="">
      <xdr:nvSpPr>
        <xdr:cNvPr id="5" name="6 Rectángulo redondeado"/>
        <xdr:cNvSpPr/>
      </xdr:nvSpPr>
      <xdr:spPr>
        <a:xfrm>
          <a:off x="0" y="0"/>
          <a:ext cx="13739486"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Abril 2016</a:t>
          </a:r>
          <a:endParaRPr lang="es-DO" sz="2400">
            <a:effectLst/>
          </a:endParaRPr>
        </a:p>
      </xdr:txBody>
    </xdr:sp>
    <xdr:clientData/>
  </xdr:twoCellAnchor>
  <xdr:twoCellAnchor editAs="oneCell">
    <xdr:from>
      <xdr:col>0</xdr:col>
      <xdr:colOff>378390</xdr:colOff>
      <xdr:row>0</xdr:row>
      <xdr:rowOff>52192</xdr:rowOff>
    </xdr:from>
    <xdr:to>
      <xdr:col>0</xdr:col>
      <xdr:colOff>1239554</xdr:colOff>
      <xdr:row>0</xdr:row>
      <xdr:rowOff>642742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52192"/>
          <a:ext cx="86116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c:userShapes xmlns:c="http://schemas.openxmlformats.org/drawingml/2006/chart">
  <cdr:relSizeAnchor xmlns:cdr="http://schemas.openxmlformats.org/drawingml/2006/chartDrawing">
    <cdr:from>
      <cdr:x>0.04313</cdr:x>
      <cdr:y>0.90336</cdr:y>
    </cdr:from>
    <cdr:to>
      <cdr:x>0.32443</cdr:x>
      <cdr:y>0.96868</cdr:y>
    </cdr:to>
    <cdr:sp macro="" textlink="">
      <cdr:nvSpPr>
        <cdr:cNvPr id="2" name="CuadroTexto 1"/>
        <cdr:cNvSpPr txBox="1"/>
      </cdr:nvSpPr>
      <cdr:spPr>
        <a:xfrm xmlns:a="http://schemas.openxmlformats.org/drawingml/2006/main">
          <a:off x="598814" y="526875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aseline="0"/>
            <a:t>Web ARL</a:t>
          </a:r>
          <a:endParaRPr lang="es-ES" sz="1200"/>
        </a:p>
      </cdr:txBody>
    </cdr:sp>
  </cdr:relSizeAnchor>
</c:userShapes>
</file>

<file path=xl/drawings/drawing193.xml><?xml version="1.0" encoding="utf-8"?>
<xdr:wsDr xmlns:xdr="http://schemas.openxmlformats.org/drawingml/2006/spreadsheetDrawing" xmlns:a="http://schemas.openxmlformats.org/drawingml/2006/main">
  <xdr:twoCellAnchor>
    <xdr:from>
      <xdr:col>0</xdr:col>
      <xdr:colOff>17318</xdr:colOff>
      <xdr:row>13</xdr:row>
      <xdr:rowOff>145761</xdr:rowOff>
    </xdr:from>
    <xdr:to>
      <xdr:col>13</xdr:col>
      <xdr:colOff>705538</xdr:colOff>
      <xdr:row>55</xdr:row>
      <xdr:rowOff>154625</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Abril </a:t>
          </a:r>
          <a:r>
            <a:rPr lang="es-DO" sz="1600" b="1">
              <a:solidFill>
                <a:schemeClr val="lt1"/>
              </a:solidFill>
              <a:effectLst/>
              <a:latin typeface="+mn-lt"/>
              <a:ea typeface="+mn-ea"/>
              <a:cs typeface="+mn-cs"/>
            </a:rPr>
            <a:t> 2016</a:t>
          </a:r>
          <a:endParaRPr lang="es-DO" sz="2400">
            <a:effectLst/>
          </a:endParaRPr>
        </a:p>
      </xdr:txBody>
    </xdr:sp>
    <xdr:clientData/>
  </xdr:twoCellAnchor>
  <xdr:twoCellAnchor editAs="oneCell">
    <xdr:from>
      <xdr:col>0</xdr:col>
      <xdr:colOff>508870</xdr:colOff>
      <xdr:row>0</xdr:row>
      <xdr:rowOff>104384</xdr:rowOff>
    </xdr:from>
    <xdr:to>
      <xdr:col>0</xdr:col>
      <xdr:colOff>1261345</xdr:colOff>
      <xdr:row>0</xdr:row>
      <xdr:rowOff>618734</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104384"/>
          <a:ext cx="7524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469726</xdr:colOff>
      <xdr:row>0</xdr:row>
      <xdr:rowOff>65240</xdr:rowOff>
    </xdr:from>
    <xdr:to>
      <xdr:col>0</xdr:col>
      <xdr:colOff>1265650</xdr:colOff>
      <xdr:row>0</xdr:row>
      <xdr:rowOff>655790</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69726" y="65240"/>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5.xml><?xml version="1.0" encoding="utf-8"?>
<xdr:wsDr xmlns:xdr="http://schemas.openxmlformats.org/drawingml/2006/spreadsheetDrawing" xmlns:a="http://schemas.openxmlformats.org/drawingml/2006/main">
  <xdr:twoCellAnchor>
    <xdr:from>
      <xdr:col>0</xdr:col>
      <xdr:colOff>27214</xdr:colOff>
      <xdr:row>12</xdr:row>
      <xdr:rowOff>81643</xdr:rowOff>
    </xdr:from>
    <xdr:to>
      <xdr:col>14</xdr:col>
      <xdr:colOff>639537</xdr:colOff>
      <xdr:row>52</xdr:row>
      <xdr:rowOff>40821</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925285</xdr:rowOff>
    </xdr:to>
    <xdr:sp macro="" textlink="">
      <xdr:nvSpPr>
        <xdr:cNvPr id="5" name="6 Rectángulo redondeado"/>
        <xdr:cNvSpPr/>
      </xdr:nvSpPr>
      <xdr:spPr>
        <a:xfrm>
          <a:off x="0" y="0"/>
          <a:ext cx="15376072" cy="92528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Accidentes Laborales Calificados con Lesiones Discapacitantes                                                                                                                                                                                                                                                         Período: 2009 - Abril </a:t>
          </a:r>
          <a:r>
            <a:rPr lang="es-DO" sz="1600" b="1" baseline="0">
              <a:solidFill>
                <a:schemeClr val="lt1"/>
              </a:solidFill>
              <a:effectLst/>
              <a:latin typeface="+mn-lt"/>
              <a:ea typeface="+mn-ea"/>
              <a:cs typeface="+mn-cs"/>
            </a:rPr>
            <a:t> 2016</a:t>
          </a:r>
          <a:endParaRPr lang="es-DO" sz="2400">
            <a:effectLst/>
          </a:endParaRPr>
        </a:p>
      </xdr:txBody>
    </xdr:sp>
    <xdr:clientData/>
  </xdr:twoCellAnchor>
  <xdr:twoCellAnchor editAs="oneCell">
    <xdr:from>
      <xdr:col>0</xdr:col>
      <xdr:colOff>666750</xdr:colOff>
      <xdr:row>0</xdr:row>
      <xdr:rowOff>176892</xdr:rowOff>
    </xdr:from>
    <xdr:to>
      <xdr:col>0</xdr:col>
      <xdr:colOff>1465148</xdr:colOff>
      <xdr:row>0</xdr:row>
      <xdr:rowOff>767442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0" y="176892"/>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6.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7.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54430</xdr:colOff>
      <xdr:row>12</xdr:row>
      <xdr:rowOff>95249</xdr:rowOff>
    </xdr:from>
    <xdr:to>
      <xdr:col>11</xdr:col>
      <xdr:colOff>802822</xdr:colOff>
      <xdr:row>46</xdr:row>
      <xdr:rowOff>40821</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925286</xdr:rowOff>
    </xdr:to>
    <xdr:sp macro="" textlink="">
      <xdr:nvSpPr>
        <xdr:cNvPr id="5" name="6 Rectángulo redondeado"/>
        <xdr:cNvSpPr/>
      </xdr:nvSpPr>
      <xdr:spPr>
        <a:xfrm>
          <a:off x="0" y="0"/>
          <a:ext cx="13539107" cy="9252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600" b="1">
              <a:solidFill>
                <a:schemeClr val="lt1"/>
              </a:solidFill>
              <a:effectLst/>
              <a:latin typeface="+mn-lt"/>
              <a:ea typeface="+mn-ea"/>
              <a:cs typeface="+mn-cs"/>
            </a:rPr>
            <a:t>Período: 2009 - Abril</a:t>
          </a:r>
          <a:r>
            <a:rPr lang="es-DO" sz="1600" b="1" baseline="0">
              <a:solidFill>
                <a:schemeClr val="lt1"/>
              </a:solidFill>
              <a:effectLst/>
              <a:latin typeface="+mn-lt"/>
              <a:ea typeface="+mn-ea"/>
              <a:cs typeface="+mn-cs"/>
            </a:rPr>
            <a:t> 2016</a:t>
          </a:r>
          <a:endParaRPr lang="es-DO" sz="2400">
            <a:effectLst/>
          </a:endParaRPr>
        </a:p>
      </xdr:txBody>
    </xdr:sp>
    <xdr:clientData/>
  </xdr:twoCellAnchor>
  <xdr:twoCellAnchor editAs="oneCell">
    <xdr:from>
      <xdr:col>0</xdr:col>
      <xdr:colOff>389005</xdr:colOff>
      <xdr:row>0</xdr:row>
      <xdr:rowOff>144282</xdr:rowOff>
    </xdr:from>
    <xdr:to>
      <xdr:col>0</xdr:col>
      <xdr:colOff>1224643</xdr:colOff>
      <xdr:row>0</xdr:row>
      <xdr:rowOff>669841</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9005" y="144282"/>
          <a:ext cx="835638" cy="525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285749</xdr:colOff>
      <xdr:row>46</xdr:row>
      <xdr:rowOff>95250</xdr:rowOff>
    </xdr:from>
    <xdr:to>
      <xdr:col>3</xdr:col>
      <xdr:colOff>748392</xdr:colOff>
      <xdr:row>48</xdr:row>
      <xdr:rowOff>95250</xdr:rowOff>
    </xdr:to>
    <xdr:sp macro="" textlink="">
      <xdr:nvSpPr>
        <xdr:cNvPr id="2" name="CuadroTexto 1"/>
        <xdr:cNvSpPr txBox="1"/>
      </xdr:nvSpPr>
      <xdr:spPr>
        <a:xfrm>
          <a:off x="285749" y="1009650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a:t>
          </a:r>
          <a:r>
            <a:rPr lang="es-ES" sz="1200" b="1" baseline="0"/>
            <a:t> </a:t>
          </a:r>
          <a:r>
            <a:rPr lang="es-ES" sz="1200" b="0" baseline="0"/>
            <a:t>Web ARL</a:t>
          </a:r>
          <a:endParaRPr lang="es-ES" sz="1200" b="0"/>
        </a:p>
      </xdr:txBody>
    </xdr:sp>
    <xdr:clientData/>
  </xdr:twoCellAnchor>
</xdr:wsDr>
</file>

<file path=xl/drawings/drawing19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39144</xdr:colOff>
      <xdr:row>12</xdr:row>
      <xdr:rowOff>104384</xdr:rowOff>
    </xdr:from>
    <xdr:to>
      <xdr:col>11</xdr:col>
      <xdr:colOff>990600</xdr:colOff>
      <xdr:row>44</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Abril 2016</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c:userShapes xmlns:c="http://schemas.openxmlformats.org/drawingml/2006/chart">
  <cdr:relSizeAnchor xmlns:cdr="http://schemas.openxmlformats.org/drawingml/2006/chartDrawing">
    <cdr:from>
      <cdr:x>0.02597</cdr:x>
      <cdr:y>0.90876</cdr:y>
    </cdr:from>
    <cdr:to>
      <cdr:x>0.38105</cdr:x>
      <cdr:y>0.96949</cdr:y>
    </cdr:to>
    <cdr:sp macro="" textlink="">
      <cdr:nvSpPr>
        <cdr:cNvPr id="2" name="CuadroTexto 1"/>
        <cdr:cNvSpPr txBox="1"/>
      </cdr:nvSpPr>
      <cdr:spPr>
        <a:xfrm xmlns:a="http://schemas.openxmlformats.org/drawingml/2006/main">
          <a:off x="285662" y="5700561"/>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303303</xdr:colOff>
      <xdr:row>0</xdr:row>
      <xdr:rowOff>76043</xdr:rowOff>
    </xdr:from>
    <xdr:to>
      <xdr:col>0</xdr:col>
      <xdr:colOff>886238</xdr:colOff>
      <xdr:row>1</xdr:row>
      <xdr:rowOff>258693</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03303" y="76043"/>
          <a:ext cx="582935" cy="3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26096</xdr:colOff>
      <xdr:row>13</xdr:row>
      <xdr:rowOff>65239</xdr:rowOff>
    </xdr:from>
    <xdr:to>
      <xdr:col>12</xdr:col>
      <xdr:colOff>1435274</xdr:colOff>
      <xdr:row>44</xdr:row>
      <xdr:rowOff>117430</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0</xdr:rowOff>
    </xdr:to>
    <xdr:sp macro="" textlink="">
      <xdr:nvSpPr>
        <xdr:cNvPr id="5" name="6 Rectángulo redondeado"/>
        <xdr:cNvSpPr/>
      </xdr:nvSpPr>
      <xdr:spPr>
        <a:xfrm>
          <a:off x="0" y="0"/>
          <a:ext cx="12499932"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Abril 2016</a:t>
          </a:r>
          <a:endParaRPr lang="es-DO" sz="2400">
            <a:effectLst/>
          </a:endParaRPr>
        </a:p>
      </xdr:txBody>
    </xdr:sp>
    <xdr:clientData/>
  </xdr:twoCellAnchor>
  <xdr:twoCellAnchor editAs="oneCell">
    <xdr:from>
      <xdr:col>0</xdr:col>
      <xdr:colOff>378390</xdr:colOff>
      <xdr:row>0</xdr:row>
      <xdr:rowOff>143527</xdr:rowOff>
    </xdr:from>
    <xdr:to>
      <xdr:col>1</xdr:col>
      <xdr:colOff>147104</xdr:colOff>
      <xdr:row>0</xdr:row>
      <xdr:rowOff>652397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143527"/>
          <a:ext cx="812550" cy="508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561062</xdr:colOff>
      <xdr:row>42</xdr:row>
      <xdr:rowOff>39144</xdr:rowOff>
    </xdr:from>
    <xdr:to>
      <xdr:col>5</xdr:col>
      <xdr:colOff>926404</xdr:colOff>
      <xdr:row>44</xdr:row>
      <xdr:rowOff>39143</xdr:rowOff>
    </xdr:to>
    <xdr:sp macro="" textlink="">
      <xdr:nvSpPr>
        <xdr:cNvPr id="2" name="CuadroTexto 1"/>
        <xdr:cNvSpPr txBox="1"/>
      </xdr:nvSpPr>
      <xdr:spPr>
        <a:xfrm>
          <a:off x="561062" y="9042226"/>
          <a:ext cx="3901335" cy="39143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Portal</a:t>
          </a:r>
          <a:r>
            <a:rPr lang="es-ES" sz="1100" baseline="0"/>
            <a:t> Web ARL</a:t>
          </a:r>
          <a:endParaRPr lang="es-ES" sz="1100"/>
        </a:p>
      </xdr:txBody>
    </xdr:sp>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0</xdr:colOff>
      <xdr:row>12</xdr:row>
      <xdr:rowOff>49061</xdr:rowOff>
    </xdr:from>
    <xdr:to>
      <xdr:col>11</xdr:col>
      <xdr:colOff>1082979</xdr:colOff>
      <xdr:row>43</xdr:row>
      <xdr:rowOff>13049</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1135171</xdr:colOff>
      <xdr:row>0</xdr:row>
      <xdr:rowOff>756781</xdr:rowOff>
    </xdr:to>
    <xdr:sp macro="" textlink="">
      <xdr:nvSpPr>
        <xdr:cNvPr id="4" name="6 Rectángulo redondeado"/>
        <xdr:cNvSpPr/>
      </xdr:nvSpPr>
      <xdr:spPr>
        <a:xfrm>
          <a:off x="0" y="0"/>
          <a:ext cx="11129897" cy="75678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Abril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10436</xdr:colOff>
      <xdr:row>12</xdr:row>
      <xdr:rowOff>86591</xdr:rowOff>
    </xdr:from>
    <xdr:to>
      <xdr:col>13</xdr:col>
      <xdr:colOff>911679</xdr:colOff>
      <xdr:row>43</xdr:row>
      <xdr:rowOff>40822</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Abril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28575</xdr:colOff>
      <xdr:row>4</xdr:row>
      <xdr:rowOff>28575</xdr:rowOff>
    </xdr:from>
    <xdr:to>
      <xdr:col>11</xdr:col>
      <xdr:colOff>695325</xdr:colOff>
      <xdr:row>32</xdr:row>
      <xdr:rowOff>123825</xdr:rowOff>
    </xdr:to>
    <xdr:sp macro="" textlink="">
      <xdr:nvSpPr>
        <xdr:cNvPr id="3" name="1 CuadroTexto"/>
        <xdr:cNvSpPr txBox="1"/>
      </xdr:nvSpPr>
      <xdr:spPr>
        <a:xfrm>
          <a:off x="28575" y="790575"/>
          <a:ext cx="8915400" cy="5429250"/>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marzo 2016 las Comisiones Médicas Regionales han recibido 12,025  solicitudes de evaluación de grado de discapacidad permanente, de los cuales 10,291  han sido emitidos y notificados dictámenes a las Comisiones Técnicas de Discapacidad y a las AFP correspondientes, representando un 85.6%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10,291 dictámenes emitidos y notificados, 2,441 han sido apelados representando un 23.7%.  Dichas apelaciones han sido realizadas en un 69.52% por afiliados (1,697); un 27.0% por las compañías aseguradoras (659) y  85 casos con orígenes no especificados, equivalente a un 3.48%.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0" baseline="0">
              <a:solidFill>
                <a:sysClr val="windowText" lastClr="000000"/>
              </a:solidFill>
            </a:rPr>
            <a:t>                </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33618</xdr:colOff>
      <xdr:row>15</xdr:row>
      <xdr:rowOff>100853</xdr:rowOff>
    </xdr:from>
    <xdr:to>
      <xdr:col>13</xdr:col>
      <xdr:colOff>571500</xdr:colOff>
      <xdr:row>50</xdr:row>
      <xdr:rowOff>168089</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Abril 2016</a:t>
          </a:r>
        </a:p>
      </xdr:txBody>
    </xdr:sp>
    <xdr:clientData/>
  </xdr:twoCellAnchor>
  <xdr:oneCellAnchor>
    <xdr:from>
      <xdr:col>0</xdr:col>
      <xdr:colOff>347383</xdr:colOff>
      <xdr:row>0</xdr:row>
      <xdr:rowOff>190499</xdr:rowOff>
    </xdr:from>
    <xdr:ext cx="806825" cy="549089"/>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5.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6.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Apelaciones de Dictámenes de la CMNR</a:t>
          </a:r>
        </a:p>
        <a:p>
          <a:pPr algn="ctr" eaLnBrk="1" fontAlgn="auto" latinLnBrk="0" hangingPunct="1"/>
          <a:r>
            <a:rPr lang="es-DO" sz="2400" b="1">
              <a:solidFill>
                <a:schemeClr val="lt1"/>
              </a:solidFill>
              <a:effectLst/>
              <a:latin typeface="+mn-lt"/>
              <a:ea typeface="+mn-ea"/>
              <a:cs typeface="+mn-cs"/>
            </a:rPr>
            <a:t>Período: Octubre 2009 - Abril 2016</a:t>
          </a:r>
          <a:endParaRPr lang="es-DO" sz="3600">
            <a:effectLst/>
          </a:endParaRPr>
        </a:p>
      </xdr:txBody>
    </xdr:sp>
    <xdr:clientData/>
  </xdr:twoCellAnchor>
  <xdr:oneCellAnchor>
    <xdr:from>
      <xdr:col>0</xdr:col>
      <xdr:colOff>793750</xdr:colOff>
      <xdr:row>0</xdr:row>
      <xdr:rowOff>95250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3750" y="9525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373062</xdr:colOff>
      <xdr:row>46</xdr:row>
      <xdr:rowOff>166688</xdr:rowOff>
    </xdr:from>
    <xdr:to>
      <xdr:col>2</xdr:col>
      <xdr:colOff>1143000</xdr:colOff>
      <xdr:row>49</xdr:row>
      <xdr:rowOff>103188</xdr:rowOff>
    </xdr:to>
    <xdr:sp macro="" textlink="">
      <xdr:nvSpPr>
        <xdr:cNvPr id="3" name="CuadroTexto 2"/>
        <xdr:cNvSpPr txBox="1"/>
      </xdr:nvSpPr>
      <xdr:spPr>
        <a:xfrm>
          <a:off x="373062" y="12596813"/>
          <a:ext cx="3960813" cy="650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Abril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8.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9.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8</xdr:col>
      <xdr:colOff>508453</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66675</xdr:colOff>
      <xdr:row>3</xdr:row>
      <xdr:rowOff>66675</xdr:rowOff>
    </xdr:from>
    <xdr:to>
      <xdr:col>12</xdr:col>
      <xdr:colOff>600074</xdr:colOff>
      <xdr:row>38</xdr:row>
      <xdr:rowOff>104774</xdr:rowOff>
    </xdr:to>
    <xdr:sp macro="" textlink="">
      <xdr:nvSpPr>
        <xdr:cNvPr id="3" name="2 CuadroTexto"/>
        <xdr:cNvSpPr txBox="1"/>
      </xdr:nvSpPr>
      <xdr:spPr>
        <a:xfrm>
          <a:off x="66675" y="942975"/>
          <a:ext cx="10534649" cy="70103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Al finalizar el mes de abril la afiliación total del SFS ascendió a 6,802,307 personas, cubriendo de esta manera al 67.6% de la población nacional.  La participación de los diferente regímenes de financiamiento es de  51.1% del Régimen Contributivo (RC), el 48.5% pertenecen al Régimen Subsidiado (RS) y el 0.4% al Régimen Especial Transitorio (RET). </a:t>
          </a:r>
          <a:r>
            <a:rPr lang="es-DO" sz="1400" baseline="0">
              <a:solidFill>
                <a:schemeClr val="dk1"/>
              </a:solidFill>
              <a:effectLst/>
              <a:latin typeface="+mn-lt"/>
              <a:ea typeface="+mn-ea"/>
              <a:cs typeface="+mn-cs"/>
            </a:rPr>
            <a:t>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La composición de la afiliación del Seguro Familiar de Salud (SFS) por sexo al mes de abril 2016 es de 51.2% femenino y 48.8% masculino, esto debido al peso mayor que tienen las mujeres en la afiliación del Régimen Subsidiado (RS).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Al mes abril 2016 la participación de mujeres en el Régimen Subsidiado fue de 52.9%; contrario al Régimen Contributivo, donde la participación masculina fue en promedio de 50.4%, lo que demuestra la inequidad de género tanto en el acceso al mercado laboral como en el fenómeno social de la pobreza.</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Al proyectar la afiliación en comparación a la población nacional, calculada en base a la tasa de crecimiento media anual, se observa que si continúa un comportamiento similar en el ritmo de crecimiento de la afiliación,  y se da inicio a la afiliación de los trabajadores independientes y cuentas propias  del Régimen Contributivo Subsidiado (RCS), se cubriría toda la población aproximadamente para el </a:t>
          </a:r>
          <a:r>
            <a:rPr lang="es-DO" sz="1400">
              <a:solidFill>
                <a:sysClr val="windowText" lastClr="000000"/>
              </a:solidFill>
              <a:effectLst/>
              <a:latin typeface="+mn-lt"/>
              <a:ea typeface="+mn-ea"/>
              <a:cs typeface="+mn-cs"/>
            </a:rPr>
            <a:t>año 2021.</a:t>
          </a:r>
        </a:p>
      </xdr:txBody>
    </xdr:sp>
    <xdr:clientData/>
  </xdr:twoCellAnchor>
  <xdr:twoCellAnchor>
    <xdr:from>
      <xdr:col>0</xdr:col>
      <xdr:colOff>0</xdr:colOff>
      <xdr:row>0</xdr:row>
      <xdr:rowOff>0</xdr:rowOff>
    </xdr:from>
    <xdr:to>
      <xdr:col>13</xdr:col>
      <xdr:colOff>9524</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359064</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85724</xdr:colOff>
      <xdr:row>4</xdr:row>
      <xdr:rowOff>38101</xdr:rowOff>
    </xdr:from>
    <xdr:to>
      <xdr:col>11</xdr:col>
      <xdr:colOff>619124</xdr:colOff>
      <xdr:row>34</xdr:row>
      <xdr:rowOff>114301</xdr:rowOff>
    </xdr:to>
    <xdr:sp macro="" textlink="">
      <xdr:nvSpPr>
        <xdr:cNvPr id="3" name="1 CuadroTexto"/>
        <xdr:cNvSpPr txBox="1"/>
      </xdr:nvSpPr>
      <xdr:spPr>
        <a:xfrm>
          <a:off x="85724" y="800101"/>
          <a:ext cx="9020175" cy="5791200"/>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abril 2016,  las Oficinas del Convenio Bilateral de Seguridad Social entre España y la RD han registrado un total de 1,183 expedientes nuevos, el 2.9% son reintroducciones de casos y el 5.4%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73.8% solicitaron certificaciones de períodos cotizados o cuantías; el 11.8% por jubilación o vejez; el 8.8% por sobrevivencia y el 5.2%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56.2% pertenecen al sexo masculino y el 43.8%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abril 2016 se han registrado 69 nuevos expedientes, de los cuales se han concluidos 10.1%.   Del total de casos nuevos, 36  fueron enviados a España en espera de documentación o resolución conclusiva, de estos,  13 solicitudes de Pensión desde República Dominicana a España, con el Formulario (FORM DO ES 02),  para tramitar pensión por jubilación, incapacidad y supervivencia y 1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9010650"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Abril 2016</a:t>
          </a:r>
        </a:p>
      </xdr:txBody>
    </xdr:sp>
    <xdr:clientData/>
  </xdr:twoCellAnchor>
  <xdr:oneCellAnchor>
    <xdr:from>
      <xdr:col>0</xdr:col>
      <xdr:colOff>524276</xdr:colOff>
      <xdr:row>0</xdr:row>
      <xdr:rowOff>204106</xdr:rowOff>
    </xdr:from>
    <xdr:ext cx="959721" cy="65314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108857</xdr:colOff>
      <xdr:row>7</xdr:row>
      <xdr:rowOff>54428</xdr:rowOff>
    </xdr:from>
    <xdr:to>
      <xdr:col>16</xdr:col>
      <xdr:colOff>775607</xdr:colOff>
      <xdr:row>48</xdr:row>
      <xdr:rowOff>68035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2.xml><?xml version="1.0" encoding="utf-8"?>
<c:userShapes xmlns:c="http://schemas.openxmlformats.org/drawingml/2006/chart">
  <cdr:relSizeAnchor xmlns:cdr="http://schemas.openxmlformats.org/drawingml/2006/chartDrawing">
    <cdr:from>
      <cdr:x>0.03673</cdr:x>
      <cdr:y>0.92746</cdr:y>
    </cdr:from>
    <cdr:to>
      <cdr:x>0.39682</cdr:x>
      <cdr:y>0.96793</cdr:y>
    </cdr:to>
    <cdr:sp macro="" textlink="">
      <cdr:nvSpPr>
        <cdr:cNvPr id="2" name="CuadroTexto 1"/>
        <cdr:cNvSpPr txBox="1"/>
      </cdr:nvSpPr>
      <cdr:spPr>
        <a:xfrm xmlns:a="http://schemas.openxmlformats.org/drawingml/2006/main">
          <a:off x="613270" y="7471078"/>
          <a:ext cx="6012050" cy="326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Consejo Nacional de Seguridad Social (CNSS).</a:t>
          </a:r>
        </a:p>
      </cdr:txBody>
    </cdr:sp>
  </cdr:relSizeAnchor>
</c:userShapes>
</file>

<file path=xl/drawings/drawing21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987136</xdr:rowOff>
    </xdr:to>
    <xdr:sp macro="" textlink="">
      <xdr:nvSpPr>
        <xdr:cNvPr id="2" name="4 Rectángulo redondeado"/>
        <xdr:cNvSpPr/>
      </xdr:nvSpPr>
      <xdr:spPr>
        <a:xfrm>
          <a:off x="0" y="0"/>
          <a:ext cx="15863455" cy="9871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Abril </a:t>
          </a:r>
          <a:r>
            <a:rPr lang="es-DO" sz="2000" b="1" baseline="0">
              <a:solidFill>
                <a:schemeClr val="lt1"/>
              </a:solidFill>
              <a:effectLst/>
              <a:latin typeface="+mn-lt"/>
              <a:ea typeface="+mn-ea"/>
              <a:cs typeface="+mn-cs"/>
            </a:rPr>
            <a:t>2016</a:t>
          </a:r>
          <a:endParaRPr lang="es-DO" sz="20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xdr:colOff>
      <xdr:row>11</xdr:row>
      <xdr:rowOff>63953</xdr:rowOff>
    </xdr:from>
    <xdr:to>
      <xdr:col>13</xdr:col>
      <xdr:colOff>714375</xdr:colOff>
      <xdr:row>55</xdr:row>
      <xdr:rowOff>166687</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4.xml><?xml version="1.0" encoding="utf-8"?>
<xdr:wsDr xmlns:xdr="http://schemas.openxmlformats.org/drawingml/2006/spreadsheetDrawing" xmlns:a="http://schemas.openxmlformats.org/drawingml/2006/main">
  <xdr:twoCellAnchor>
    <xdr:from>
      <xdr:col>0</xdr:col>
      <xdr:colOff>33617</xdr:colOff>
      <xdr:row>16</xdr:row>
      <xdr:rowOff>100853</xdr:rowOff>
    </xdr:from>
    <xdr:to>
      <xdr:col>15</xdr:col>
      <xdr:colOff>661147</xdr:colOff>
      <xdr:row>45</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Abril 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5.xml><?xml version="1.0" encoding="utf-8"?>
<c:userShapes xmlns:c="http://schemas.openxmlformats.org/drawingml/2006/chart">
  <cdr:relSizeAnchor xmlns:cdr="http://schemas.openxmlformats.org/drawingml/2006/chartDrawing">
    <cdr:from>
      <cdr:x>0.05472</cdr:x>
      <cdr:y>0.90229</cdr:y>
    </cdr:from>
    <cdr:to>
      <cdr:x>0.30206</cdr:x>
      <cdr:y>0.96182</cdr:y>
    </cdr:to>
    <cdr:sp macro="" textlink="">
      <cdr:nvSpPr>
        <cdr:cNvPr id="2" name="CuadroTexto 1"/>
        <cdr:cNvSpPr txBox="1"/>
      </cdr:nvSpPr>
      <cdr:spPr>
        <a:xfrm xmlns:a="http://schemas.openxmlformats.org/drawingml/2006/main">
          <a:off x="703286" y="4944257"/>
          <a:ext cx="3179097"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6.xml><?xml version="1.0" encoding="utf-8"?>
<xdr:wsDr xmlns:xdr="http://schemas.openxmlformats.org/drawingml/2006/spreadsheetDrawing" xmlns:a="http://schemas.openxmlformats.org/drawingml/2006/main">
  <xdr:twoCellAnchor>
    <xdr:from>
      <xdr:col>0</xdr:col>
      <xdr:colOff>108858</xdr:colOff>
      <xdr:row>16</xdr:row>
      <xdr:rowOff>95249</xdr:rowOff>
    </xdr:from>
    <xdr:to>
      <xdr:col>14</xdr:col>
      <xdr:colOff>789214</xdr:colOff>
      <xdr:row>52</xdr:row>
      <xdr:rowOff>54428</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Abril</a:t>
          </a:r>
          <a:r>
            <a:rPr lang="es-DO" sz="1800" b="1" baseline="0">
              <a:solidFill>
                <a:schemeClr val="lt1"/>
              </a:solidFill>
              <a:effectLst/>
              <a:latin typeface="+mn-lt"/>
              <a:ea typeface="+mn-ea"/>
              <a:cs typeface="+mn-cs"/>
            </a:rPr>
            <a:t> 2016</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7.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8.xml><?xml version="1.0" encoding="utf-8"?>
<xdr:wsDr xmlns:xdr="http://schemas.openxmlformats.org/drawingml/2006/spreadsheetDrawing" xmlns:a="http://schemas.openxmlformats.org/drawingml/2006/main">
  <xdr:twoCellAnchor>
    <xdr:from>
      <xdr:col>0</xdr:col>
      <xdr:colOff>0</xdr:colOff>
      <xdr:row>15</xdr:row>
      <xdr:rowOff>179294</xdr:rowOff>
    </xdr:from>
    <xdr:to>
      <xdr:col>13</xdr:col>
      <xdr:colOff>537882</xdr:colOff>
      <xdr:row>51</xdr:row>
      <xdr:rowOff>56030</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4 Rectángulo redondeado"/>
        <xdr:cNvSpPr/>
      </xdr:nvSpPr>
      <xdr:spPr>
        <a:xfrm>
          <a:off x="0" y="0"/>
          <a:ext cx="123376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 Abril</a:t>
          </a:r>
          <a:r>
            <a:rPr lang="es-DO" sz="1800" b="1">
              <a:solidFill>
                <a:schemeClr val="lt1"/>
              </a:solidFill>
              <a:effectLst/>
              <a:latin typeface="+mn-lt"/>
              <a:ea typeface="+mn-ea"/>
              <a:cs typeface="+mn-cs"/>
            </a:rPr>
            <a:t> 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9.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34636</xdr:colOff>
      <xdr:row>16</xdr:row>
      <xdr:rowOff>103907</xdr:rowOff>
    </xdr:from>
    <xdr:to>
      <xdr:col>15</xdr:col>
      <xdr:colOff>623455</xdr:colOff>
      <xdr:row>46</xdr:row>
      <xdr:rowOff>190499</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17318</xdr:rowOff>
    </xdr:to>
    <xdr:sp macro="" textlink="">
      <xdr:nvSpPr>
        <xdr:cNvPr id="4" name="3 Rectángulo redondeado"/>
        <xdr:cNvSpPr/>
      </xdr:nvSpPr>
      <xdr:spPr>
        <a:xfrm>
          <a:off x="0" y="0"/>
          <a:ext cx="20504726"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Abril 2016</a:t>
          </a:r>
          <a:endParaRPr lang="es-DO" sz="2400">
            <a:effectLst/>
          </a:endParaRPr>
        </a:p>
      </xdr:txBody>
    </xdr:sp>
    <xdr:clientData/>
  </xdr:twoCellAnchor>
  <xdr:twoCellAnchor editAs="oneCell">
    <xdr:from>
      <xdr:col>0</xdr:col>
      <xdr:colOff>796637</xdr:colOff>
      <xdr:row>0</xdr:row>
      <xdr:rowOff>190501</xdr:rowOff>
    </xdr:from>
    <xdr:to>
      <xdr:col>1</xdr:col>
      <xdr:colOff>138546</xdr:colOff>
      <xdr:row>0</xdr:row>
      <xdr:rowOff>895598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7" y="190501"/>
          <a:ext cx="987136" cy="705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67236</xdr:colOff>
      <xdr:row>15</xdr:row>
      <xdr:rowOff>67235</xdr:rowOff>
    </xdr:from>
    <xdr:to>
      <xdr:col>16</xdr:col>
      <xdr:colOff>549089</xdr:colOff>
      <xdr:row>46</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  Abril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1.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2.xml><?xml version="1.0" encoding="utf-8"?>
<xdr:wsDr xmlns:xdr="http://schemas.openxmlformats.org/drawingml/2006/spreadsheetDrawing" xmlns:a="http://schemas.openxmlformats.org/drawingml/2006/main">
  <xdr:twoCellAnchor editAs="oneCell">
    <xdr:from>
      <xdr:col>2</xdr:col>
      <xdr:colOff>285750</xdr:colOff>
      <xdr:row>3</xdr:row>
      <xdr:rowOff>57150</xdr:rowOff>
    </xdr:from>
    <xdr:to>
      <xdr:col>6</xdr:col>
      <xdr:colOff>885824</xdr:colOff>
      <xdr:row>24</xdr:row>
      <xdr:rowOff>161925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62865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xdr:wsDr xmlns:xdr="http://schemas.openxmlformats.org/drawingml/2006/spreadsheetDrawing" xmlns:a="http://schemas.openxmlformats.org/drawingml/2006/main">
  <xdr:twoCellAnchor>
    <xdr:from>
      <xdr:col>0</xdr:col>
      <xdr:colOff>15687</xdr:colOff>
      <xdr:row>15</xdr:row>
      <xdr:rowOff>89646</xdr:rowOff>
    </xdr:from>
    <xdr:to>
      <xdr:col>15</xdr:col>
      <xdr:colOff>661146</xdr:colOff>
      <xdr:row>45</xdr:row>
      <xdr:rowOff>11205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750793</xdr:colOff>
      <xdr:row>0</xdr:row>
      <xdr:rowOff>862852</xdr:rowOff>
    </xdr:to>
    <xdr:sp macro="" textlink="">
      <xdr:nvSpPr>
        <xdr:cNvPr id="4" name="6 Rectángulo redondeado"/>
        <xdr:cNvSpPr/>
      </xdr:nvSpPr>
      <xdr:spPr>
        <a:xfrm>
          <a:off x="0" y="0"/>
          <a:ext cx="11116234"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2005 - 2015</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0.04411</cdr:x>
      <cdr:y>0.93939</cdr:y>
    </cdr:from>
    <cdr:to>
      <cdr:x>0.58316</cdr:x>
      <cdr:y>0.99576</cdr:y>
    </cdr:to>
    <cdr:sp macro="" textlink="">
      <cdr:nvSpPr>
        <cdr:cNvPr id="14" name="13 CuadroTexto"/>
        <cdr:cNvSpPr txBox="1"/>
      </cdr:nvSpPr>
      <cdr:spPr>
        <a:xfrm xmlns:a="http://schemas.openxmlformats.org/drawingml/2006/main">
          <a:off x="479756" y="5210731"/>
          <a:ext cx="5862940" cy="3126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00" b="1"/>
            <a:t>Fuente: </a:t>
          </a:r>
          <a:r>
            <a:rPr lang="es-ES" sz="1000" b="0"/>
            <a:t>Banco Central de la República</a:t>
          </a:r>
          <a:r>
            <a:rPr lang="es-ES" sz="1000" b="0" baseline="0"/>
            <a:t>  Dominicana (BCRD)</a:t>
          </a:r>
        </a:p>
        <a:p xmlns:a="http://schemas.openxmlformats.org/drawingml/2006/main">
          <a:r>
            <a:rPr lang="es-ES" sz="1000" b="0" baseline="0">
              <a:latin typeface="+mn-lt"/>
              <a:ea typeface="+mn-ea"/>
              <a:cs typeface="+mn-cs"/>
            </a:rPr>
            <a:t>               </a:t>
          </a:r>
          <a:endParaRPr lang="es-ES" sz="1400" b="1"/>
        </a:p>
      </cdr:txBody>
    </cdr:sp>
  </cdr:relSizeAnchor>
</c:userShapes>
</file>

<file path=xl/drawings/drawing225.xml><?xml version="1.0" encoding="utf-8"?>
<xdr:wsDr xmlns:xdr="http://schemas.openxmlformats.org/drawingml/2006/spreadsheetDrawing" xmlns:a="http://schemas.openxmlformats.org/drawingml/2006/main">
  <xdr:twoCellAnchor>
    <xdr:from>
      <xdr:col>0</xdr:col>
      <xdr:colOff>0</xdr:colOff>
      <xdr:row>18</xdr:row>
      <xdr:rowOff>78442</xdr:rowOff>
    </xdr:from>
    <xdr:to>
      <xdr:col>11</xdr:col>
      <xdr:colOff>302559</xdr:colOff>
      <xdr:row>51</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414617</xdr:colOff>
      <xdr:row>0</xdr:row>
      <xdr:rowOff>941294</xdr:rowOff>
    </xdr:to>
    <xdr:sp macro="" textlink="">
      <xdr:nvSpPr>
        <xdr:cNvPr id="4" name="6 Rectángulo redondeado"/>
        <xdr:cNvSpPr/>
      </xdr:nvSpPr>
      <xdr:spPr>
        <a:xfrm>
          <a:off x="0" y="0"/>
          <a:ext cx="11900646"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2005 - 2015</a:t>
          </a:r>
          <a:endParaRPr lang="es-DO" sz="2400">
            <a:effectLst/>
          </a:endParaRPr>
        </a:p>
      </xdr:txBody>
    </xdr:sp>
    <xdr:clientData/>
  </xdr:twoCellAnchor>
  <xdr:twoCellAnchor editAs="oneCell">
    <xdr:from>
      <xdr:col>0</xdr:col>
      <xdr:colOff>549088</xdr:colOff>
      <xdr:row>0</xdr:row>
      <xdr:rowOff>179294</xdr:rowOff>
    </xdr:from>
    <xdr:to>
      <xdr:col>1</xdr:col>
      <xdr:colOff>515470</xdr:colOff>
      <xdr:row>0</xdr:row>
      <xdr:rowOff>662547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28382" cy="483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c:userShapes xmlns:c="http://schemas.openxmlformats.org/drawingml/2006/chart">
  <cdr:relSizeAnchor xmlns:cdr="http://schemas.openxmlformats.org/drawingml/2006/chartDrawing">
    <cdr:from>
      <cdr:x>0.03802</cdr:x>
      <cdr:y>0.85036</cdr:y>
    </cdr:from>
    <cdr:to>
      <cdr:x>0.97433</cdr:x>
      <cdr:y>0.97263</cdr:y>
    </cdr:to>
    <cdr:sp macro="" textlink="">
      <cdr:nvSpPr>
        <cdr:cNvPr id="2" name="1 CuadroTexto"/>
        <cdr:cNvSpPr txBox="1"/>
      </cdr:nvSpPr>
      <cdr:spPr>
        <a:xfrm xmlns:a="http://schemas.openxmlformats.org/drawingml/2006/main">
          <a:off x="448234" y="5221939"/>
          <a:ext cx="11037795" cy="7507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2015)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227.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8.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c:userShapes xmlns:c="http://schemas.openxmlformats.org/drawingml/2006/chart">
  <cdr:relSizeAnchor xmlns:cdr="http://schemas.openxmlformats.org/drawingml/2006/chartDrawing">
    <cdr:from>
      <cdr:x>0.04094</cdr:x>
      <cdr:y>0.87968</cdr:y>
    </cdr:from>
    <cdr:to>
      <cdr:x>0.94432</cdr:x>
      <cdr:y>0.98225</cdr:y>
    </cdr:to>
    <cdr:sp macro="" textlink="">
      <cdr:nvSpPr>
        <cdr:cNvPr id="2" name="2 CuadroTexto"/>
        <cdr:cNvSpPr txBox="1"/>
      </cdr:nvSpPr>
      <cdr:spPr>
        <a:xfrm xmlns:a="http://schemas.openxmlformats.org/drawingml/2006/main">
          <a:off x="884131" y="7723911"/>
          <a:ext cx="19509190" cy="90055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3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1.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  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2.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605118</xdr:colOff>
      <xdr:row>37</xdr:row>
      <xdr:rowOff>134471</xdr:rowOff>
    </xdr:to>
    <xdr:sp macro="" textlink="">
      <xdr:nvSpPr>
        <xdr:cNvPr id="2" name="1 CuadroTexto"/>
        <xdr:cNvSpPr txBox="1"/>
      </xdr:nvSpPr>
      <xdr:spPr>
        <a:xfrm>
          <a:off x="1" y="0"/>
          <a:ext cx="10275793" cy="7182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11206</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103910</xdr:colOff>
      <xdr:row>16</xdr:row>
      <xdr:rowOff>121228</xdr:rowOff>
    </xdr:from>
    <xdr:to>
      <xdr:col>16</xdr:col>
      <xdr:colOff>723035</xdr:colOff>
      <xdr:row>43</xdr:row>
      <xdr:rowOff>266268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969817</xdr:colOff>
      <xdr:row>0</xdr:row>
      <xdr:rowOff>1333500</xdr:rowOff>
    </xdr:to>
    <xdr:sp macro="" textlink="">
      <xdr:nvSpPr>
        <xdr:cNvPr id="4" name="3 Rectángulo redondeado"/>
        <xdr:cNvSpPr/>
      </xdr:nvSpPr>
      <xdr:spPr>
        <a:xfrm>
          <a:off x="0" y="0"/>
          <a:ext cx="20954999"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51.1% / Subsidiado (RS) 48.5% / Especial (RET) 0.4%</a:t>
          </a:r>
          <a:endParaRPr lang="es-DO" sz="4400">
            <a:effectLst/>
          </a:endParaRPr>
        </a:p>
      </xdr:txBody>
    </xdr:sp>
    <xdr:clientData/>
  </xdr:twoCellAnchor>
  <xdr:twoCellAnchor>
    <xdr:from>
      <xdr:col>0</xdr:col>
      <xdr:colOff>1091047</xdr:colOff>
      <xdr:row>43</xdr:row>
      <xdr:rowOff>259774</xdr:rowOff>
    </xdr:from>
    <xdr:to>
      <xdr:col>6</xdr:col>
      <xdr:colOff>34636</xdr:colOff>
      <xdr:row>43</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813954</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16</xdr:row>
      <xdr:rowOff>121226</xdr:rowOff>
    </xdr:from>
    <xdr:to>
      <xdr:col>16</xdr:col>
      <xdr:colOff>710045</xdr:colOff>
      <xdr:row>43</xdr:row>
      <xdr:rowOff>762000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17</xdr:col>
      <xdr:colOff>0</xdr:colOff>
      <xdr:row>1</xdr:row>
      <xdr:rowOff>138545</xdr:rowOff>
    </xdr:to>
    <xdr:sp macro="" textlink="">
      <xdr:nvSpPr>
        <xdr:cNvPr id="4" name="3 Rectángulo redondeado"/>
        <xdr:cNvSpPr/>
      </xdr:nvSpPr>
      <xdr:spPr>
        <a:xfrm>
          <a:off x="0" y="1"/>
          <a:ext cx="2150918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51.85% / Subsidiado (RS) 47.72% / Especial (RET) 0.44%</a:t>
          </a:r>
          <a:endParaRPr lang="es-DO" sz="4400">
            <a:effectLst/>
          </a:endParaRPr>
        </a:p>
      </xdr:txBody>
    </xdr:sp>
    <xdr:clientData/>
  </xdr:twoCellAnchor>
  <xdr:twoCellAnchor>
    <xdr:from>
      <xdr:col>0</xdr:col>
      <xdr:colOff>917863</xdr:colOff>
      <xdr:row>43</xdr:row>
      <xdr:rowOff>294410</xdr:rowOff>
    </xdr:from>
    <xdr:to>
      <xdr:col>7</xdr:col>
      <xdr:colOff>242454</xdr:colOff>
      <xdr:row>43</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207818</xdr:rowOff>
    </xdr:from>
    <xdr:to>
      <xdr:col>1</xdr:col>
      <xdr:colOff>420399</xdr:colOff>
      <xdr:row>0</xdr:row>
      <xdr:rowOff>1004454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07818"/>
          <a:ext cx="111529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987136</xdr:colOff>
      <xdr:row>1</xdr:row>
      <xdr:rowOff>190500</xdr:rowOff>
    </xdr:to>
    <xdr:sp macro="" textlink="">
      <xdr:nvSpPr>
        <xdr:cNvPr id="3" name="2 Rectángulo redondeado"/>
        <xdr:cNvSpPr/>
      </xdr:nvSpPr>
      <xdr:spPr>
        <a:xfrm>
          <a:off x="0" y="0"/>
          <a:ext cx="20868409"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48.8% / Mujeres 51.2% </a:t>
          </a:r>
          <a:endParaRPr lang="es-DO" sz="4400">
            <a:solidFill>
              <a:schemeClr val="bg1"/>
            </a:solidFill>
            <a:effectLst/>
          </a:endParaRPr>
        </a:p>
      </xdr:txBody>
    </xdr:sp>
    <xdr:clientData/>
  </xdr:twoCellAnchor>
  <xdr:oneCellAnchor>
    <xdr:from>
      <xdr:col>1</xdr:col>
      <xdr:colOff>969820</xdr:colOff>
      <xdr:row>0</xdr:row>
      <xdr:rowOff>190500</xdr:rowOff>
    </xdr:from>
    <xdr:ext cx="1141268" cy="818052"/>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9820" y="190500"/>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121227</xdr:colOff>
      <xdr:row>15</xdr:row>
      <xdr:rowOff>1</xdr:rowOff>
    </xdr:from>
    <xdr:to>
      <xdr:col>16</xdr:col>
      <xdr:colOff>588818</xdr:colOff>
      <xdr:row>41</xdr:row>
      <xdr:rowOff>831272</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969819</xdr:colOff>
      <xdr:row>0</xdr:row>
      <xdr:rowOff>190500</xdr:rowOff>
    </xdr:from>
    <xdr:to>
      <xdr:col>2</xdr:col>
      <xdr:colOff>571499</xdr:colOff>
      <xdr:row>0</xdr:row>
      <xdr:rowOff>957446</xdr:rowOff>
    </xdr:to>
    <xdr:pic>
      <xdr:nvPicPr>
        <xdr:cNvPr id="6" name="2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267" t="8001" r="4194" b="15499"/>
        <a:stretch/>
      </xdr:blipFill>
      <xdr:spPr bwMode="auto">
        <a:xfrm>
          <a:off x="969819" y="190500"/>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0.02822</cdr:x>
      <cdr:y>0.88323</cdr:y>
    </cdr:from>
    <cdr:to>
      <cdr:x>0.45244</cdr:x>
      <cdr:y>0.95563</cdr:y>
    </cdr:to>
    <cdr:sp macro="" textlink="">
      <cdr:nvSpPr>
        <cdr:cNvPr id="3" name="2 CuadroTexto"/>
        <cdr:cNvSpPr txBox="1"/>
      </cdr:nvSpPr>
      <cdr:spPr>
        <a:xfrm xmlns:a="http://schemas.openxmlformats.org/drawingml/2006/main">
          <a:off x="583578" y="8963441"/>
          <a:ext cx="8771983" cy="7347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187442</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187442</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0</xdr:col>
      <xdr:colOff>1389784</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18209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2005 - 2021</a:t>
          </a:r>
          <a:endParaRPr lang="es-DO" sz="4400">
            <a:effectLst/>
          </a:endParaRPr>
        </a:p>
      </xdr:txBody>
    </xdr:sp>
    <xdr:clientData/>
  </xdr:twoCellAnchor>
  <xdr:twoCellAnchor>
    <xdr:from>
      <xdr:col>0</xdr:col>
      <xdr:colOff>0</xdr:colOff>
      <xdr:row>22</xdr:row>
      <xdr:rowOff>134215</xdr:rowOff>
    </xdr:from>
    <xdr:to>
      <xdr:col>15</xdr:col>
      <xdr:colOff>904874</xdr:colOff>
      <xdr:row>67</xdr:row>
      <xdr:rowOff>95249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1</xdr:col>
      <xdr:colOff>952499</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0.03766</cdr:x>
      <cdr:y>0.93186</cdr:y>
    </cdr:from>
    <cdr:to>
      <cdr:x>0.42616</cdr:x>
      <cdr:y>0.96763</cdr:y>
    </cdr:to>
    <cdr:sp macro="" textlink="">
      <cdr:nvSpPr>
        <cdr:cNvPr id="2" name="2 CuadroTexto"/>
        <cdr:cNvSpPr txBox="1"/>
      </cdr:nvSpPr>
      <cdr:spPr>
        <a:xfrm xmlns:a="http://schemas.openxmlformats.org/drawingml/2006/main">
          <a:off x="743528" y="9473046"/>
          <a:ext cx="7669974" cy="3636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2</xdr:col>
      <xdr:colOff>272142</xdr:colOff>
      <xdr:row>8</xdr:row>
      <xdr:rowOff>13608</xdr:rowOff>
    </xdr:from>
    <xdr:to>
      <xdr:col>11</xdr:col>
      <xdr:colOff>68035</xdr:colOff>
      <xdr:row>50</xdr:row>
      <xdr:rowOff>91539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796142" y="194582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79078"/>
          <a:ext cx="12993256" cy="794443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56029</xdr:colOff>
      <xdr:row>5</xdr:row>
      <xdr:rowOff>44824</xdr:rowOff>
    </xdr:from>
    <xdr:to>
      <xdr:col>11</xdr:col>
      <xdr:colOff>1591236</xdr:colOff>
      <xdr:row>47</xdr:row>
      <xdr:rowOff>44824</xdr:rowOff>
    </xdr:to>
    <xdr:sp macro="" textlink="">
      <xdr:nvSpPr>
        <xdr:cNvPr id="2" name="1 CuadroTexto"/>
        <xdr:cNvSpPr txBox="1"/>
      </xdr:nvSpPr>
      <xdr:spPr>
        <a:xfrm>
          <a:off x="56029" y="997324"/>
          <a:ext cx="12180795" cy="802341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 abril 2016 la población total afiliada asciende a  3,473,780 de los cuales 1,578,127 son titulares; 1,714,635 dependientes directos y 181,018 dependientes adicionales.  En nueve (9)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términos porcentuales al mes de abril 2016, los afiliados titulares representan el 45.43% de la población total registrada en el SFS-RC; los dependientes totales representan el 54.57% (los dependientes directos 49.36% y los dependientes adicionales 5.21%);  mientras que para septiembre de 2007, los afiliados titulares constituían el 65.1% del total de la población cubierta por el SFS-RC, los dependientes directos el 34.7% y los dependientes adicionales el 0.2%.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1.20 (120 afiliados dependientes por cada 100 afiliados titulares) y de 1.09 para el índice de dependencia directa (109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abril</a:t>
          </a:r>
          <a:r>
            <a:rPr lang="en-US" sz="1400" baseline="0">
              <a:solidFill>
                <a:schemeClr val="dk1"/>
              </a:solidFill>
              <a:effectLst/>
              <a:latin typeface="+mn-lt"/>
              <a:ea typeface="+mn-ea"/>
              <a:cs typeface="+mn-cs"/>
            </a:rPr>
            <a:t> 2016</a:t>
          </a:r>
          <a:r>
            <a:rPr lang="en-US" sz="1400">
              <a:solidFill>
                <a:schemeClr val="dk1"/>
              </a:solidFill>
              <a:effectLst/>
              <a:latin typeface="+mn-lt"/>
              <a:ea typeface="+mn-ea"/>
              <a:cs typeface="+mn-cs"/>
            </a:rPr>
            <a:t>;  para diciembre 2007 el índice de dependencia total era de 0.61 (61 afiliados dependientes por cada 100  afiliados titulares).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abril 2016  fue de 1,750,621 </a:t>
          </a:r>
          <a:r>
            <a:rPr lang="en-US" sz="1400" baseline="0">
              <a:solidFill>
                <a:schemeClr val="dk1"/>
              </a:solidFill>
              <a:effectLst/>
              <a:latin typeface="+mn-lt"/>
              <a:ea typeface="+mn-ea"/>
              <a:cs typeface="+mn-cs"/>
            </a:rPr>
            <a:t>y la </a:t>
          </a:r>
          <a:r>
            <a:rPr lang="en-US" sz="1400">
              <a:solidFill>
                <a:schemeClr val="dk1"/>
              </a:solidFill>
              <a:effectLst/>
              <a:latin typeface="+mn-lt"/>
              <a:ea typeface="+mn-ea"/>
              <a:cs typeface="+mn-cs"/>
            </a:rPr>
            <a:t>femenina  de 1,723,159 para una participación de 50.4% y 49.6% respectivamente.   Si desagregamos la participación de ambos grupos por tipo de afiliación tenemos que en el grupo masculino los titulares representa el 51.99%,  mientras que para el femenino fue de 38.77%.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La relación de dependencia en el grupo masculino es de 0.92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(92 varones afiliados como dependientes por cada 100 afiliados como titulares);  mientras que para el grupo femenino es de 1.58 (158 mujeres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1.05 desde diciembre de 2007 al mes de abril 2016. </a:t>
          </a:r>
        </a:p>
        <a:p>
          <a:pPr eaLnBrk="1" fontAlgn="auto" latinLnBrk="0" hangingPunct="1"/>
          <a:r>
            <a:rPr lang="en-US" sz="140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4</xdr:row>
      <xdr:rowOff>112058</xdr:rowOff>
    </xdr:to>
    <xdr:sp macro="" textlink="">
      <xdr:nvSpPr>
        <xdr:cNvPr id="4" name="3 Rectángulo redondeado"/>
        <xdr:cNvSpPr/>
      </xdr:nvSpPr>
      <xdr:spPr>
        <a:xfrm>
          <a:off x="0" y="0"/>
          <a:ext cx="12472147" cy="87405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347383</xdr:colOff>
      <xdr:row>0</xdr:row>
      <xdr:rowOff>189700</xdr:rowOff>
    </xdr:from>
    <xdr:to>
      <xdr:col>1</xdr:col>
      <xdr:colOff>280148</xdr:colOff>
      <xdr:row>3</xdr:row>
      <xdr:rowOff>89647</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4481" b="13293"/>
        <a:stretch/>
      </xdr:blipFill>
      <xdr:spPr bwMode="auto">
        <a:xfrm>
          <a:off x="347383" y="189700"/>
          <a:ext cx="795618" cy="471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17319</xdr:colOff>
      <xdr:row>13</xdr:row>
      <xdr:rowOff>17317</xdr:rowOff>
    </xdr:from>
    <xdr:to>
      <xdr:col>15</xdr:col>
      <xdr:colOff>675410</xdr:colOff>
      <xdr:row>41</xdr:row>
      <xdr:rowOff>138544</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1333498</xdr:rowOff>
    </xdr:to>
    <xdr:sp macro="" textlink="">
      <xdr:nvSpPr>
        <xdr:cNvPr id="10" name="9 Rectángulo redondeado"/>
        <xdr:cNvSpPr/>
      </xdr:nvSpPr>
      <xdr:spPr>
        <a:xfrm>
          <a:off x="0" y="0"/>
          <a:ext cx="22201909" cy="133349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Abril 2016</a:t>
          </a:r>
          <a:endParaRPr lang="es-DO" sz="4000">
            <a:effectLst/>
          </a:endParaRPr>
        </a:p>
      </xdr:txBody>
    </xdr:sp>
    <xdr:clientData/>
  </xdr:twoCellAnchor>
  <xdr:twoCellAnchor editAs="oneCell">
    <xdr:from>
      <xdr:col>0</xdr:col>
      <xdr:colOff>554181</xdr:colOff>
      <xdr:row>0</xdr:row>
      <xdr:rowOff>226660</xdr:rowOff>
    </xdr:from>
    <xdr:to>
      <xdr:col>1</xdr:col>
      <xdr:colOff>423255</xdr:colOff>
      <xdr:row>0</xdr:row>
      <xdr:rowOff>1021772</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26660"/>
          <a:ext cx="1081347" cy="79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0.02724</cdr:x>
      <cdr:y>0.9358</cdr:y>
    </cdr:from>
    <cdr:to>
      <cdr:x>0.48404</cdr:x>
      <cdr:y>0.98467</cdr:y>
    </cdr:to>
    <cdr:sp macro="" textlink="">
      <cdr:nvSpPr>
        <cdr:cNvPr id="2" name="CuadroTexto 1"/>
        <cdr:cNvSpPr txBox="1"/>
      </cdr:nvSpPr>
      <cdr:spPr>
        <a:xfrm xmlns:a="http://schemas.openxmlformats.org/drawingml/2006/main">
          <a:off x="528872" y="9513153"/>
          <a:ext cx="8868170" cy="496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17</xdr:row>
      <xdr:rowOff>69272</xdr:rowOff>
    </xdr:from>
    <xdr:to>
      <xdr:col>15</xdr:col>
      <xdr:colOff>1287606</xdr:colOff>
      <xdr:row>40</xdr:row>
      <xdr:rowOff>194827</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0</xdr:rowOff>
    </xdr:to>
    <xdr:sp macro="" textlink="">
      <xdr:nvSpPr>
        <xdr:cNvPr id="4" name="9 Rectángulo redondeado"/>
        <xdr:cNvSpPr/>
      </xdr:nvSpPr>
      <xdr:spPr>
        <a:xfrm>
          <a:off x="0" y="0"/>
          <a:ext cx="203661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Abril 2015 - Abril 2016</a:t>
          </a:r>
          <a:endParaRPr lang="es-DO" sz="4000">
            <a:effectLst/>
          </a:endParaRPr>
        </a:p>
      </xdr:txBody>
    </xdr:sp>
    <xdr:clientData/>
  </xdr:twoCellAnchor>
  <xdr:twoCellAnchor editAs="oneCell">
    <xdr:from>
      <xdr:col>0</xdr:col>
      <xdr:colOff>554182</xdr:colOff>
      <xdr:row>0</xdr:row>
      <xdr:rowOff>173182</xdr:rowOff>
    </xdr:from>
    <xdr:to>
      <xdr:col>1</xdr:col>
      <xdr:colOff>450273</xdr:colOff>
      <xdr:row>0</xdr:row>
      <xdr:rowOff>899021</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2" y="173182"/>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c:userShapes xmlns:c="http://schemas.openxmlformats.org/drawingml/2006/chart">
  <cdr:relSizeAnchor xmlns:cdr="http://schemas.openxmlformats.org/drawingml/2006/chartDrawing">
    <cdr:from>
      <cdr:x>0.04134</cdr:x>
      <cdr:y>0.94344</cdr:y>
    </cdr:from>
    <cdr:to>
      <cdr:x>0.5185</cdr:x>
      <cdr:y>1</cdr:y>
    </cdr:to>
    <cdr:sp macro="" textlink="">
      <cdr:nvSpPr>
        <cdr:cNvPr id="2" name="CuadroTexto 1"/>
        <cdr:cNvSpPr txBox="1"/>
      </cdr:nvSpPr>
      <cdr:spPr>
        <a:xfrm xmlns:a="http://schemas.openxmlformats.org/drawingml/2006/main">
          <a:off x="830118" y="8173387"/>
          <a:ext cx="9580155" cy="4900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86590</xdr:colOff>
      <xdr:row>14</xdr:row>
      <xdr:rowOff>17318</xdr:rowOff>
    </xdr:from>
    <xdr:to>
      <xdr:col>15</xdr:col>
      <xdr:colOff>588817</xdr:colOff>
      <xdr:row>38</xdr:row>
      <xdr:rowOff>894050</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Abril</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939077</xdr:colOff>
      <xdr:row>39</xdr:row>
      <xdr:rowOff>368877</xdr:rowOff>
    </xdr:from>
    <xdr:to>
      <xdr:col>2</xdr:col>
      <xdr:colOff>339869</xdr:colOff>
      <xdr:row>39</xdr:row>
      <xdr:rowOff>779318</xdr:rowOff>
    </xdr:to>
    <xdr:sp macro="" textlink="">
      <xdr:nvSpPr>
        <xdr:cNvPr id="2" name="CuadroTexto 1"/>
        <xdr:cNvSpPr txBox="1"/>
      </xdr:nvSpPr>
      <xdr:spPr>
        <a:xfrm>
          <a:off x="939077" y="13632440"/>
          <a:ext cx="2329730" cy="41044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TSS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69273</xdr:colOff>
      <xdr:row>17</xdr:row>
      <xdr:rowOff>71438</xdr:rowOff>
    </xdr:from>
    <xdr:to>
      <xdr:col>15</xdr:col>
      <xdr:colOff>497898</xdr:colOff>
      <xdr:row>49</xdr:row>
      <xdr:rowOff>166688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1281545</xdr:rowOff>
    </xdr:to>
    <xdr:sp macro="" textlink="">
      <xdr:nvSpPr>
        <xdr:cNvPr id="5" name="4 Rectángulo redondeado"/>
        <xdr:cNvSpPr/>
      </xdr:nvSpPr>
      <xdr:spPr>
        <a:xfrm>
          <a:off x="0" y="0"/>
          <a:ext cx="20833773" cy="128154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Abril 2015 -  Abril</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1350818</xdr:rowOff>
    </xdr:to>
    <xdr:sp macro="" textlink="">
      <xdr:nvSpPr>
        <xdr:cNvPr id="3" name="2 Rectángulo redondeado"/>
        <xdr:cNvSpPr/>
      </xdr:nvSpPr>
      <xdr:spPr>
        <a:xfrm>
          <a:off x="0" y="0"/>
          <a:ext cx="19050001"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Abril 2016</a:t>
          </a:r>
          <a:endParaRPr lang="es-DO" sz="4000">
            <a:effectLst/>
          </a:endParaRPr>
        </a:p>
      </xdr:txBody>
    </xdr:sp>
    <xdr:clientData/>
  </xdr:twoCellAnchor>
  <xdr:twoCellAnchor editAs="oneCell">
    <xdr:from>
      <xdr:col>0</xdr:col>
      <xdr:colOff>606136</xdr:colOff>
      <xdr:row>0</xdr:row>
      <xdr:rowOff>207816</xdr:rowOff>
    </xdr:from>
    <xdr:to>
      <xdr:col>1</xdr:col>
      <xdr:colOff>658090</xdr:colOff>
      <xdr:row>0</xdr:row>
      <xdr:rowOff>1090169</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6136" y="207816"/>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69272</xdr:colOff>
      <xdr:row>36</xdr:row>
      <xdr:rowOff>311727</xdr:rowOff>
    </xdr:from>
    <xdr:to>
      <xdr:col>13</xdr:col>
      <xdr:colOff>533399</xdr:colOff>
      <xdr:row>58</xdr:row>
      <xdr:rowOff>76200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848591</xdr:colOff>
      <xdr:row>58</xdr:row>
      <xdr:rowOff>155864</xdr:rowOff>
    </xdr:from>
    <xdr:to>
      <xdr:col>6</xdr:col>
      <xdr:colOff>519546</xdr:colOff>
      <xdr:row>60</xdr:row>
      <xdr:rowOff>17319</xdr:rowOff>
    </xdr:to>
    <xdr:sp macro="" textlink="">
      <xdr:nvSpPr>
        <xdr:cNvPr id="8" name="7 CuadroTexto"/>
        <xdr:cNvSpPr txBox="1"/>
      </xdr:nvSpPr>
      <xdr:spPr>
        <a:xfrm>
          <a:off x="848591" y="13421591"/>
          <a:ext cx="7654637" cy="4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8025"/>
          <a:ext cx="15846553" cy="1135949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100853</xdr:colOff>
      <xdr:row>4</xdr:row>
      <xdr:rowOff>134472</xdr:rowOff>
    </xdr:from>
    <xdr:to>
      <xdr:col>12</xdr:col>
      <xdr:colOff>717177</xdr:colOff>
      <xdr:row>37</xdr:row>
      <xdr:rowOff>100854</xdr:rowOff>
    </xdr:to>
    <xdr:sp macro="" textlink="">
      <xdr:nvSpPr>
        <xdr:cNvPr id="2" name="1 CuadroTexto"/>
        <xdr:cNvSpPr txBox="1"/>
      </xdr:nvSpPr>
      <xdr:spPr>
        <a:xfrm>
          <a:off x="100853" y="896472"/>
          <a:ext cx="10287000" cy="643217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 pública de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3,298,747 al mes de abril 2016,  de los cuales   2,155,008 eran titulares y  1,143,739 dependientes; con un índice de dependencia de 0.53 (53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abril 2016 un 52.85%, el índice de dependencia de la afiliación femenina es de 0.45, lo que significa que por cada 100 mujeres afiliadas como titulares hay  45 dependientes;  en cuanto a la población masculina afiliada fue de 1,555,307 de los cuales 954,752 eran titulares representando un 61.39% del total de hombres afiliados.  El índice de masculinidad para dicho período  0.89 (89 hombres por cada 100 mujeres afiliadas), esto se debe básicamente a que en las zonas de mayor concentración de hogares pobres es mayor la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68037</xdr:colOff>
      <xdr:row>15</xdr:row>
      <xdr:rowOff>258534</xdr:rowOff>
    </xdr:from>
    <xdr:to>
      <xdr:col>14</xdr:col>
      <xdr:colOff>1251858</xdr:colOff>
      <xdr:row>53</xdr:row>
      <xdr:rowOff>54427</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14</xdr:col>
      <xdr:colOff>1687286</xdr:colOff>
      <xdr:row>0</xdr:row>
      <xdr:rowOff>1102178</xdr:rowOff>
    </xdr:to>
    <xdr:sp macro="" textlink="">
      <xdr:nvSpPr>
        <xdr:cNvPr id="6" name="5 Rectángulo redondeado"/>
        <xdr:cNvSpPr/>
      </xdr:nvSpPr>
      <xdr:spPr>
        <a:xfrm>
          <a:off x="0" y="0"/>
          <a:ext cx="14872607" cy="110217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1800" b="1">
              <a:solidFill>
                <a:schemeClr val="lt1"/>
              </a:solidFill>
              <a:effectLst/>
              <a:latin typeface="+mn-lt"/>
              <a:ea typeface="+mn-ea"/>
              <a:cs typeface="+mn-cs"/>
            </a:rPr>
            <a:t>Período:  Diciembre 2005 - Abril </a:t>
          </a:r>
          <a:r>
            <a:rPr lang="es-DO" sz="1800" b="1" baseline="0">
              <a:solidFill>
                <a:schemeClr val="lt1"/>
              </a:solidFill>
              <a:effectLst/>
              <a:latin typeface="+mn-lt"/>
              <a:ea typeface="+mn-ea"/>
              <a:cs typeface="+mn-cs"/>
            </a:rPr>
            <a:t>2016</a:t>
          </a:r>
          <a:endParaRPr lang="es-DO" sz="4000">
            <a:effectLst/>
          </a:endParaRPr>
        </a:p>
      </xdr:txBody>
    </xdr:sp>
    <xdr:clientData/>
  </xdr:twoCellAnchor>
  <xdr:twoCellAnchor editAs="oneCell">
    <xdr:from>
      <xdr:col>1</xdr:col>
      <xdr:colOff>471399</xdr:colOff>
      <xdr:row>0</xdr:row>
      <xdr:rowOff>136073</xdr:rowOff>
    </xdr:from>
    <xdr:to>
      <xdr:col>2</xdr:col>
      <xdr:colOff>381047</xdr:colOff>
      <xdr:row>0</xdr:row>
      <xdr:rowOff>870859</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71399" y="136073"/>
          <a:ext cx="984612" cy="734786"/>
        </a:xfrm>
        <a:prstGeom prst="rect">
          <a:avLst/>
        </a:prstGeom>
        <a:ln>
          <a:noFill/>
        </a:ln>
        <a:effectLst>
          <a:outerShdw blurRad="190500" algn="tl" rotWithShape="0">
            <a:srgbClr val="000000">
              <a:alpha val="70000"/>
            </a:srgbClr>
          </a:outerShdw>
        </a:effectLst>
      </xdr:spPr>
    </xdr:pic>
    <xdr:clientData/>
  </xdr:twoCellAnchor>
</xdr:wsDr>
</file>

<file path=xl/drawings/drawing42.xml><?xml version="1.0" encoding="utf-8"?>
<c:userShapes xmlns:c="http://schemas.openxmlformats.org/drawingml/2006/chart">
  <cdr:relSizeAnchor xmlns:cdr="http://schemas.openxmlformats.org/drawingml/2006/chartDrawing">
    <cdr:from>
      <cdr:x>0.0738</cdr:x>
      <cdr:y>0.93522</cdr:y>
    </cdr:from>
    <cdr:to>
      <cdr:x>0.37066</cdr:x>
      <cdr:y>0.98248</cdr:y>
    </cdr:to>
    <cdr:sp macro="" textlink="">
      <cdr:nvSpPr>
        <cdr:cNvPr id="2" name="CuadroTexto 1"/>
        <cdr:cNvSpPr txBox="1"/>
      </cdr:nvSpPr>
      <cdr:spPr>
        <a:xfrm xmlns:a="http://schemas.openxmlformats.org/drawingml/2006/main">
          <a:off x="1248228" y="6731907"/>
          <a:ext cx="5021036" cy="3401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SISALRIL</a:t>
          </a:r>
          <a:endParaRPr lang="es-ES" sz="1400"/>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11206</xdr:colOff>
      <xdr:row>17</xdr:row>
      <xdr:rowOff>89648</xdr:rowOff>
    </xdr:from>
    <xdr:to>
      <xdr:col>13</xdr:col>
      <xdr:colOff>593912</xdr:colOff>
      <xdr:row>42</xdr:row>
      <xdr:rowOff>145676</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Abril 2015</a:t>
          </a:r>
          <a:r>
            <a:rPr lang="es-DO" sz="1400" b="1" baseline="0">
              <a:solidFill>
                <a:schemeClr val="lt1"/>
              </a:solidFill>
              <a:effectLst/>
              <a:latin typeface="+mn-lt"/>
              <a:ea typeface="+mn-ea"/>
              <a:cs typeface="+mn-cs"/>
            </a:rPr>
            <a:t> - Abril 2016</a:t>
          </a:r>
          <a:endParaRPr lang="es-DO" sz="3200">
            <a:effectLst/>
          </a:endParaRPr>
        </a:p>
      </xdr:txBody>
    </xdr:sp>
    <xdr:clientData/>
  </xdr:twoCellAnchor>
  <xdr:twoCellAnchor editAs="oneCell">
    <xdr:from>
      <xdr:col>0</xdr:col>
      <xdr:colOff>453278</xdr:colOff>
      <xdr:row>0</xdr:row>
      <xdr:rowOff>95251</xdr:rowOff>
    </xdr:from>
    <xdr:to>
      <xdr:col>1</xdr:col>
      <xdr:colOff>344533</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739587</xdr:colOff>
      <xdr:row>40</xdr:row>
      <xdr:rowOff>190498</xdr:rowOff>
    </xdr:from>
    <xdr:to>
      <xdr:col>5</xdr:col>
      <xdr:colOff>717176</xdr:colOff>
      <xdr:row>42</xdr:row>
      <xdr:rowOff>44821</xdr:rowOff>
    </xdr:to>
    <xdr:sp macro="" textlink="">
      <xdr:nvSpPr>
        <xdr:cNvPr id="2" name="CuadroTexto 1"/>
        <xdr:cNvSpPr txBox="1"/>
      </xdr:nvSpPr>
      <xdr:spPr>
        <a:xfrm>
          <a:off x="739587" y="9569822"/>
          <a:ext cx="4818530"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16</xdr:row>
      <xdr:rowOff>67235</xdr:rowOff>
    </xdr:from>
    <xdr:to>
      <xdr:col>13</xdr:col>
      <xdr:colOff>1636058</xdr:colOff>
      <xdr:row>44</xdr:row>
      <xdr:rowOff>112059</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11206</xdr:rowOff>
    </xdr:to>
    <xdr:sp macro="" textlink="">
      <xdr:nvSpPr>
        <xdr:cNvPr id="5" name="3 Rectángulo redondeado"/>
        <xdr:cNvSpPr/>
      </xdr:nvSpPr>
      <xdr:spPr>
        <a:xfrm>
          <a:off x="0" y="0"/>
          <a:ext cx="136711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del  Seguro</a:t>
          </a:r>
          <a:r>
            <a:rPr lang="es-DO" sz="1400" b="1" baseline="0">
              <a:solidFill>
                <a:schemeClr val="lt1"/>
              </a:solidFill>
              <a:effectLst/>
              <a:latin typeface="+mn-lt"/>
              <a:ea typeface="+mn-ea"/>
              <a:cs typeface="+mn-cs"/>
            </a:rPr>
            <a:t> Familiar de Salud (</a:t>
          </a:r>
          <a:r>
            <a:rPr lang="es-DO" sz="1400" b="1">
              <a:solidFill>
                <a:schemeClr val="lt1"/>
              </a:solidFill>
              <a:effectLst/>
              <a:latin typeface="+mn-lt"/>
              <a:ea typeface="+mn-ea"/>
              <a:cs typeface="+mn-cs"/>
            </a:rPr>
            <a:t>SFS</a:t>
          </a:r>
          <a:r>
            <a:rPr lang="es-DO" sz="1400" b="1" baseline="0">
              <a:solidFill>
                <a:schemeClr val="lt1"/>
              </a:solidFill>
              <a:effectLst/>
              <a:latin typeface="+mn-lt"/>
              <a:ea typeface="+mn-ea"/>
              <a:cs typeface="+mn-cs"/>
            </a:rPr>
            <a:t>) del RS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Diciembre 2005 -  Abril 2016</a:t>
          </a:r>
          <a:endParaRPr lang="es-DO" sz="3200">
            <a:effectLst/>
          </a:endParaRPr>
        </a:p>
      </xdr:txBody>
    </xdr:sp>
    <xdr:clientData/>
  </xdr:twoCellAnchor>
  <xdr:twoCellAnchor editAs="oneCell">
    <xdr:from>
      <xdr:col>0</xdr:col>
      <xdr:colOff>437029</xdr:colOff>
      <xdr:row>0</xdr:row>
      <xdr:rowOff>190500</xdr:rowOff>
    </xdr:from>
    <xdr:to>
      <xdr:col>1</xdr:col>
      <xdr:colOff>255333</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45.xml><?xml version="1.0" encoding="utf-8"?>
<c:userShapes xmlns:c="http://schemas.openxmlformats.org/drawingml/2006/chart">
  <cdr:relSizeAnchor xmlns:cdr="http://schemas.openxmlformats.org/drawingml/2006/chartDrawing">
    <cdr:from>
      <cdr:x>0.04494</cdr:x>
      <cdr:y>0.92083</cdr:y>
    </cdr:from>
    <cdr:to>
      <cdr:x>0.35474</cdr:x>
      <cdr:y>0.975</cdr:y>
    </cdr:to>
    <cdr:sp macro="" textlink="">
      <cdr:nvSpPr>
        <cdr:cNvPr id="2" name="CuadroTexto 1"/>
        <cdr:cNvSpPr txBox="1"/>
      </cdr:nvSpPr>
      <cdr:spPr>
        <a:xfrm xmlns:a="http://schemas.openxmlformats.org/drawingml/2006/main">
          <a:off x="611297" y="4953000"/>
          <a:ext cx="4214501" cy="2913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81642</xdr:colOff>
      <xdr:row>17</xdr:row>
      <xdr:rowOff>68036</xdr:rowOff>
    </xdr:from>
    <xdr:to>
      <xdr:col>13</xdr:col>
      <xdr:colOff>176893</xdr:colOff>
      <xdr:row>49</xdr:row>
      <xdr:rowOff>56028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862852</xdr:rowOff>
    </xdr:to>
    <xdr:sp macro="" textlink="">
      <xdr:nvSpPr>
        <xdr:cNvPr id="5" name="4 Rectángulo redondeado"/>
        <xdr:cNvSpPr/>
      </xdr:nvSpPr>
      <xdr:spPr>
        <a:xfrm>
          <a:off x="0" y="0"/>
          <a:ext cx="1277470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  al  SFS del  RS por Tipo</a:t>
          </a:r>
        </a:p>
        <a:p>
          <a:pPr algn="ctr" eaLnBrk="1" fontAlgn="auto" latinLnBrk="0" hangingPunct="1"/>
          <a:r>
            <a:rPr lang="es-DO" sz="1400" b="1">
              <a:solidFill>
                <a:schemeClr val="lt1"/>
              </a:solidFill>
              <a:effectLst/>
              <a:latin typeface="+mn-lt"/>
              <a:ea typeface="+mn-ea"/>
              <a:cs typeface="+mn-cs"/>
            </a:rPr>
            <a:t>Período: Abril 2015</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  Abril</a:t>
          </a:r>
          <a:r>
            <a:rPr lang="es-DO" sz="1400" b="1" baseline="0">
              <a:solidFill>
                <a:schemeClr val="lt1"/>
              </a:solidFill>
              <a:effectLst/>
              <a:latin typeface="+mn-lt"/>
              <a:ea typeface="+mn-ea"/>
              <a:cs typeface="+mn-cs"/>
            </a:rPr>
            <a:t> 2016</a:t>
          </a:r>
          <a:endParaRPr lang="es-DO" sz="3200">
            <a:effectLst/>
          </a:endParaRPr>
        </a:p>
      </xdr:txBody>
    </xdr:sp>
    <xdr:clientData/>
  </xdr:twoCellAnchor>
  <xdr:twoCellAnchor editAs="oneCell">
    <xdr:from>
      <xdr:col>0</xdr:col>
      <xdr:colOff>465174</xdr:colOff>
      <xdr:row>0</xdr:row>
      <xdr:rowOff>166135</xdr:rowOff>
    </xdr:from>
    <xdr:to>
      <xdr:col>1</xdr:col>
      <xdr:colOff>317575</xdr:colOff>
      <xdr:row>0</xdr:row>
      <xdr:rowOff>653460</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65174" y="166135"/>
          <a:ext cx="616616" cy="487325"/>
        </a:xfrm>
        <a:prstGeom prst="rect">
          <a:avLst/>
        </a:prstGeom>
        <a:ln>
          <a:noFill/>
        </a:ln>
        <a:effectLst>
          <a:outerShdw blurRad="190500" algn="tl" rotWithShape="0">
            <a:srgbClr val="000000">
              <a:alpha val="70000"/>
            </a:srgbClr>
          </a:outerShdw>
        </a:effectLst>
      </xdr:spPr>
    </xdr:pic>
    <xdr:clientData/>
  </xdr:twoCellAnchor>
  <xdr:twoCellAnchor>
    <xdr:from>
      <xdr:col>1</xdr:col>
      <xdr:colOff>89648</xdr:colOff>
      <xdr:row>47</xdr:row>
      <xdr:rowOff>44823</xdr:rowOff>
    </xdr:from>
    <xdr:to>
      <xdr:col>3</xdr:col>
      <xdr:colOff>649941</xdr:colOff>
      <xdr:row>49</xdr:row>
      <xdr:rowOff>0</xdr:rowOff>
    </xdr:to>
    <xdr:sp macro="" textlink="">
      <xdr:nvSpPr>
        <xdr:cNvPr id="2" name="CuadroTexto 1"/>
        <xdr:cNvSpPr txBox="1"/>
      </xdr:nvSpPr>
      <xdr:spPr>
        <a:xfrm>
          <a:off x="851648" y="9849970"/>
          <a:ext cx="2756646" cy="336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0</xdr:colOff>
      <xdr:row>0</xdr:row>
      <xdr:rowOff>1190625</xdr:rowOff>
    </xdr:to>
    <xdr:sp macro="" textlink="">
      <xdr:nvSpPr>
        <xdr:cNvPr id="2" name="1 Rectángulo redondeado"/>
        <xdr:cNvSpPr/>
      </xdr:nvSpPr>
      <xdr:spPr>
        <a:xfrm>
          <a:off x="0" y="0"/>
          <a:ext cx="15463242" cy="1190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Abril</a:t>
          </a:r>
          <a:r>
            <a:rPr lang="es-DO" sz="2000" b="1">
              <a:solidFill>
                <a:schemeClr val="lt1"/>
              </a:solidFill>
              <a:effectLst/>
              <a:latin typeface="+mn-lt"/>
              <a:ea typeface="+mn-ea"/>
              <a:cs typeface="+mn-cs"/>
            </a:rPr>
            <a:t> 2016</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74413</xdr:colOff>
      <xdr:row>15</xdr:row>
      <xdr:rowOff>0</xdr:rowOff>
    </xdr:from>
    <xdr:to>
      <xdr:col>14</xdr:col>
      <xdr:colOff>610195</xdr:colOff>
      <xdr:row>36</xdr:row>
      <xdr:rowOff>133945</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549311</xdr:colOff>
      <xdr:row>36</xdr:row>
      <xdr:rowOff>81447</xdr:rowOff>
    </xdr:from>
    <xdr:to>
      <xdr:col>9</xdr:col>
      <xdr:colOff>670538</xdr:colOff>
      <xdr:row>37</xdr:row>
      <xdr:rowOff>223242</xdr:rowOff>
    </xdr:to>
    <xdr:sp macro="" textlink="">
      <xdr:nvSpPr>
        <xdr:cNvPr id="5" name="4 CuadroTexto"/>
        <xdr:cNvSpPr txBox="1"/>
      </xdr:nvSpPr>
      <xdr:spPr>
        <a:xfrm>
          <a:off x="549311" y="13342033"/>
          <a:ext cx="10732672" cy="4096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108857</xdr:colOff>
      <xdr:row>17</xdr:row>
      <xdr:rowOff>95250</xdr:rowOff>
    </xdr:from>
    <xdr:to>
      <xdr:col>10</xdr:col>
      <xdr:colOff>1183822</xdr:colOff>
      <xdr:row>58</xdr:row>
      <xdr:rowOff>136072</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0</xdr:row>
      <xdr:rowOff>979714</xdr:rowOff>
    </xdr:to>
    <xdr:sp macro="" textlink="">
      <xdr:nvSpPr>
        <xdr:cNvPr id="4" name="3 Rectángulo redondeado"/>
        <xdr:cNvSpPr/>
      </xdr:nvSpPr>
      <xdr:spPr>
        <a:xfrm>
          <a:off x="0" y="0"/>
          <a:ext cx="13770428" cy="9797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Comportamiento de la Afiliación al SFS del RS con Relación a la Población Pobre del País Según</a:t>
          </a:r>
          <a:r>
            <a:rPr lang="es-DO" sz="1600" b="1" baseline="0">
              <a:solidFill>
                <a:schemeClr val="lt1"/>
              </a:solidFill>
              <a:effectLst/>
              <a:latin typeface="+mn-lt"/>
              <a:ea typeface="+mn-ea"/>
              <a:cs typeface="+mn-cs"/>
            </a:rPr>
            <a:t> Comité de Pobreza</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Diciembre 2005 - Abril 2016</a:t>
          </a:r>
          <a:endParaRPr lang="es-DO" sz="3600">
            <a:effectLst/>
          </a:endParaRPr>
        </a:p>
      </xdr:txBody>
    </xdr:sp>
    <xdr:clientData/>
  </xdr:twoCellAnchor>
  <xdr:twoCellAnchor editAs="oneCell">
    <xdr:from>
      <xdr:col>0</xdr:col>
      <xdr:colOff>530679</xdr:colOff>
      <xdr:row>0</xdr:row>
      <xdr:rowOff>122464</xdr:rowOff>
    </xdr:from>
    <xdr:to>
      <xdr:col>1</xdr:col>
      <xdr:colOff>381000</xdr:colOff>
      <xdr:row>0</xdr:row>
      <xdr:rowOff>799926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22464"/>
          <a:ext cx="884464" cy="67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938892</xdr:colOff>
      <xdr:row>55</xdr:row>
      <xdr:rowOff>13608</xdr:rowOff>
    </xdr:from>
    <xdr:to>
      <xdr:col>5</xdr:col>
      <xdr:colOff>612321</xdr:colOff>
      <xdr:row>57</xdr:row>
      <xdr:rowOff>108858</xdr:rowOff>
    </xdr:to>
    <xdr:sp macro="" textlink="">
      <xdr:nvSpPr>
        <xdr:cNvPr id="3" name="CuadroTexto 2"/>
        <xdr:cNvSpPr txBox="1"/>
      </xdr:nvSpPr>
      <xdr:spPr>
        <a:xfrm>
          <a:off x="938892" y="12885965"/>
          <a:ext cx="6204858"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SISALRIL</a:t>
          </a:r>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606137</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44380" y="1249345"/>
          <a:ext cx="13944206" cy="8614460"/>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47625</xdr:colOff>
      <xdr:row>4</xdr:row>
      <xdr:rowOff>85725</xdr:rowOff>
    </xdr:from>
    <xdr:to>
      <xdr:col>11</xdr:col>
      <xdr:colOff>676276</xdr:colOff>
      <xdr:row>31</xdr:row>
      <xdr:rowOff>152400</xdr:rowOff>
    </xdr:to>
    <xdr:sp macro="" textlink="">
      <xdr:nvSpPr>
        <xdr:cNvPr id="2" name="1 CuadroTexto"/>
        <xdr:cNvSpPr txBox="1"/>
      </xdr:nvSpPr>
      <xdr:spPr>
        <a:xfrm>
          <a:off x="47625" y="847725"/>
          <a:ext cx="9248776" cy="5210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de este beneficio,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 abril 2016 la afiliación de este Régimen Especial asciende a 29,780  afiliados, para un nivel de ejecución de afiliación de la población objetivo de 35%.  La distribución de la afiliación por ARS para este período es como sigue:  Salud Segura 14,657 afiliados (49.2%); SENASA 10,143</a:t>
          </a:r>
          <a:r>
            <a:rPr lang="es-DO" sz="1400" b="0" baseline="0">
              <a:solidFill>
                <a:sysClr val="windowText" lastClr="000000"/>
              </a:solidFill>
            </a:rPr>
            <a:t> </a:t>
          </a:r>
          <a:r>
            <a:rPr lang="es-DO" sz="1400" b="0">
              <a:solidFill>
                <a:sysClr val="windowText" lastClr="000000"/>
              </a:solidFill>
            </a:rPr>
            <a:t>afiliados (34.1%) y SEMMA 4,980 afiliados (16.7%).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xdr:colOff>
      <xdr:row>11</xdr:row>
      <xdr:rowOff>136072</xdr:rowOff>
    </xdr:from>
    <xdr:to>
      <xdr:col>10</xdr:col>
      <xdr:colOff>1006929</xdr:colOff>
      <xdr:row>42</xdr:row>
      <xdr:rowOff>163285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1167092</xdr:colOff>
      <xdr:row>1</xdr:row>
      <xdr:rowOff>54428</xdr:rowOff>
    </xdr:to>
    <xdr:sp macro="" textlink="">
      <xdr:nvSpPr>
        <xdr:cNvPr id="4" name="3 Rectángulo redondeado"/>
        <xdr:cNvSpPr/>
      </xdr:nvSpPr>
      <xdr:spPr>
        <a:xfrm>
          <a:off x="0" y="0"/>
          <a:ext cx="12637913" cy="898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1896-379</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a:t>
          </a:r>
          <a:r>
            <a:rPr lang="es-DO" sz="1600" b="1" baseline="0">
              <a:solidFill>
                <a:schemeClr val="lt1"/>
              </a:solidFill>
              <a:effectLst/>
              <a:latin typeface="+mn-lt"/>
              <a:ea typeface="+mn-ea"/>
              <a:cs typeface="+mn-cs"/>
            </a:rPr>
            <a:t> Abril </a:t>
          </a:r>
          <a:r>
            <a:rPr lang="es-DO" sz="1600" b="1">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549088</xdr:colOff>
      <xdr:row>0</xdr:row>
      <xdr:rowOff>179294</xdr:rowOff>
    </xdr:from>
    <xdr:to>
      <xdr:col>1</xdr:col>
      <xdr:colOff>424862</xdr:colOff>
      <xdr:row>0</xdr:row>
      <xdr:rowOff>722622</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36226" cy="543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11206</xdr:colOff>
      <xdr:row>41</xdr:row>
      <xdr:rowOff>26414</xdr:rowOff>
    </xdr:from>
    <xdr:to>
      <xdr:col>5</xdr:col>
      <xdr:colOff>913279</xdr:colOff>
      <xdr:row>42</xdr:row>
      <xdr:rowOff>160884</xdr:rowOff>
    </xdr:to>
    <xdr:sp macro="" textlink="">
      <xdr:nvSpPr>
        <xdr:cNvPr id="2" name="CuadroTexto 1"/>
        <xdr:cNvSpPr txBox="1"/>
      </xdr:nvSpPr>
      <xdr:spPr>
        <a:xfrm>
          <a:off x="868456" y="9047950"/>
          <a:ext cx="5174716" cy="3249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Portal de la SISALRIL</a:t>
          </a:r>
          <a:endParaRPr lang="es-ES" sz="14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27214</xdr:colOff>
      <xdr:row>17</xdr:row>
      <xdr:rowOff>68034</xdr:rowOff>
    </xdr:from>
    <xdr:to>
      <xdr:col>11</xdr:col>
      <xdr:colOff>1156607</xdr:colOff>
      <xdr:row>52</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Abril </a:t>
          </a:r>
          <a:r>
            <a:rPr lang="es-DO" sz="1600" b="1">
              <a:solidFill>
                <a:schemeClr val="lt1"/>
              </a:solidFill>
              <a:effectLst/>
              <a:latin typeface="+mn-lt"/>
              <a:ea typeface="+mn-ea"/>
              <a:cs typeface="+mn-cs"/>
            </a:rPr>
            <a:t>2015 -Abril </a:t>
          </a:r>
          <a:r>
            <a:rPr lang="es-DO" sz="1600" b="1" baseline="0">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593912</xdr:colOff>
      <xdr:row>0</xdr:row>
      <xdr:rowOff>235323</xdr:rowOff>
    </xdr:from>
    <xdr:to>
      <xdr:col>1</xdr:col>
      <xdr:colOff>290152</xdr:colOff>
      <xdr:row>0</xdr:row>
      <xdr:rowOff>714837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912" y="235323"/>
          <a:ext cx="669550" cy="47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71440</xdr:colOff>
      <xdr:row>17</xdr:row>
      <xdr:rowOff>25513</xdr:rowOff>
    </xdr:from>
    <xdr:to>
      <xdr:col>12</xdr:col>
      <xdr:colOff>928688</xdr:colOff>
      <xdr:row>52</xdr:row>
      <xdr:rowOff>95249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a:t>
          </a:r>
        </a:p>
        <a:p>
          <a:pPr algn="ctr" eaLnBrk="1" fontAlgn="auto" latinLnBrk="0" hangingPunct="1"/>
          <a:r>
            <a:rPr lang="es-DO" sz="1600" b="1">
              <a:solidFill>
                <a:schemeClr val="lt1"/>
              </a:solidFill>
              <a:effectLst/>
              <a:latin typeface="+mn-lt"/>
              <a:ea typeface="+mn-ea"/>
              <a:cs typeface="+mn-cs"/>
            </a:rPr>
            <a:t>Período: Abril 2015 - Abril</a:t>
          </a:r>
          <a:r>
            <a:rPr lang="es-DO" sz="1600" b="1" baseline="0">
              <a:solidFill>
                <a:schemeClr val="lt1"/>
              </a:solidFill>
              <a:effectLst/>
              <a:latin typeface="+mn-lt"/>
              <a:ea typeface="+mn-ea"/>
              <a:cs typeface="+mn-cs"/>
            </a:rPr>
            <a:t> 2016</a:t>
          </a:r>
          <a:endParaRPr lang="es-DO" sz="3200" b="1">
            <a:effectLst/>
          </a:endParaRPr>
        </a:p>
      </xdr:txBody>
    </xdr:sp>
    <xdr:clientData/>
  </xdr:twoCellAnchor>
  <xdr:twoCellAnchor editAs="oneCell">
    <xdr:from>
      <xdr:col>0</xdr:col>
      <xdr:colOff>627528</xdr:colOff>
      <xdr:row>0</xdr:row>
      <xdr:rowOff>224117</xdr:rowOff>
    </xdr:from>
    <xdr:to>
      <xdr:col>1</xdr:col>
      <xdr:colOff>462020</xdr:colOff>
      <xdr:row>0</xdr:row>
      <xdr:rowOff>739588</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528" y="224117"/>
          <a:ext cx="719757" cy="515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6.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19438</xdr:colOff>
      <xdr:row>4</xdr:row>
      <xdr:rowOff>126350</xdr:rowOff>
    </xdr:from>
    <xdr:to>
      <xdr:col>12</xdr:col>
      <xdr:colOff>602602</xdr:colOff>
      <xdr:row>39</xdr:row>
      <xdr:rowOff>97194</xdr:rowOff>
    </xdr:to>
    <xdr:sp macro="" textlink="">
      <xdr:nvSpPr>
        <xdr:cNvPr id="2" name="1 CuadroTexto"/>
        <xdr:cNvSpPr txBox="1"/>
      </xdr:nvSpPr>
      <xdr:spPr>
        <a:xfrm>
          <a:off x="19438" y="903901"/>
          <a:ext cx="10215077" cy="682301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2015 de un 10.61%,  situándose para esa fecha en 3,269,757.  El crecimiento promedio anual de los afiliados cotizantes activos fue de 9.22% pasando de 576,869 en diciembre de 2003 a 1,617,107 al mes de diciembre de 2015.</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relación de cotizantes/afiliados, conocida como densidad de cotizantes, ha pasado de 58.5% en diciembre de 2003 a 49.4% al mes de abril 2016, reflejando una baja de 9.08%, debido principalmente a que la afiliación se acumula  y los cotizantes son los trabajadores que están activo al momento de producirse la información.</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Al finalizar el mes de abril 2016, el 1.40% de los cotizantes eran menores de 19 años: estando la mayor agrupación de cotizantes entre las edades de 20 a 49 años que representan el 78.04%;  el 13.18% corresponde al grupo etario de las edades de 50 a 59 años y un aspecto a destacar es que el 7.38% de los cotizantes tienen más de 60 años. Con relación al sexo se tiene el 56% son masculinos y el 44% femeninos.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El  71.1% de los cotizantes del sistema están dentro del rango de salario mínimos cotizables de 0-2 salarios;  el 23.8% entre 2-6 salarios mínimos y el 5.0% más de 6 salarios mínimos. </a:t>
          </a:r>
          <a:endParaRPr lang="es-DO" sz="1400" b="0" i="0" baseline="0">
            <a:solidFill>
              <a:sysClr val="windowText" lastClr="000000"/>
            </a:solidFill>
            <a:effectLst/>
            <a:latin typeface="+mn-lt"/>
            <a:ea typeface="+mn-ea"/>
            <a:cs typeface="+mn-cs"/>
          </a:endParaRPr>
        </a:p>
        <a:p>
          <a:pPr eaLnBrk="1" fontAlgn="auto" latinLnBrk="0" hangingPunct="1"/>
          <a:endParaRPr lang="es-DO" sz="1400" b="0" i="0" baseline="0">
            <a:solidFill>
              <a:sysClr val="windowText" lastClr="000000"/>
            </a:solidFill>
            <a:effectLst/>
            <a:latin typeface="+mn-lt"/>
            <a:ea typeface="+mn-ea"/>
            <a:cs typeface="+mn-cs"/>
          </a:endParaRPr>
        </a:p>
        <a:p>
          <a:pPr eaLnBrk="1" fontAlgn="auto" latinLnBrk="0" hangingPunct="1"/>
          <a:r>
            <a:rPr lang="es-DO" sz="1400" b="0" i="0" baseline="0">
              <a:solidFill>
                <a:sysClr val="windowText" lastClr="000000"/>
              </a:solidFill>
              <a:effectLst/>
              <a:latin typeface="+mn-lt"/>
              <a:ea typeface="+mn-ea"/>
              <a:cs typeface="+mn-cs"/>
            </a:rPr>
            <a:t>De las cinco (5) Administradoras de Fondos de Pensiones, el 57.27% de los cotizantes están afiliados a dos AFP's;  Popular con un 29.2% y Scotia Crecer con un 28.0%.  En el Sistema de Reparto cotizan alrededor de un 8.1% (5.7% en Reparto Individualizado y 2.4% en el Ministerio de Hacienda). </a:t>
          </a:r>
        </a:p>
        <a:p>
          <a:pPr eaLnBrk="1" fontAlgn="auto" latinLnBrk="0" hangingPunct="1"/>
          <a:endParaRPr lang="es-DO" sz="1400" b="0" i="0" baseline="0">
            <a:solidFill>
              <a:sysClr val="windowText" lastClr="000000"/>
            </a:solidFill>
            <a:effectLst/>
            <a:latin typeface="+mn-lt"/>
            <a:ea typeface="+mn-ea"/>
            <a:cs typeface="+mn-cs"/>
          </a:endParaRPr>
        </a:p>
        <a:p>
          <a:pPr eaLnBrk="1" fontAlgn="auto" latinLnBrk="0" hangingPunct="1"/>
          <a:r>
            <a:rPr lang="es-DO" sz="1400" b="0" i="0" baseline="0">
              <a:solidFill>
                <a:sysClr val="windowText" lastClr="000000"/>
              </a:solidFill>
              <a:effectLst/>
              <a:latin typeface="+mn-lt"/>
              <a:ea typeface="+mn-ea"/>
              <a:cs typeface="+mn-cs"/>
            </a:rPr>
            <a:t>Desde el año 2005 hasta abril 2016 se efectuaron un total de traspasos de afiliados de 162,132, de los cuales 44,681 corresponden a  los traspasos de los docentes de la Secretaría de Estado de Educación afiliados a las AFP’s, al Instituto Nacional de Bienestar Magisterial (INABIMA).  Entre el enero 2005 al mes de abril 2016, las AFP cedieron 53,216 traspasos de afiliados, observándose que  se distribuyeron en las siguientes entidades de reparto: Ministerio de Hacienda e INABIMA.  </a:t>
          </a:r>
        </a:p>
        <a:p>
          <a:pPr eaLnBrk="1" fontAlgn="auto" latinLnBrk="0" hangingPunct="1"/>
          <a:r>
            <a:rPr lang="es-DO" sz="1400" b="0" i="0" baseline="0">
              <a:solidFill>
                <a:sysClr val="windowText" lastClr="000000"/>
              </a:solidFill>
              <a:effectLst/>
              <a:latin typeface="+mn-lt"/>
              <a:ea typeface="+mn-ea"/>
              <a:cs typeface="+mn-cs"/>
            </a:rPr>
            <a:t> </a:t>
          </a:r>
        </a:p>
        <a:p>
          <a:pPr eaLnBrk="1" fontAlgn="auto" latinLnBrk="0" hangingPunct="1"/>
          <a:r>
            <a:rPr lang="es-DO" sz="1400" b="0" i="0" baseline="0">
              <a:solidFill>
                <a:sysClr val="windowText" lastClr="000000"/>
              </a:solidFill>
              <a:effectLst/>
              <a:latin typeface="+mn-lt"/>
              <a:ea typeface="+mn-ea"/>
              <a:cs typeface="+mn-cs"/>
            </a:rPr>
            <a:t>Al evaluar la distribución geográfica de los afiliados al Sistema de Capitalización Individual, al mes de marzo 2016, se observa una mayor concentración de los trabajadores en el Distrito Nacional, con un 19.8% del total de afiliados a nivel nacional, seguido por la provincia de Santo Domingo, con un 13.5% y la provincia de Santiago con un 10.2%, el resto de las provincias del país presentan una participación de menor al 4%  del total de la afiliación nacional cada una.</a:t>
          </a:r>
        </a:p>
      </xdr:txBody>
    </xdr:sp>
    <xdr:clientData/>
  </xdr:twoCellAnchor>
  <xdr:twoCellAnchor>
    <xdr:from>
      <xdr:col>0</xdr:col>
      <xdr:colOff>0</xdr:colOff>
      <xdr:row>0</xdr:row>
      <xdr:rowOff>0</xdr:rowOff>
    </xdr:from>
    <xdr:to>
      <xdr:col>12</xdr:col>
      <xdr:colOff>748393</xdr:colOff>
      <xdr:row>4</xdr:row>
      <xdr:rowOff>0</xdr:rowOff>
    </xdr:to>
    <xdr:sp macro="" textlink="">
      <xdr:nvSpPr>
        <xdr:cNvPr id="3" name="2 Rectángulo redondeado"/>
        <xdr:cNvSpPr/>
      </xdr:nvSpPr>
      <xdr:spPr>
        <a:xfrm>
          <a:off x="0" y="0"/>
          <a:ext cx="10380306" cy="77755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baseline="0">
              <a:solidFill>
                <a:schemeClr val="lt1"/>
              </a:solidFill>
              <a:effectLst/>
              <a:latin typeface="+mn-lt"/>
              <a:ea typeface="+mn-ea"/>
              <a:cs typeface="+mn-cs"/>
            </a:rPr>
            <a:t>Sistema Dominicano de Seguridad Social (SDSS)</a:t>
          </a:r>
          <a:endParaRPr lang="es-DO" sz="1600" b="1" i="0">
            <a:solidFill>
              <a:schemeClr val="lt1"/>
            </a:solidFill>
            <a:effectLst/>
            <a:latin typeface="+mn-lt"/>
            <a:ea typeface="+mn-ea"/>
            <a:cs typeface="+mn-cs"/>
          </a:endParaRPr>
        </a:p>
        <a:p>
          <a:pPr algn="ctr"/>
          <a:r>
            <a:rPr lang="es-DO" sz="1600" b="1">
              <a:solidFill>
                <a:schemeClr val="lt1"/>
              </a:solidFill>
              <a:effectLst/>
              <a:latin typeface="+mn-lt"/>
              <a:ea typeface="+mn-ea"/>
              <a:cs typeface="+mn-cs"/>
            </a:rPr>
            <a:t>Afiliación al Seguro de Vejez, Discapacidad y Sobrevivencia</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(SVDS)</a:t>
          </a:r>
          <a:endParaRPr lang="es-DO" sz="1600">
            <a:effectLst/>
          </a:endParaRPr>
        </a:p>
      </xdr:txBody>
    </xdr:sp>
    <xdr:clientData/>
  </xdr:twoCellAnchor>
  <xdr:twoCellAnchor editAs="oneCell">
    <xdr:from>
      <xdr:col>0</xdr:col>
      <xdr:colOff>375053</xdr:colOff>
      <xdr:row>0</xdr:row>
      <xdr:rowOff>169854</xdr:rowOff>
    </xdr:from>
    <xdr:to>
      <xdr:col>1</xdr:col>
      <xdr:colOff>338199</xdr:colOff>
      <xdr:row>3</xdr:row>
      <xdr:rowOff>48599</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9854"/>
          <a:ext cx="721258" cy="46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0</xdr:colOff>
      <xdr:row>17</xdr:row>
      <xdr:rowOff>56031</xdr:rowOff>
    </xdr:from>
    <xdr:to>
      <xdr:col>13</xdr:col>
      <xdr:colOff>350183</xdr:colOff>
      <xdr:row>49</xdr:row>
      <xdr:rowOff>56029</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2003 - </a:t>
          </a:r>
          <a:r>
            <a:rPr lang="es-DO" sz="1600" b="1" baseline="0">
              <a:solidFill>
                <a:schemeClr val="lt1"/>
              </a:solidFill>
              <a:effectLst/>
              <a:latin typeface="+mn-lt"/>
              <a:ea typeface="+mn-ea"/>
              <a:cs typeface="+mn-cs"/>
            </a:rPr>
            <a:t>Abril 2016</a:t>
          </a:r>
          <a:endParaRPr lang="es-DO" sz="3600">
            <a:effectLst/>
          </a:endParaRPr>
        </a:p>
      </xdr:txBody>
    </xdr:sp>
    <xdr:clientData/>
  </xdr:twoCellAnchor>
  <xdr:oneCellAnchor>
    <xdr:from>
      <xdr:col>0</xdr:col>
      <xdr:colOff>795618</xdr:colOff>
      <xdr:row>0</xdr:row>
      <xdr:rowOff>201706</xdr:rowOff>
    </xdr:from>
    <xdr:ext cx="731336" cy="537882"/>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95618" y="201706"/>
          <a:ext cx="731336" cy="537882"/>
        </a:xfrm>
        <a:prstGeom prst="rect">
          <a:avLst/>
        </a:prstGeom>
        <a:ln>
          <a:noFill/>
        </a:ln>
        <a:effectLst>
          <a:outerShdw blurRad="190500" algn="tl" rotWithShape="0">
            <a:srgbClr val="000000">
              <a:alpha val="70000"/>
            </a:srgbClr>
          </a:outerShdw>
        </a:effec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1</xdr:colOff>
      <xdr:row>0</xdr:row>
      <xdr:rowOff>0</xdr:rowOff>
    </xdr:from>
    <xdr:to>
      <xdr:col>12</xdr:col>
      <xdr:colOff>728381</xdr:colOff>
      <xdr:row>44</xdr:row>
      <xdr:rowOff>179294</xdr:rowOff>
    </xdr:to>
    <xdr:sp macro="" textlink="">
      <xdr:nvSpPr>
        <xdr:cNvPr id="2" name="1 CuadroTexto"/>
        <xdr:cNvSpPr txBox="1"/>
      </xdr:nvSpPr>
      <xdr:spPr>
        <a:xfrm>
          <a:off x="1" y="0"/>
          <a:ext cx="10005730" cy="856129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40363" y="1250459"/>
          <a:ext cx="10562199" cy="6596970"/>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0.03972</cdr:x>
      <cdr:y>0.94667</cdr:y>
    </cdr:from>
    <cdr:to>
      <cdr:x>0.41335</cdr:x>
      <cdr:y>1</cdr:y>
    </cdr:to>
    <cdr:sp macro="" textlink="">
      <cdr:nvSpPr>
        <cdr:cNvPr id="2" name="5 CuadroTexto"/>
        <cdr:cNvSpPr txBox="1"/>
      </cdr:nvSpPr>
      <cdr:spPr>
        <a:xfrm xmlns:a="http://schemas.openxmlformats.org/drawingml/2006/main">
          <a:off x="649514" y="5796640"/>
          <a:ext cx="6109607" cy="32657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61.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31750</xdr:colOff>
      <xdr:row>17</xdr:row>
      <xdr:rowOff>0</xdr:rowOff>
    </xdr:from>
    <xdr:to>
      <xdr:col>13</xdr:col>
      <xdr:colOff>1349375</xdr:colOff>
      <xdr:row>50</xdr:row>
      <xdr:rowOff>79376</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397288</xdr:colOff>
      <xdr:row>51</xdr:row>
      <xdr:rowOff>131535</xdr:rowOff>
    </xdr:from>
    <xdr:to>
      <xdr:col>5</xdr:col>
      <xdr:colOff>696645</xdr:colOff>
      <xdr:row>53</xdr:row>
      <xdr:rowOff>77107</xdr:rowOff>
    </xdr:to>
    <xdr:sp macro="" textlink="">
      <xdr:nvSpPr>
        <xdr:cNvPr id="6" name="5 CuadroTexto"/>
        <xdr:cNvSpPr txBox="1"/>
      </xdr:nvSpPr>
      <xdr:spPr>
        <a:xfrm>
          <a:off x="397288" y="12339410"/>
          <a:ext cx="6109607"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b="1" baseline="0"/>
            <a:t> </a:t>
          </a:r>
          <a:r>
            <a:rPr lang="es-DO" sz="1400" baseline="0"/>
            <a:t>SIPEN</a:t>
          </a:r>
          <a:endParaRPr lang="es-DO" sz="1400"/>
        </a:p>
      </xdr:txBody>
    </xdr:sp>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Abril 2015 </a:t>
          </a:r>
          <a:r>
            <a:rPr lang="es-DO" sz="2000" b="1">
              <a:solidFill>
                <a:schemeClr val="lt1"/>
              </a:solidFill>
              <a:effectLst/>
              <a:latin typeface="+mn-lt"/>
              <a:ea typeface="+mn-ea"/>
              <a:cs typeface="+mn-cs"/>
            </a:rPr>
            <a:t>-  Abril 2016</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62.xml><?xml version="1.0" encoding="utf-8"?>
<c:userShapes xmlns:c="http://schemas.openxmlformats.org/drawingml/2006/chart">
  <cdr:relSizeAnchor xmlns:cdr="http://schemas.openxmlformats.org/drawingml/2006/chartDrawing">
    <cdr:from>
      <cdr:x>0.28073</cdr:x>
      <cdr:y>0.02118</cdr:y>
    </cdr:from>
    <cdr:to>
      <cdr:x>0.68444</cdr:x>
      <cdr:y>0.06876</cdr:y>
    </cdr:to>
    <cdr:sp macro="" textlink="">
      <cdr:nvSpPr>
        <cdr:cNvPr id="2" name="6 CuadroTexto"/>
        <cdr:cNvSpPr txBox="1"/>
      </cdr:nvSpPr>
      <cdr:spPr>
        <a:xfrm xmlns:a="http://schemas.openxmlformats.org/drawingml/2006/main">
          <a:off x="4670425" y="161925"/>
          <a:ext cx="6716569" cy="36368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44824</xdr:colOff>
      <xdr:row>17</xdr:row>
      <xdr:rowOff>44823</xdr:rowOff>
    </xdr:from>
    <xdr:to>
      <xdr:col>14</xdr:col>
      <xdr:colOff>627529</xdr:colOff>
      <xdr:row>54</xdr:row>
      <xdr:rowOff>156882</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874058</xdr:rowOff>
    </xdr:to>
    <xdr:sp macro="" textlink="">
      <xdr:nvSpPr>
        <xdr:cNvPr id="4" name="3 Rectángulo redondeado"/>
        <xdr:cNvSpPr/>
      </xdr:nvSpPr>
      <xdr:spPr>
        <a:xfrm>
          <a:off x="0" y="0"/>
          <a:ext cx="12057528" cy="87405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400" b="1">
              <a:solidFill>
                <a:schemeClr val="lt1"/>
              </a:solidFill>
              <a:effectLst/>
              <a:latin typeface="+mn-lt"/>
              <a:ea typeface="+mn-ea"/>
              <a:cs typeface="+mn-cs"/>
            </a:rPr>
            <a:t>Período: Diciembre 2005 - Abril 2016</a:t>
          </a:r>
          <a:endParaRPr lang="es-DO" sz="3200">
            <a:effectLst/>
          </a:endParaRPr>
        </a:p>
      </xdr:txBody>
    </xdr:sp>
    <xdr:clientData/>
  </xdr:twoCellAnchor>
  <xdr:oneCellAnchor>
    <xdr:from>
      <xdr:col>0</xdr:col>
      <xdr:colOff>515471</xdr:colOff>
      <xdr:row>0</xdr:row>
      <xdr:rowOff>156882</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471" y="156882"/>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638734</xdr:colOff>
      <xdr:row>52</xdr:row>
      <xdr:rowOff>112059</xdr:rowOff>
    </xdr:from>
    <xdr:to>
      <xdr:col>6</xdr:col>
      <xdr:colOff>134470</xdr:colOff>
      <xdr:row>54</xdr:row>
      <xdr:rowOff>179294</xdr:rowOff>
    </xdr:to>
    <xdr:sp macro="" textlink="">
      <xdr:nvSpPr>
        <xdr:cNvPr id="2" name="CuadroTexto 1"/>
        <xdr:cNvSpPr txBox="1"/>
      </xdr:nvSpPr>
      <xdr:spPr>
        <a:xfrm>
          <a:off x="638734" y="10836088"/>
          <a:ext cx="4840942" cy="4482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BCRD, portal</a:t>
          </a:r>
          <a:r>
            <a:rPr lang="es-ES" sz="1100" baseline="0"/>
            <a:t> SIPEN</a:t>
          </a:r>
          <a:endParaRPr lang="es-ES" sz="1100"/>
        </a:p>
      </xdr:txBody>
    </xdr:sp>
    <xdr:clientData/>
  </xdr:twoCellAnchor>
</xdr:wsDr>
</file>

<file path=xl/drawings/drawing64.xml><?xml version="1.0" encoding="utf-8"?>
<c:userShapes xmlns:c="http://schemas.openxmlformats.org/drawingml/2006/chart">
  <cdr:relSizeAnchor xmlns:cdr="http://schemas.openxmlformats.org/drawingml/2006/chartDrawing">
    <cdr:from>
      <cdr:x>0.16967</cdr:x>
      <cdr:y>0.01887</cdr:y>
    </cdr:from>
    <cdr:to>
      <cdr:x>0.86494</cdr:x>
      <cdr:y>0.09186</cdr:y>
    </cdr:to>
    <cdr:sp macro="" textlink="">
      <cdr:nvSpPr>
        <cdr:cNvPr id="2" name="1 CuadroTexto"/>
        <cdr:cNvSpPr txBox="1"/>
      </cdr:nvSpPr>
      <cdr:spPr>
        <a:xfrm xmlns:a="http://schemas.openxmlformats.org/drawingml/2006/main">
          <a:off x="2055312" y="140436"/>
          <a:ext cx="8422187" cy="54309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600" b="1">
              <a:effectLst/>
              <a:latin typeface="+mn-lt"/>
              <a:ea typeface="+mn-ea"/>
              <a:cs typeface="+mn-cs"/>
            </a:rPr>
            <a:t>Comparación anual del número de Afiliados Cotizantes con la  Población Ocupada Formal</a:t>
          </a:r>
          <a:endParaRPr lang="es-ES" sz="2400">
            <a:effectLst/>
          </a:endParaRP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0</xdr:colOff>
      <xdr:row>14</xdr:row>
      <xdr:rowOff>190499</xdr:rowOff>
    </xdr:from>
    <xdr:to>
      <xdr:col>11</xdr:col>
      <xdr:colOff>2326821</xdr:colOff>
      <xdr:row>38</xdr:row>
      <xdr:rowOff>176892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Abril 2016</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0.03916</cdr:x>
      <cdr:y>0.92586</cdr:y>
    </cdr:from>
    <cdr:to>
      <cdr:x>0.16444</cdr:x>
      <cdr:y>0.97913</cdr:y>
    </cdr:to>
    <cdr:sp macro="" textlink="">
      <cdr:nvSpPr>
        <cdr:cNvPr id="2" name="CuadroTexto 1"/>
        <cdr:cNvSpPr txBox="1"/>
      </cdr:nvSpPr>
      <cdr:spPr>
        <a:xfrm xmlns:a="http://schemas.openxmlformats.org/drawingml/2006/main">
          <a:off x="599463" y="6639310"/>
          <a:ext cx="1917858" cy="3819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14</xdr:row>
      <xdr:rowOff>202407</xdr:rowOff>
    </xdr:from>
    <xdr:to>
      <xdr:col>11</xdr:col>
      <xdr:colOff>1183822</xdr:colOff>
      <xdr:row>37</xdr:row>
      <xdr:rowOff>163286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Abril 2016</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0.03963</cdr:x>
      <cdr:y>0.90659</cdr:y>
    </cdr:from>
    <cdr:to>
      <cdr:x>0.79865</cdr:x>
      <cdr:y>0.9682</cdr:y>
    </cdr:to>
    <cdr:sp macro="" textlink="">
      <cdr:nvSpPr>
        <cdr:cNvPr id="2" name="1 CuadroTexto"/>
        <cdr:cNvSpPr txBox="1"/>
      </cdr:nvSpPr>
      <cdr:spPr>
        <a:xfrm xmlns:a="http://schemas.openxmlformats.org/drawingml/2006/main">
          <a:off x="568941" y="6206576"/>
          <a:ext cx="10896139" cy="4218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a:p xmlns:a="http://schemas.openxmlformats.org/drawingml/2006/main">
          <a:r>
            <a:rPr lang="en-US" sz="1400">
              <a:solidFill>
                <a:sysClr val="windowText" lastClr="000000"/>
              </a:solidFill>
            </a:rPr>
            <a:t>)</a:t>
          </a: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0</xdr:colOff>
      <xdr:row>5</xdr:row>
      <xdr:rowOff>176893</xdr:rowOff>
    </xdr:from>
    <xdr:to>
      <xdr:col>11</xdr:col>
      <xdr:colOff>979713</xdr:colOff>
      <xdr:row>42</xdr:row>
      <xdr:rowOff>108857</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Abril 2016</a:t>
          </a:r>
          <a:endParaRPr lang="es-DO" sz="3600">
            <a:effectLst/>
          </a:endParaRPr>
        </a:p>
      </xdr:txBody>
    </xdr:sp>
    <xdr:clientData/>
  </xdr:twoCellAnchor>
  <xdr:twoCellAnchor editAs="oneCell">
    <xdr:from>
      <xdr:col>0</xdr:col>
      <xdr:colOff>437029</xdr:colOff>
      <xdr:row>0</xdr:row>
      <xdr:rowOff>201706</xdr:rowOff>
    </xdr:from>
    <xdr:to>
      <xdr:col>1</xdr:col>
      <xdr:colOff>362286</xdr:colOff>
      <xdr:row>0</xdr:row>
      <xdr:rowOff>789214</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201706"/>
          <a:ext cx="768900" cy="58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122465</xdr:colOff>
      <xdr:row>7</xdr:row>
      <xdr:rowOff>190499</xdr:rowOff>
    </xdr:from>
    <xdr:to>
      <xdr:col>9</xdr:col>
      <xdr:colOff>639536</xdr:colOff>
      <xdr:row>37</xdr:row>
      <xdr:rowOff>149678</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08465" y="1523999"/>
          <a:ext cx="5225142" cy="5674179"/>
        </a:xfrm>
        <a:prstGeom prst="rect">
          <a:avLst/>
        </a:prstGeom>
        <a:noFill/>
        <a:ln>
          <a:noFill/>
        </a:ln>
      </xdr:spPr>
    </xdr:pic>
    <xdr:clientData/>
  </xdr:twoCellAnchor>
  <xdr:twoCellAnchor>
    <xdr:from>
      <xdr:col>0</xdr:col>
      <xdr:colOff>704369</xdr:colOff>
      <xdr:row>10</xdr:row>
      <xdr:rowOff>143276</xdr:rowOff>
    </xdr:from>
    <xdr:to>
      <xdr:col>12</xdr:col>
      <xdr:colOff>285750</xdr:colOff>
      <xdr:row>33</xdr:row>
      <xdr:rowOff>176893</xdr:rowOff>
    </xdr:to>
    <xdr:sp macro="" textlink="">
      <xdr:nvSpPr>
        <xdr:cNvPr id="3" name="2 CuadroTexto"/>
        <xdr:cNvSpPr txBox="1"/>
      </xdr:nvSpPr>
      <xdr:spPr>
        <a:xfrm>
          <a:off x="704369" y="2048276"/>
          <a:ext cx="8861452" cy="441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0.01805</cdr:x>
      <cdr:y>0.94343</cdr:y>
    </cdr:from>
    <cdr:to>
      <cdr:x>0.81877</cdr:x>
      <cdr:y>1</cdr:y>
    </cdr:to>
    <cdr:sp macro="" textlink="">
      <cdr:nvSpPr>
        <cdr:cNvPr id="3" name="1 CuadroTexto"/>
        <cdr:cNvSpPr txBox="1"/>
      </cdr:nvSpPr>
      <cdr:spPr>
        <a:xfrm xmlns:a="http://schemas.openxmlformats.org/drawingml/2006/main">
          <a:off x="227693" y="7007677"/>
          <a:ext cx="10100129" cy="420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t>Fuente: </a:t>
          </a:r>
          <a:r>
            <a:rPr lang="en-US" sz="1400"/>
            <a:t>Portal de SIPEN</a:t>
          </a: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18</xdr:row>
      <xdr:rowOff>38099</xdr:rowOff>
    </xdr:from>
    <xdr:to>
      <xdr:col>13</xdr:col>
      <xdr:colOff>390525</xdr:colOff>
      <xdr:row>49</xdr:row>
      <xdr:rowOff>66675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289025</xdr:colOff>
      <xdr:row>45</xdr:row>
      <xdr:rowOff>134780</xdr:rowOff>
    </xdr:from>
    <xdr:to>
      <xdr:col>2</xdr:col>
      <xdr:colOff>590964</xdr:colOff>
      <xdr:row>47</xdr:row>
      <xdr:rowOff>103533</xdr:rowOff>
    </xdr:to>
    <xdr:sp macro="" textlink="">
      <xdr:nvSpPr>
        <xdr:cNvPr id="3" name="2 CuadroTexto"/>
        <xdr:cNvSpPr txBox="1"/>
      </xdr:nvSpPr>
      <xdr:spPr>
        <a:xfrm>
          <a:off x="289025" y="7126130"/>
          <a:ext cx="1721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Población Económicamente Activa Afiliada al SVDS por Género    </a:t>
          </a:r>
          <a:br>
            <a:rPr lang="es-DO" sz="1400" b="1">
              <a:solidFill>
                <a:schemeClr val="lt1"/>
              </a:solidFill>
              <a:effectLst/>
              <a:latin typeface="+mn-lt"/>
              <a:ea typeface="+mn-ea"/>
              <a:cs typeface="+mn-cs"/>
            </a:rPr>
          </a:br>
          <a:r>
            <a:rPr lang="es-DO" sz="1400" b="1">
              <a:solidFill>
                <a:schemeClr val="lt1"/>
              </a:solidFill>
              <a:effectLst/>
              <a:latin typeface="+mn-lt"/>
              <a:ea typeface="+mn-ea"/>
              <a:cs typeface="+mn-cs"/>
            </a:rPr>
            <a:t> Período: Diciembre 2005 - Abril </a:t>
          </a:r>
          <a:r>
            <a:rPr lang="es-DO" sz="1400" b="1" baseline="0">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390526</xdr:colOff>
      <xdr:row>0</xdr:row>
      <xdr:rowOff>180975</xdr:rowOff>
    </xdr:from>
    <xdr:to>
      <xdr:col>1</xdr:col>
      <xdr:colOff>457201</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40822</xdr:colOff>
      <xdr:row>19</xdr:row>
      <xdr:rowOff>95248</xdr:rowOff>
    </xdr:from>
    <xdr:to>
      <xdr:col>14</xdr:col>
      <xdr:colOff>538247</xdr:colOff>
      <xdr:row>62</xdr:row>
      <xdr:rowOff>95250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13606</xdr:colOff>
      <xdr:row>0</xdr:row>
      <xdr:rowOff>1006928</xdr:rowOff>
    </xdr:to>
    <xdr:sp macro="" textlink="">
      <xdr:nvSpPr>
        <xdr:cNvPr id="4" name="3 Rectángulo redondeado"/>
        <xdr:cNvSpPr/>
      </xdr:nvSpPr>
      <xdr:spPr>
        <a:xfrm>
          <a:off x="0" y="0"/>
          <a:ext cx="13852070" cy="10069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Abril </a:t>
          </a:r>
          <a:r>
            <a:rPr lang="es-DO" sz="1600" b="1">
              <a:solidFill>
                <a:schemeClr val="lt1"/>
              </a:solidFill>
              <a:effectLst/>
              <a:latin typeface="+mn-lt"/>
              <a:ea typeface="+mn-ea"/>
              <a:cs typeface="+mn-cs"/>
            </a:rPr>
            <a:t>2016</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050" b="1"/>
            <a:t>Fuente: </a:t>
          </a:r>
          <a:r>
            <a:rPr lang="en-US" sz="1050"/>
            <a:t>SIPEN</a:t>
          </a:r>
        </a:p>
        <a:p xmlns:a="http://schemas.openxmlformats.org/drawingml/2006/main">
          <a:endParaRPr lang="en-US" sz="1400"/>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0</xdr:colOff>
      <xdr:row>17</xdr:row>
      <xdr:rowOff>136073</xdr:rowOff>
    </xdr:from>
    <xdr:to>
      <xdr:col>16</xdr:col>
      <xdr:colOff>987136</xdr:colOff>
      <xdr:row>57</xdr:row>
      <xdr:rowOff>34637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Abril 2016</a:t>
          </a:r>
          <a:endParaRPr lang="es-DO" sz="4800">
            <a:effectLst/>
          </a:endParaRPr>
        </a:p>
      </xdr:txBody>
    </xdr:sp>
    <xdr:clientData/>
  </xdr:twoCellAnchor>
  <xdr:twoCellAnchor editAs="oneCell">
    <xdr:from>
      <xdr:col>0</xdr:col>
      <xdr:colOff>675409</xdr:colOff>
      <xdr:row>0</xdr:row>
      <xdr:rowOff>329046</xdr:rowOff>
    </xdr:from>
    <xdr:to>
      <xdr:col>1</xdr:col>
      <xdr:colOff>551585</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463740</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5.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6.xml><?xml version="1.0" encoding="utf-8"?>
<xdr:wsDr xmlns:xdr="http://schemas.openxmlformats.org/drawingml/2006/spreadsheetDrawing" xmlns:a="http://schemas.openxmlformats.org/drawingml/2006/main">
  <xdr:twoCellAnchor>
    <xdr:from>
      <xdr:col>8</xdr:col>
      <xdr:colOff>707571</xdr:colOff>
      <xdr:row>16</xdr:row>
      <xdr:rowOff>176893</xdr:rowOff>
    </xdr:from>
    <xdr:to>
      <xdr:col>16</xdr:col>
      <xdr:colOff>911679</xdr:colOff>
      <xdr:row>52</xdr:row>
      <xdr:rowOff>27215</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27215</xdr:colOff>
      <xdr:row>16</xdr:row>
      <xdr:rowOff>149678</xdr:rowOff>
    </xdr:from>
    <xdr:to>
      <xdr:col>8</xdr:col>
      <xdr:colOff>721180</xdr:colOff>
      <xdr:row>49</xdr:row>
      <xdr:rowOff>81643</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13607</xdr:rowOff>
    </xdr:from>
    <xdr:to>
      <xdr:col>16</xdr:col>
      <xdr:colOff>993322</xdr:colOff>
      <xdr:row>0</xdr:row>
      <xdr:rowOff>1047750</xdr:rowOff>
    </xdr:to>
    <xdr:sp macro="" textlink="">
      <xdr:nvSpPr>
        <xdr:cNvPr id="5" name="4 Rectángulo redondeado"/>
        <xdr:cNvSpPr/>
      </xdr:nvSpPr>
      <xdr:spPr>
        <a:xfrm>
          <a:off x="0" y="13607"/>
          <a:ext cx="152944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2005 - Abril </a:t>
          </a:r>
          <a:r>
            <a:rPr lang="es-DO" sz="1800" b="1" baseline="0">
              <a:solidFill>
                <a:schemeClr val="lt1"/>
              </a:solidFill>
              <a:effectLst/>
              <a:latin typeface="+mn-lt"/>
              <a:ea typeface="+mn-ea"/>
              <a:cs typeface="+mn-cs"/>
            </a:rPr>
            <a:t>2016</a:t>
          </a:r>
          <a:endParaRPr lang="es-DO" sz="4000">
            <a:effectLst/>
          </a:endParaRPr>
        </a:p>
      </xdr:txBody>
    </xdr:sp>
    <xdr:clientData/>
  </xdr:twoCellAnchor>
  <xdr:twoCellAnchor editAs="oneCell">
    <xdr:from>
      <xdr:col>0</xdr:col>
      <xdr:colOff>625929</xdr:colOff>
      <xdr:row>0</xdr:row>
      <xdr:rowOff>258536</xdr:rowOff>
    </xdr:from>
    <xdr:to>
      <xdr:col>1</xdr:col>
      <xdr:colOff>507403</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49</xdr:row>
      <xdr:rowOff>68035</xdr:rowOff>
    </xdr:from>
    <xdr:to>
      <xdr:col>2</xdr:col>
      <xdr:colOff>655039</xdr:colOff>
      <xdr:row>51</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28573</xdr:colOff>
      <xdr:row>17</xdr:row>
      <xdr:rowOff>176893</xdr:rowOff>
    </xdr:from>
    <xdr:to>
      <xdr:col>9</xdr:col>
      <xdr:colOff>176891</xdr:colOff>
      <xdr:row>53</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136072</xdr:colOff>
      <xdr:row>17</xdr:row>
      <xdr:rowOff>149679</xdr:rowOff>
    </xdr:from>
    <xdr:to>
      <xdr:col>16</xdr:col>
      <xdr:colOff>830036</xdr:colOff>
      <xdr:row>53</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13607</xdr:colOff>
      <xdr:row>1</xdr:row>
      <xdr:rowOff>40821</xdr:rowOff>
    </xdr:to>
    <xdr:sp macro="" textlink="">
      <xdr:nvSpPr>
        <xdr:cNvPr id="5" name="4 Rectángulo redondeado"/>
        <xdr:cNvSpPr/>
      </xdr:nvSpPr>
      <xdr:spPr>
        <a:xfrm>
          <a:off x="0" y="0"/>
          <a:ext cx="13117286"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Abril 2016</a:t>
          </a:r>
          <a:endParaRPr lang="es-DO" sz="4000">
            <a:effectLst/>
          </a:endParaRPr>
        </a:p>
      </xdr:txBody>
    </xdr:sp>
    <xdr:clientData/>
  </xdr:twoCellAnchor>
  <xdr:twoCellAnchor editAs="oneCell">
    <xdr:from>
      <xdr:col>0</xdr:col>
      <xdr:colOff>421822</xdr:colOff>
      <xdr:row>0</xdr:row>
      <xdr:rowOff>235849</xdr:rowOff>
    </xdr:from>
    <xdr:to>
      <xdr:col>1</xdr:col>
      <xdr:colOff>103350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0.02266</cdr:x>
      <cdr:y>0.93231</cdr:y>
    </cdr:from>
    <cdr:to>
      <cdr:x>0.31449</cdr:x>
      <cdr:y>1</cdr:y>
    </cdr:to>
    <cdr:sp macro="" textlink="">
      <cdr:nvSpPr>
        <cdr:cNvPr id="2" name="1 CuadroTexto"/>
        <cdr:cNvSpPr txBox="1"/>
      </cdr:nvSpPr>
      <cdr:spPr>
        <a:xfrm xmlns:a="http://schemas.openxmlformats.org/drawingml/2006/main">
          <a:off x="159657" y="6320221"/>
          <a:ext cx="2056575" cy="4588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0</xdr:colOff>
      <xdr:row>17</xdr:row>
      <xdr:rowOff>40821</xdr:rowOff>
    </xdr:from>
    <xdr:to>
      <xdr:col>10</xdr:col>
      <xdr:colOff>421822</xdr:colOff>
      <xdr:row>57</xdr:row>
      <xdr:rowOff>34637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133600</xdr:colOff>
      <xdr:row>17</xdr:row>
      <xdr:rowOff>40821</xdr:rowOff>
    </xdr:from>
    <xdr:to>
      <xdr:col>18</xdr:col>
      <xdr:colOff>606137</xdr:colOff>
      <xdr:row>56</xdr:row>
      <xdr:rowOff>69273</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xdr:rowOff>
    </xdr:from>
    <xdr:to>
      <xdr:col>18</xdr:col>
      <xdr:colOff>761999</xdr:colOff>
      <xdr:row>1</xdr:row>
      <xdr:rowOff>27215</xdr:rowOff>
    </xdr:to>
    <xdr:sp macro="" textlink="">
      <xdr:nvSpPr>
        <xdr:cNvPr id="5" name="4 Rectángulo redondeado"/>
        <xdr:cNvSpPr/>
      </xdr:nvSpPr>
      <xdr:spPr>
        <a:xfrm>
          <a:off x="0" y="1"/>
          <a:ext cx="16559892"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Abril 2016</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790577</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78584" cy="545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xdr:rowOff>
    </xdr:from>
    <xdr:to>
      <xdr:col>14</xdr:col>
      <xdr:colOff>0</xdr:colOff>
      <xdr:row>45</xdr:row>
      <xdr:rowOff>168088</xdr:rowOff>
    </xdr:to>
    <xdr:sp macro="" textlink="">
      <xdr:nvSpPr>
        <xdr:cNvPr id="2" name="1 CuadroTexto"/>
        <xdr:cNvSpPr txBox="1"/>
      </xdr:nvSpPr>
      <xdr:spPr>
        <a:xfrm>
          <a:off x="0" y="1"/>
          <a:ext cx="11474824" cy="891988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La Ley 87-01: </a:t>
          </a:r>
          <a:r>
            <a:rPr lang="es-DO" sz="14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400" b="1" i="0" u="none" strike="noStrike" baseline="0" smtClean="0">
              <a:solidFill>
                <a:schemeClr val="dk1"/>
              </a:solidFill>
              <a:latin typeface="+mn-lt"/>
              <a:ea typeface="+mn-ea"/>
              <a:cs typeface="+mn-cs"/>
            </a:rPr>
            <a:t>:</a:t>
          </a:r>
        </a:p>
        <a:p>
          <a:endParaRPr lang="es-DO" sz="1400" b="1">
            <a:solidFill>
              <a:sysClr val="windowText" lastClr="000000"/>
            </a:solidFill>
            <a:latin typeface="+mn-lt"/>
          </a:endParaRPr>
        </a:p>
        <a:p>
          <a:r>
            <a:rPr lang="es-DO" sz="1400" b="1">
              <a:solidFill>
                <a:sysClr val="windowText" lastClr="000000"/>
              </a:solidFill>
              <a:latin typeface="+mn-lt"/>
            </a:rPr>
            <a:t>Régimen</a:t>
          </a:r>
          <a:r>
            <a:rPr lang="es-DO" sz="1400" b="1" baseline="0">
              <a:solidFill>
                <a:sysClr val="windowText" lastClr="000000"/>
              </a:solidFill>
              <a:latin typeface="+mn-lt"/>
            </a:rPr>
            <a:t> Contributivo</a:t>
          </a:r>
          <a:r>
            <a:rPr lang="es-DO" sz="1400" b="1" baseline="0">
              <a:solidFill>
                <a:schemeClr val="accent3">
                  <a:lumMod val="50000"/>
                </a:schemeClr>
              </a:solidFill>
              <a:latin typeface="+mn-lt"/>
            </a:rPr>
            <a:t>.- </a:t>
          </a:r>
          <a:r>
            <a:rPr lang="en-US" sz="14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Subsidiado</a:t>
          </a:r>
          <a:r>
            <a:rPr lang="en-US" sz="14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Contributivo Subsidiado.- </a:t>
          </a:r>
          <a:r>
            <a:rPr lang="en-US" sz="14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400" b="0" i="0" u="none" strike="noStrike" baseline="0" smtClean="0">
            <a:solidFill>
              <a:schemeClr val="dk1"/>
            </a:solidFill>
            <a:latin typeface="+mn-lt"/>
            <a:ea typeface="+mn-ea"/>
            <a:cs typeface="+mn-cs"/>
          </a:endParaRPr>
        </a:p>
        <a:p>
          <a:r>
            <a:rPr lang="es-DO" sz="14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400" b="0" i="0" u="none" strike="noStrike" baseline="0">
            <a:solidFill>
              <a:schemeClr val="dk1"/>
            </a:solidFill>
            <a:latin typeface="+mn-lt"/>
            <a:ea typeface="+mn-ea"/>
            <a:cs typeface="+mn-cs"/>
          </a:endParaRPr>
        </a:p>
        <a:p>
          <a:r>
            <a:rPr lang="es-DO" sz="1400" b="1" i="0" u="none" strike="noStrike" baseline="0">
              <a:solidFill>
                <a:schemeClr val="dk1"/>
              </a:solidFill>
              <a:latin typeface="+mn-lt"/>
              <a:ea typeface="+mn-ea"/>
              <a:cs typeface="+mn-cs"/>
            </a:rPr>
            <a:t>El Sistema Dominicano de Seguridad Social Proporciona Tres Tipos de Aseguramiento:</a:t>
          </a:r>
        </a:p>
        <a:p>
          <a:endParaRPr lang="es-DO"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Seguro Familiar de Salud (SFS) .- </a:t>
          </a:r>
          <a:r>
            <a:rPr lang="en-US" sz="14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Vejez, Discapacidad y Sobrevivencia.- </a:t>
          </a:r>
          <a:r>
            <a:rPr lang="en-US" sz="14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Riesgos Laborales.-  </a:t>
          </a:r>
          <a:r>
            <a:rPr lang="en-US" sz="14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11</xdr:col>
      <xdr:colOff>0</xdr:colOff>
      <xdr:row>29</xdr:row>
      <xdr:rowOff>0</xdr:rowOff>
    </xdr:from>
    <xdr:to>
      <xdr:col>11</xdr:col>
      <xdr:colOff>9525</xdr:colOff>
      <xdr:row>29</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10</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p>
        <a:p>
          <a:pPr algn="ctr" eaLnBrk="1" fontAlgn="auto" latinLnBrk="0" hangingPunct="1"/>
          <a:r>
            <a:rPr lang="es-DO" sz="1800" b="1">
              <a:solidFill>
                <a:schemeClr val="lt1"/>
              </a:solidFill>
              <a:effectLst/>
              <a:latin typeface="+mn-lt"/>
              <a:ea typeface="+mn-ea"/>
              <a:cs typeface="+mn-cs"/>
            </a:rPr>
            <a:t>Marzo 2016</a:t>
          </a:r>
          <a:endParaRPr lang="es-DO" sz="4000">
            <a:effectLst/>
          </a:endParaRP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57150</xdr:colOff>
      <xdr:row>4</xdr:row>
      <xdr:rowOff>142875</xdr:rowOff>
    </xdr:from>
    <xdr:to>
      <xdr:col>8</xdr:col>
      <xdr:colOff>1114425</xdr:colOff>
      <xdr:row>30</xdr:row>
      <xdr:rowOff>123825</xdr:rowOff>
    </xdr:to>
    <xdr:sp macro="" textlink="">
      <xdr:nvSpPr>
        <xdr:cNvPr id="2" name="1 CuadroTexto"/>
        <xdr:cNvSpPr txBox="1"/>
      </xdr:nvSpPr>
      <xdr:spPr>
        <a:xfrm>
          <a:off x="57150" y="904875"/>
          <a:ext cx="8010525" cy="49339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abril 2016 se presenta una afiliación de 1,836,699 trabajadores asalariados, equivalente al 93.4% de la población ocupada del sector formal, de acuerdo a los datos de la Encuesta Nacional de Fuerza de Trabajo (ENFT) del Banco Central (BC) del año 2015.</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 abril</a:t>
          </a:r>
          <a:r>
            <a:rPr lang="es-DO" sz="1400" b="0" baseline="0">
              <a:solidFill>
                <a:sysClr val="windowText" lastClr="000000"/>
              </a:solidFill>
            </a:rPr>
            <a:t> 2016</a:t>
          </a:r>
          <a:r>
            <a:rPr lang="es-DO" sz="1400" b="0">
              <a:solidFill>
                <a:sysClr val="windowText" lastClr="000000"/>
              </a:solidFill>
            </a:rPr>
            <a:t>, el  1.5% de los afiliados al SRL es menor o igual a 19 años; el 91.1% está entre las edades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20-59 años y se destaca que el 7.4%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18.0% realizan actividades de riesgos I,  aquel en el cual su gravedad potencial es la de generar lesiones que solo requieren de primeros auxilios); el 37.7% de riesgo de tipo II (cuya gravedad potencial es la de generar lesiones serias no incapacitantes y que solo requieran atención médica o produzcan una incapacidad de corta duración);  y el 44.3%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abril 2016, habían 1,028,244 hombres y              808,455 mujeres para una participación de 55.98%  y 44.02% respectivamente.  En ambos sexo la mayor concentración de afiliados se encuentra entre las edades de 20 a 59, observándose por género que el 90.13% de los hombres y el 92.38% de mujeres están entre las edades antes mencionadas.</a:t>
          </a:r>
        </a:p>
      </xdr:txBody>
    </xdr:sp>
    <xdr:clientData/>
  </xdr:twoCellAnchor>
  <xdr:twoCellAnchor>
    <xdr:from>
      <xdr:col>0</xdr:col>
      <xdr:colOff>0</xdr:colOff>
      <xdr:row>0</xdr:row>
      <xdr:rowOff>0</xdr:rowOff>
    </xdr:from>
    <xdr:to>
      <xdr:col>9</xdr:col>
      <xdr:colOff>9525</xdr:colOff>
      <xdr:row>3</xdr:row>
      <xdr:rowOff>99391</xdr:rowOff>
    </xdr:to>
    <xdr:sp macro="" textlink="">
      <xdr:nvSpPr>
        <xdr:cNvPr id="5" name="4 Rectángulo redondeado"/>
        <xdr:cNvSpPr/>
      </xdr:nvSpPr>
      <xdr:spPr>
        <a:xfrm>
          <a:off x="0" y="0"/>
          <a:ext cx="8391525" cy="6708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3200">
            <a:effectLst/>
          </a:endParaRPr>
        </a:p>
      </xdr:txBody>
    </xdr:sp>
    <xdr:clientData/>
  </xdr:twoCellAnchor>
  <xdr:twoCellAnchor editAs="oneCell">
    <xdr:from>
      <xdr:col>0</xdr:col>
      <xdr:colOff>283325</xdr:colOff>
      <xdr:row>0</xdr:row>
      <xdr:rowOff>124756</xdr:rowOff>
    </xdr:from>
    <xdr:to>
      <xdr:col>1</xdr:col>
      <xdr:colOff>142174</xdr:colOff>
      <xdr:row>2</xdr:row>
      <xdr:rowOff>157370</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83325" y="124756"/>
          <a:ext cx="620849" cy="413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xdr:from>
      <xdr:col>0</xdr:col>
      <xdr:colOff>34636</xdr:colOff>
      <xdr:row>12</xdr:row>
      <xdr:rowOff>69273</xdr:rowOff>
    </xdr:from>
    <xdr:to>
      <xdr:col>14</xdr:col>
      <xdr:colOff>1021772</xdr:colOff>
      <xdr:row>55</xdr:row>
      <xdr:rowOff>0</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  Abril</a:t>
          </a:r>
          <a:r>
            <a:rPr lang="es-DO" sz="2400" b="1" baseline="0">
              <a:solidFill>
                <a:schemeClr val="lt1"/>
              </a:solidFill>
              <a:effectLst/>
              <a:latin typeface="+mn-lt"/>
              <a:ea typeface="+mn-ea"/>
              <a:cs typeface="+mn-cs"/>
            </a:rPr>
            <a:t> 2016</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0.05182</cdr:x>
      <cdr:y>0.90733</cdr:y>
    </cdr:from>
    <cdr:to>
      <cdr:x>0.55272</cdr:x>
      <cdr:y>0.96589</cdr:y>
    </cdr:to>
    <cdr:sp macro="" textlink="">
      <cdr:nvSpPr>
        <cdr:cNvPr id="2" name="1 CuadroTexto"/>
        <cdr:cNvSpPr txBox="1"/>
      </cdr:nvSpPr>
      <cdr:spPr>
        <a:xfrm xmlns:a="http://schemas.openxmlformats.org/drawingml/2006/main">
          <a:off x="937757" y="7369513"/>
          <a:ext cx="9065037" cy="4756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0</xdr:col>
      <xdr:colOff>1305049</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0</xdr:colOff>
      <xdr:row>18</xdr:row>
      <xdr:rowOff>181844</xdr:rowOff>
    </xdr:from>
    <xdr:to>
      <xdr:col>12</xdr:col>
      <xdr:colOff>1264226</xdr:colOff>
      <xdr:row>88</xdr:row>
      <xdr:rowOff>69272</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503465</xdr:colOff>
      <xdr:row>52</xdr:row>
      <xdr:rowOff>149675</xdr:rowOff>
    </xdr:from>
    <xdr:to>
      <xdr:col>8</xdr:col>
      <xdr:colOff>415635</xdr:colOff>
      <xdr:row>68</xdr:row>
      <xdr:rowOff>34636</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249147" y="12688039"/>
          <a:ext cx="1072489" cy="2932961"/>
        </a:xfrm>
        <a:prstGeom prst="rect">
          <a:avLst/>
        </a:prstGeom>
        <a:noFill/>
        <a:ln>
          <a:noFill/>
        </a:ln>
        <a:extLst/>
      </xdr:spPr>
    </xdr:pic>
    <xdr:clientData/>
  </xdr:twoCellAnchor>
  <xdr:twoCellAnchor editAs="oneCell">
    <xdr:from>
      <xdr:col>5</xdr:col>
      <xdr:colOff>432956</xdr:colOff>
      <xdr:row>52</xdr:row>
      <xdr:rowOff>173181</xdr:rowOff>
    </xdr:from>
    <xdr:to>
      <xdr:col>6</xdr:col>
      <xdr:colOff>432955</xdr:colOff>
      <xdr:row>67</xdr:row>
      <xdr:rowOff>103908</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494320" y="12711545"/>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 Abril </a:t>
          </a:r>
          <a:r>
            <a:rPr lang="es-DO" sz="2000" b="1" baseline="0">
              <a:solidFill>
                <a:schemeClr val="lt1"/>
              </a:solidFill>
              <a:effectLst/>
              <a:latin typeface="+mn-lt"/>
              <a:ea typeface="+mn-ea"/>
              <a:cs typeface="+mn-cs"/>
            </a:rPr>
            <a:t>2016</a:t>
          </a:r>
          <a:endParaRPr lang="es-DO" sz="4400">
            <a:effectLst/>
          </a:endParaRPr>
        </a:p>
      </xdr:txBody>
    </xdr:sp>
    <xdr:clientData/>
  </xdr:twoCellAnchor>
  <xdr:twoCellAnchor editAs="oneCell">
    <xdr:from>
      <xdr:col>0</xdr:col>
      <xdr:colOff>796635</xdr:colOff>
      <xdr:row>0</xdr:row>
      <xdr:rowOff>155863</xdr:rowOff>
    </xdr:from>
    <xdr:to>
      <xdr:col>1</xdr:col>
      <xdr:colOff>519544</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8.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68036</xdr:colOff>
      <xdr:row>17</xdr:row>
      <xdr:rowOff>176892</xdr:rowOff>
    </xdr:from>
    <xdr:to>
      <xdr:col>13</xdr:col>
      <xdr:colOff>680358</xdr:colOff>
      <xdr:row>53</xdr:row>
      <xdr:rowOff>13607</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Abril 2015</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Abril </a:t>
          </a:r>
          <a:r>
            <a:rPr lang="es-DO" sz="1600" b="1" baseline="0">
              <a:solidFill>
                <a:schemeClr val="lt1"/>
              </a:solidFill>
              <a:effectLst/>
              <a:latin typeface="+mn-lt"/>
              <a:ea typeface="+mn-ea"/>
              <a:cs typeface="+mn-cs"/>
            </a:rPr>
            <a:t> 2016</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85724</xdr:colOff>
      <xdr:row>4</xdr:row>
      <xdr:rowOff>0</xdr:rowOff>
    </xdr:from>
    <xdr:to>
      <xdr:col>12</xdr:col>
      <xdr:colOff>533400</xdr:colOff>
      <xdr:row>35</xdr:row>
      <xdr:rowOff>314325</xdr:rowOff>
    </xdr:to>
    <xdr:sp macro="" textlink="">
      <xdr:nvSpPr>
        <xdr:cNvPr id="2" name="1 CuadroTexto"/>
        <xdr:cNvSpPr txBox="1"/>
      </xdr:nvSpPr>
      <xdr:spPr>
        <a:xfrm>
          <a:off x="85724" y="809625"/>
          <a:ext cx="9639301" cy="62579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400" baseline="0">
              <a:solidFill>
                <a:sysClr val="windowText" lastClr="000000"/>
              </a:solidFill>
              <a:effectLst/>
              <a:latin typeface="+mn-lt"/>
              <a:ea typeface="+mn-ea"/>
              <a:cs typeface="+mn-cs"/>
            </a:rPr>
            <a:t>Conforme a los datos registrados en el Sistema Único de Información y Recaudo (SUIR),  al  finalizar el año 2015 el total de empresas registradas en el Sistema Dominicano de Seguridad Social era  de 70,019, de las cuales 69,404 pertenecían al sector privado y 615 instituciones públicas (Pública 542 y 73 públicas centralizadas).  El total de empresas privadas constituían el 99.1% del total. En cuanto al total de empleados afiliados en ese mismo año fue de 1,759,458, de los cuales 1,268,556 pertenecían al sector privado, representando el 72.2% y 490,902 del sector público.  </a:t>
          </a:r>
        </a:p>
        <a:p>
          <a:pPr marL="0" indent="0"/>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Desde diciembre 2008 al mes de abril 2016, el número de empresas afiliadas, creció un 70.9% y el número total de afiliados fue de 1,188,229  y </a:t>
          </a:r>
          <a:r>
            <a:rPr lang="es-ES" sz="1400" baseline="0">
              <a:solidFill>
                <a:schemeClr val="dk1"/>
              </a:solidFill>
              <a:effectLst/>
              <a:latin typeface="+mn-lt"/>
              <a:ea typeface="+mn-ea"/>
              <a:cs typeface="+mn-cs"/>
            </a:rPr>
            <a:t>1,836,699 respectivamente,  observándose una tasa de crecimiento de 54.57%.  </a:t>
          </a:r>
          <a:r>
            <a:rPr lang="es-DO" sz="1400" baseline="0">
              <a:solidFill>
                <a:schemeClr val="dk1"/>
              </a:solidFill>
              <a:effectLst/>
              <a:latin typeface="+mn-lt"/>
              <a:ea typeface="+mn-ea"/>
              <a:cs typeface="+mn-cs"/>
            </a:rPr>
            <a:t>Se observa que la tendencia de crecimiento del número de empresas afiliadas presenta un mayor dinamismo que las de los afiliados</a:t>
          </a:r>
          <a:r>
            <a:rPr lang="es-ES" sz="1400" baseline="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r>
            <a:rPr lang="es-DO" sz="1400" baseline="0">
              <a:solidFill>
                <a:sysClr val="windowText" lastClr="000000"/>
              </a:solidFill>
              <a:effectLst/>
              <a:latin typeface="+mn-lt"/>
              <a:ea typeface="+mn-ea"/>
              <a:cs typeface="+mn-cs"/>
            </a:rPr>
            <a:t>Para el mes de abril 2016,  las cifras dan cuenta que la mayoría de las empresas registradas tienen entre uno y cinco empleados, representando el 58.6% del total de empresas activas.  Dicho grupo, constituido por 41,791 unidades, cuenta con un total de 106,960 trabajadores, lo que representa el 5.8% de los asalariados afiliados.  Mientras que el número de empresas que poseen de 1 a 20 empleados representa un 87.2% del total.  </a:t>
          </a:r>
        </a:p>
        <a:p>
          <a:endParaRPr lang="es-DO" sz="1400" baseline="0">
            <a:solidFill>
              <a:sysClr val="windowText" lastClr="000000"/>
            </a:solidFill>
            <a:effectLst/>
            <a:latin typeface="+mn-lt"/>
            <a:ea typeface="+mn-ea"/>
            <a:cs typeface="+mn-cs"/>
          </a:endParaRPr>
        </a:p>
        <a:p>
          <a:r>
            <a:rPr lang="es-DO" sz="1400" baseline="0">
              <a:solidFill>
                <a:sysClr val="windowText" lastClr="000000"/>
              </a:solidFill>
              <a:effectLst/>
              <a:latin typeface="+mn-lt"/>
              <a:ea typeface="+mn-ea"/>
              <a:cs typeface="+mn-cs"/>
            </a:rPr>
            <a:t>Es importante destacar que existen seis (6) instituciones de gran tamaño, que emplean un total de 299,492 personas, y su empleomanía representa el 16.3%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r>
            <a:rPr lang="es-DO" sz="1400" baseline="0">
              <a:solidFill>
                <a:sysClr val="windowText" lastClr="000000"/>
              </a:solidFill>
              <a:effectLst/>
              <a:latin typeface="+mn-lt"/>
              <a:ea typeface="+mn-ea"/>
              <a:cs typeface="+mn-cs"/>
            </a:rPr>
            <a:t> </a:t>
          </a:r>
        </a:p>
        <a:p>
          <a:r>
            <a:rPr lang="es-DO" sz="1400" baseline="0">
              <a:solidFill>
                <a:sysClr val="windowText" lastClr="000000"/>
              </a:solidFill>
              <a:effectLst/>
              <a:latin typeface="+mn-lt"/>
              <a:ea typeface="+mn-ea"/>
              <a:cs typeface="+mn-cs"/>
            </a:rPr>
            <a:t>El salario promedio registrado de las empresas por sector económico al mes de abril 2016 es de RD$ 17,455.00 para el sector privado;  RD$22,160.00 para el sector público y de RD$24,718.00 para el público centralizado. </a:t>
          </a:r>
        </a:p>
        <a:p>
          <a:endParaRPr lang="es-DO" sz="1400" baseline="0">
            <a:solidFill>
              <a:sysClr val="windowText" lastClr="000000"/>
            </a:solidFill>
            <a:effectLst/>
            <a:latin typeface="+mn-lt"/>
            <a:ea typeface="+mn-ea"/>
            <a:cs typeface="+mn-cs"/>
          </a:endParaRPr>
        </a:p>
        <a:p>
          <a:r>
            <a:rPr lang="es-DO" sz="1400" baseline="0">
              <a:solidFill>
                <a:sysClr val="windowText" lastClr="000000"/>
              </a:solidFill>
              <a:effectLst/>
              <a:latin typeface="+mn-lt"/>
              <a:ea typeface="+mn-ea"/>
              <a:cs typeface="+mn-cs"/>
            </a:rPr>
            <a:t>De acuerdo a la composición por edad de los afiliados al SDSS, al mes de abril 2016 la mayor cantidad se concentra en el tramo de los grupos que se sitúan entre los 20 y los 54 años, los cuales representan 85.7%.  Por otro lado aunque la participación de los hombres es mayor que las mujeres en todos los rangos de edad, entre las edades de 20 a 59 años el índice de masculinidad es en promedio de 1.27;  en los grupos de 60 y más es de 1.86.</a:t>
          </a:r>
        </a:p>
      </xdr:txBody>
    </xdr:sp>
    <xdr:clientData/>
  </xdr:twoCellAnchor>
  <xdr:twoCellAnchor>
    <xdr:from>
      <xdr:col>0</xdr:col>
      <xdr:colOff>0</xdr:colOff>
      <xdr:row>0</xdr:row>
      <xdr:rowOff>0</xdr:rowOff>
    </xdr:from>
    <xdr:to>
      <xdr:col>13</xdr:col>
      <xdr:colOff>0</xdr:colOff>
      <xdr:row>3</xdr:row>
      <xdr:rowOff>104775</xdr:rowOff>
    </xdr:to>
    <xdr:sp macro="" textlink="">
      <xdr:nvSpPr>
        <xdr:cNvPr id="3" name="2 Rectángulo redondeado"/>
        <xdr:cNvSpPr/>
      </xdr:nvSpPr>
      <xdr:spPr>
        <a:xfrm>
          <a:off x="0" y="0"/>
          <a:ext cx="10325100" cy="7239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420781</xdr:colOff>
      <xdr:row>0</xdr:row>
      <xdr:rowOff>101974</xdr:rowOff>
    </xdr:from>
    <xdr:to>
      <xdr:col>1</xdr:col>
      <xdr:colOff>355586</xdr:colOff>
      <xdr:row>2</xdr:row>
      <xdr:rowOff>214033</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20781" y="101974"/>
          <a:ext cx="696805"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0.01264</cdr:x>
      <cdr:y>0.92654</cdr:y>
    </cdr:from>
    <cdr:to>
      <cdr:x>0.42817</cdr:x>
      <cdr:y>0.96275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6504" y="6429846"/>
          <a:ext cx="5801185" cy="251260"/>
        </a:xfrm>
        <a:prstGeom xmlns:a="http://schemas.openxmlformats.org/drawingml/2006/main" prst="rect">
          <a:avLst/>
        </a:prstGeom>
      </cdr:spPr>
    </cdr:pic>
  </cdr:relSizeAnchor>
</c:userShapes>
</file>

<file path=xl/drawings/drawing91.xml><?xml version="1.0" encoding="utf-8"?>
<xdr:wsDr xmlns:xdr="http://schemas.openxmlformats.org/drawingml/2006/spreadsheetDrawing" xmlns:a="http://schemas.openxmlformats.org/drawingml/2006/main">
  <xdr:twoCellAnchor>
    <xdr:from>
      <xdr:col>0</xdr:col>
      <xdr:colOff>40820</xdr:colOff>
      <xdr:row>17</xdr:row>
      <xdr:rowOff>68036</xdr:rowOff>
    </xdr:from>
    <xdr:to>
      <xdr:col>9</xdr:col>
      <xdr:colOff>1251857</xdr:colOff>
      <xdr:row>57</xdr:row>
      <xdr:rowOff>54428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Abril 2016</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3.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992998</xdr:colOff>
      <xdr:row>32</xdr:row>
      <xdr:rowOff>81275</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85724</xdr:colOff>
      <xdr:row>5</xdr:row>
      <xdr:rowOff>104775</xdr:rowOff>
    </xdr:from>
    <xdr:to>
      <xdr:col>11</xdr:col>
      <xdr:colOff>800100</xdr:colOff>
      <xdr:row>39</xdr:row>
      <xdr:rowOff>152400</xdr:rowOff>
    </xdr:to>
    <xdr:sp macro="" textlink="">
      <xdr:nvSpPr>
        <xdr:cNvPr id="3" name="2 CuadroTexto"/>
        <xdr:cNvSpPr txBox="1"/>
      </xdr:nvSpPr>
      <xdr:spPr>
        <a:xfrm>
          <a:off x="85724" y="981075"/>
          <a:ext cx="9525001" cy="66008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 abril 2016 ha ingresado al Sistema Dominicano de la Seguridad Social (SDSS)  por concepto de recaudo (incluyendo intereses recargo y multas),  aportes del Gobierno Central y rendimiento de inversiones, la suma de RD$559,372,561,321.97, de los cuales el 91.1% (RD$509,285,020,672.25) pertenece al recaudo del Régimen Contributivo (RC); el 7.6% (RD$42,780,851,086.25) aportes del gobierno para cubrir a los afiliados del Seguro Familiar de Salud del Régimen Subsidiado y el 1.3% (RD$7,306,689,563.47)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 abril 2016 ascienden a un monto de RD$45,286,880,189.56, distribuido  de la siguiente manera: RD$42,780,851,086.25,  para cubrir a los afiliados del Seguro Familiar de Salud del Régimen Subsidiado;  RD$400,000,000.00 para la cobertura del Fondo de Atenciones Médicas por Accidentes de Tránsito (FONAMAT) en el período comprendido entre septiembre 2007 y diciembre 2009 y RD$2,106,029,103.31,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abril 2016, un 66.51%  (RD$338,705,167,007.21) proviene del sector privado y el 33.49% (RD$170,579,853,665.04) del sector público.  Del recaudo por origen de los aportes, el 28.30% proviene de los trabajadores (el 9.5% sectores público y el 18.8% privados) y el 71.70% del sector empleador (24% público y el 47.7%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 el</a:t>
          </a:r>
          <a:r>
            <a:rPr lang="es-DO" sz="1500" b="0" baseline="0">
              <a:solidFill>
                <a:sysClr val="windowText" lastClr="000000"/>
              </a:solidFill>
              <a:latin typeface="+mn-lt"/>
              <a:ea typeface="+mn-ea"/>
              <a:cs typeface="+mn-cs"/>
            </a:rPr>
            <a:t> período enero - abril </a:t>
          </a:r>
          <a:r>
            <a:rPr lang="es-DO" sz="1500" b="0">
              <a:solidFill>
                <a:sysClr val="windowText" lastClr="000000"/>
              </a:solidFill>
              <a:latin typeface="+mn-lt"/>
              <a:ea typeface="+mn-ea"/>
              <a:cs typeface="+mn-cs"/>
            </a:rPr>
            <a:t>2016, los fondos ingresados al Sistema Dominicano de Seguridad Social (SDSS) por concepto de recaudo del Régimen Contributivo ascendieron a RD$28,604,708,437.04 y los pagos a las diferentes entidades que lo componen para cubrir los diferentes seguros alcanzaron un monto total de RD$28,816,659,481.69.  En el mismo período, para el Régimen Subsidiado se recibieron  aportes del gobierno central  por la suma de RD$2,804,479,479.00  y se realizaron pago a SENASA por un monto de RD$2,706,781,911.36.</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66674</xdr:rowOff>
    </xdr:to>
    <xdr:sp macro="" textlink="">
      <xdr:nvSpPr>
        <xdr:cNvPr id="4" name="3 Rectángulo redondeado"/>
        <xdr:cNvSpPr/>
      </xdr:nvSpPr>
      <xdr:spPr>
        <a:xfrm>
          <a:off x="0" y="0"/>
          <a:ext cx="9353550" cy="8286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321050</xdr:colOff>
      <xdr:row>0</xdr:row>
      <xdr:rowOff>136151</xdr:rowOff>
    </xdr:from>
    <xdr:to>
      <xdr:col>1</xdr:col>
      <xdr:colOff>323850</xdr:colOff>
      <xdr:row>3</xdr:row>
      <xdr:rowOff>74166</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321050" y="136151"/>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21</xdr:row>
      <xdr:rowOff>68036</xdr:rowOff>
    </xdr:from>
    <xdr:to>
      <xdr:col>13</xdr:col>
      <xdr:colOff>1452562</xdr:colOff>
      <xdr:row>72</xdr:row>
      <xdr:rowOff>142875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2003 -</a:t>
          </a:r>
          <a:r>
            <a:rPr lang="es-DO" sz="2000" b="1" baseline="0">
              <a:solidFill>
                <a:schemeClr val="lt1"/>
              </a:solidFill>
              <a:effectLst/>
              <a:latin typeface="+mn-lt"/>
              <a:ea typeface="+mn-ea"/>
              <a:cs typeface="+mn-cs"/>
            </a:rPr>
            <a:t> Abril 2016</a:t>
          </a:r>
          <a:endParaRPr lang="es-DO" sz="3200">
            <a:effectLst/>
          </a:endParaRPr>
        </a:p>
      </xdr:txBody>
    </xdr:sp>
    <xdr:clientData/>
  </xdr:twoCellAnchor>
  <xdr:twoCellAnchor editAs="oneCell">
    <xdr:from>
      <xdr:col>0</xdr:col>
      <xdr:colOff>659328</xdr:colOff>
      <xdr:row>0</xdr:row>
      <xdr:rowOff>201635</xdr:rowOff>
    </xdr:from>
    <xdr:to>
      <xdr:col>1</xdr:col>
      <xdr:colOff>675141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0.03222</cdr:x>
      <cdr:y>0.93561</cdr:y>
    </cdr:from>
    <cdr:to>
      <cdr:x>0.13766</cdr:x>
      <cdr:y>0.98527</cdr:y>
    </cdr:to>
    <cdr:sp macro="" textlink="">
      <cdr:nvSpPr>
        <cdr:cNvPr id="2" name="1 CuadroTexto"/>
        <cdr:cNvSpPr txBox="1"/>
      </cdr:nvSpPr>
      <cdr:spPr>
        <a:xfrm xmlns:a="http://schemas.openxmlformats.org/drawingml/2006/main">
          <a:off x="672068" y="9159981"/>
          <a:ext cx="2199452" cy="4861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33618</xdr:colOff>
      <xdr:row>19</xdr:row>
      <xdr:rowOff>44822</xdr:rowOff>
    </xdr:from>
    <xdr:to>
      <xdr:col>9</xdr:col>
      <xdr:colOff>885265</xdr:colOff>
      <xdr:row>46</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862852</xdr:rowOff>
    </xdr:to>
    <xdr:sp macro="" textlink="">
      <xdr:nvSpPr>
        <xdr:cNvPr id="6" name="6 Rectángulo redondeado"/>
        <xdr:cNvSpPr/>
      </xdr:nvSpPr>
      <xdr:spPr>
        <a:xfrm>
          <a:off x="0" y="0"/>
          <a:ext cx="1138517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Sector Económico</a:t>
          </a:r>
        </a:p>
        <a:p>
          <a:pPr algn="ctr" eaLnBrk="1" fontAlgn="auto" latinLnBrk="0" hangingPunct="1"/>
          <a:r>
            <a:rPr lang="es-DO" sz="1800" b="1">
              <a:solidFill>
                <a:schemeClr val="lt1"/>
              </a:solidFill>
              <a:effectLst/>
              <a:latin typeface="+mn-lt"/>
              <a:ea typeface="+mn-ea"/>
              <a:cs typeface="+mn-cs"/>
            </a:rPr>
            <a:t> Período: 2003 -  Abril 2016</a:t>
          </a:r>
          <a:endParaRPr lang="es-DO" sz="1800">
            <a:effectLst/>
          </a:endParaRPr>
        </a:p>
      </xdr:txBody>
    </xdr:sp>
    <xdr:clientData/>
  </xdr:twoCellAnchor>
  <xdr:twoCellAnchor editAs="oneCell">
    <xdr:from>
      <xdr:col>0</xdr:col>
      <xdr:colOff>358588</xdr:colOff>
      <xdr:row>0</xdr:row>
      <xdr:rowOff>145678</xdr:rowOff>
    </xdr:from>
    <xdr:to>
      <xdr:col>1</xdr:col>
      <xdr:colOff>17584</xdr:colOff>
      <xdr:row>0</xdr:row>
      <xdr:rowOff>605118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588" y="145678"/>
          <a:ext cx="667525" cy="45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2.%20Estadisticas/02.%20Informes%20y%20Metas%20SDSS/2015/02.%20Informe%20%20Enero%202015/Bolet&#237;n%20Diciembre%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2.%20Estadisticas/00.%20Matriz%20del%20sistema/1.%20Matriz%20General/2%20(Autoguard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row r="5">
          <cell r="E5">
            <v>8855026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TSS Contributivo"/>
      <sheetName val="TSS Subsidiado."/>
      <sheetName val="TSS RCS"/>
      <sheetName val="Rec.xsector"/>
      <sheetName val="Efectivo Recibido X Rubros"/>
      <sheetName val="Dispersión por AFP's"/>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sheetName val="Total. Población"/>
      <sheetName val="Hoja4"/>
    </sheetNames>
    <sheetDataSet>
      <sheetData sheetId="0"/>
      <sheetData sheetId="1">
        <row r="177">
          <cell r="BJ177">
            <v>335192966.52000004</v>
          </cell>
        </row>
        <row r="187">
          <cell r="BF187">
            <v>21493597942.82</v>
          </cell>
          <cell r="DA187">
            <v>83842145.040000007</v>
          </cell>
        </row>
      </sheetData>
      <sheetData sheetId="2">
        <row r="189">
          <cell r="D189">
            <v>2092768479</v>
          </cell>
          <cell r="I189">
            <v>2033842226.02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5.xml"/><Relationship Id="rId1" Type="http://schemas.openxmlformats.org/officeDocument/2006/relationships/printerSettings" Target="../printerSettings/printerSettings87.bin"/><Relationship Id="rId4" Type="http://schemas.openxmlformats.org/officeDocument/2006/relationships/comments" Target="../comments1.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7.xml"/><Relationship Id="rId1" Type="http://schemas.openxmlformats.org/officeDocument/2006/relationships/printerSettings" Target="../printerSettings/printerSettings88.bin"/><Relationship Id="rId4" Type="http://schemas.openxmlformats.org/officeDocument/2006/relationships/comments" Target="../comments2.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A1"/>
  <sheetViews>
    <sheetView showGridLines="0" tabSelected="1" view="pageBreakPreview" zoomScale="40" zoomScaleNormal="100" zoomScaleSheetLayoutView="40" workbookViewId="0">
      <selection activeCell="U46" sqref="U46"/>
    </sheetView>
  </sheetViews>
  <sheetFormatPr baseColWidth="10" defaultColWidth="15.140625" defaultRowHeight="15"/>
  <cols>
    <col min="1" max="1" width="17.28515625" style="77" customWidth="1"/>
    <col min="2" max="5" width="15.140625" style="77"/>
    <col min="6" max="6" width="22.28515625" style="77" customWidth="1"/>
    <col min="7" max="7" width="15.140625" style="77"/>
    <col min="8" max="8" width="19.85546875" style="77" customWidth="1"/>
    <col min="9" max="9" width="15.140625" style="77"/>
    <col min="10" max="10" width="24.140625" style="77" customWidth="1"/>
    <col min="11" max="11" width="24.28515625" style="77" customWidth="1"/>
    <col min="12" max="12" width="23.28515625" style="77" customWidth="1"/>
    <col min="13" max="13" width="27" style="77" customWidth="1"/>
    <col min="14" max="16384" width="15.140625" style="77"/>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AC37"/>
  <sheetViews>
    <sheetView showGridLines="0" view="pageBreakPreview" zoomScale="70" zoomScaleNormal="85" zoomScaleSheetLayoutView="70" workbookViewId="0">
      <selection activeCell="P1" sqref="P1:Y1048576"/>
    </sheetView>
  </sheetViews>
  <sheetFormatPr baseColWidth="10" defaultColWidth="11.42578125" defaultRowHeight="45.75" customHeight="1"/>
  <cols>
    <col min="1" max="1" width="11" style="870" customWidth="1"/>
    <col min="2" max="2" width="12.42578125" style="870" customWidth="1"/>
    <col min="3" max="3" width="10.85546875" style="870" customWidth="1"/>
    <col min="4" max="4" width="15.140625" style="870" customWidth="1"/>
    <col min="5" max="5" width="14.140625" style="870" customWidth="1"/>
    <col min="6" max="6" width="20.42578125" style="870" customWidth="1"/>
    <col min="7" max="7" width="12.85546875" style="870" customWidth="1"/>
    <col min="8" max="8" width="16.5703125" style="870" customWidth="1"/>
    <col min="9" max="9" width="15.28515625" style="870" customWidth="1"/>
    <col min="10" max="10" width="20.5703125" style="870" customWidth="1"/>
    <col min="11" max="11" width="19.28515625" style="870" customWidth="1"/>
    <col min="12" max="12" width="20.5703125" style="870" customWidth="1"/>
    <col min="13" max="13" width="18.85546875" style="870" customWidth="1"/>
    <col min="14" max="14" width="14.7109375" style="870" customWidth="1"/>
    <col min="15" max="15" width="1.140625" style="870" customWidth="1"/>
    <col min="16" max="16" width="14.140625" style="2042" customWidth="1"/>
    <col min="17" max="16384" width="11.42578125" style="870"/>
  </cols>
  <sheetData>
    <row r="2" spans="1:18" s="45" customFormat="1" ht="36.75" customHeight="1">
      <c r="A2" s="2060" t="s">
        <v>445</v>
      </c>
      <c r="B2" s="2060"/>
      <c r="C2" s="2060"/>
      <c r="D2" s="2060"/>
      <c r="E2" s="2060"/>
      <c r="F2" s="2060"/>
      <c r="G2" s="2060"/>
      <c r="H2" s="2060"/>
      <c r="I2" s="2060"/>
      <c r="J2" s="2060"/>
      <c r="K2" s="2060"/>
      <c r="P2" s="2039"/>
    </row>
    <row r="3" spans="1:18" s="283" customFormat="1" ht="48.75" customHeight="1">
      <c r="A3" s="689" t="s">
        <v>25</v>
      </c>
      <c r="B3" s="689" t="s">
        <v>208</v>
      </c>
      <c r="C3" s="690" t="s">
        <v>217</v>
      </c>
      <c r="D3" s="690" t="s">
        <v>218</v>
      </c>
      <c r="E3" s="979" t="s">
        <v>154</v>
      </c>
      <c r="F3" s="1854" t="s">
        <v>219</v>
      </c>
      <c r="G3" s="1855" t="s">
        <v>220</v>
      </c>
      <c r="H3" s="1856" t="s">
        <v>221</v>
      </c>
      <c r="I3" s="979" t="s">
        <v>1002</v>
      </c>
      <c r="J3" s="691" t="s">
        <v>222</v>
      </c>
      <c r="K3" s="281"/>
      <c r="L3" s="282"/>
      <c r="P3" s="2040"/>
    </row>
    <row r="4" spans="1:18" ht="15.75">
      <c r="A4" s="1602" t="s">
        <v>458</v>
      </c>
      <c r="B4" s="1009">
        <v>41379</v>
      </c>
      <c r="C4" s="1010">
        <v>304</v>
      </c>
      <c r="D4" s="1010">
        <v>74</v>
      </c>
      <c r="E4" s="1011">
        <f t="shared" ref="E4:E10" si="0">+D4+C4+B4</f>
        <v>41757</v>
      </c>
      <c r="F4" s="1859">
        <v>863333</v>
      </c>
      <c r="G4" s="1860">
        <v>123254</v>
      </c>
      <c r="H4" s="1861">
        <v>201642</v>
      </c>
      <c r="I4" s="1011">
        <f>+H4+G4+F4</f>
        <v>1188229</v>
      </c>
      <c r="J4" s="1012">
        <f>I4/E4</f>
        <v>28.455803817324043</v>
      </c>
      <c r="K4" s="173"/>
      <c r="L4" s="173"/>
      <c r="M4" s="173"/>
      <c r="N4" s="869"/>
      <c r="P4" s="2041"/>
    </row>
    <row r="5" spans="1:18" ht="15.75">
      <c r="A5" s="1603" t="s">
        <v>409</v>
      </c>
      <c r="B5" s="1013">
        <v>41179</v>
      </c>
      <c r="C5" s="1014">
        <v>412</v>
      </c>
      <c r="D5" s="1014">
        <v>80</v>
      </c>
      <c r="E5" s="1015">
        <f t="shared" si="0"/>
        <v>41671</v>
      </c>
      <c r="F5" s="1857">
        <v>869750</v>
      </c>
      <c r="G5" s="1017">
        <v>148220</v>
      </c>
      <c r="H5" s="1858">
        <v>209755</v>
      </c>
      <c r="I5" s="1015">
        <f t="shared" ref="I5:I12" si="1">+H5+G5+F5</f>
        <v>1227725</v>
      </c>
      <c r="J5" s="1016">
        <f t="shared" ref="J5:J10" si="2">I5/E5</f>
        <v>29.462335917064625</v>
      </c>
      <c r="K5" s="107"/>
      <c r="L5" s="156"/>
      <c r="M5" s="209"/>
      <c r="N5" s="869"/>
      <c r="P5" s="2041"/>
      <c r="R5" s="928"/>
    </row>
    <row r="6" spans="1:18" ht="13.5" customHeight="1">
      <c r="A6" s="1603" t="s">
        <v>410</v>
      </c>
      <c r="B6" s="1013">
        <v>43682</v>
      </c>
      <c r="C6" s="1014">
        <v>418</v>
      </c>
      <c r="D6" s="1014">
        <v>79</v>
      </c>
      <c r="E6" s="1015">
        <f t="shared" si="0"/>
        <v>44179</v>
      </c>
      <c r="F6" s="1857">
        <v>943828</v>
      </c>
      <c r="G6" s="1017">
        <v>136553</v>
      </c>
      <c r="H6" s="1858">
        <v>218706</v>
      </c>
      <c r="I6" s="1015">
        <f t="shared" si="1"/>
        <v>1299087</v>
      </c>
      <c r="J6" s="1016">
        <f t="shared" si="2"/>
        <v>29.405079336336268</v>
      </c>
      <c r="K6" s="871"/>
      <c r="L6" s="156"/>
      <c r="M6" s="173"/>
      <c r="N6" s="869"/>
      <c r="P6" s="2041"/>
    </row>
    <row r="7" spans="1:18" ht="15" customHeight="1">
      <c r="A7" s="1603" t="s">
        <v>411</v>
      </c>
      <c r="B7" s="1013">
        <v>46674</v>
      </c>
      <c r="C7" s="1014">
        <v>469</v>
      </c>
      <c r="D7" s="1014">
        <v>79</v>
      </c>
      <c r="E7" s="1015">
        <f t="shared" si="0"/>
        <v>47222</v>
      </c>
      <c r="F7" s="1857">
        <v>996469</v>
      </c>
      <c r="G7" s="1017">
        <v>142319</v>
      </c>
      <c r="H7" s="1858">
        <v>225133</v>
      </c>
      <c r="I7" s="1015">
        <f t="shared" si="1"/>
        <v>1363921</v>
      </c>
      <c r="J7" s="1016">
        <f t="shared" si="2"/>
        <v>28.883168861971114</v>
      </c>
      <c r="K7" s="871"/>
      <c r="L7" s="173"/>
      <c r="M7" s="158" t="s">
        <v>31</v>
      </c>
      <c r="N7" s="869"/>
      <c r="P7" s="2041"/>
    </row>
    <row r="8" spans="1:18" ht="13.5" customHeight="1">
      <c r="A8" s="1603" t="s">
        <v>459</v>
      </c>
      <c r="B8" s="1013">
        <v>50784</v>
      </c>
      <c r="C8" s="1014">
        <v>488</v>
      </c>
      <c r="D8" s="1014">
        <v>79</v>
      </c>
      <c r="E8" s="1015">
        <f t="shared" si="0"/>
        <v>51351</v>
      </c>
      <c r="F8" s="1857">
        <v>1035050</v>
      </c>
      <c r="G8" s="1017">
        <v>156354</v>
      </c>
      <c r="H8" s="1858">
        <v>236498</v>
      </c>
      <c r="I8" s="1015">
        <f t="shared" si="1"/>
        <v>1427902</v>
      </c>
      <c r="J8" s="1016">
        <f t="shared" si="2"/>
        <v>27.806702887967127</v>
      </c>
      <c r="K8" s="156"/>
      <c r="M8" s="158"/>
      <c r="P8" s="2041"/>
    </row>
    <row r="9" spans="1:18" ht="15" customHeight="1">
      <c r="A9" s="1603" t="s">
        <v>515</v>
      </c>
      <c r="B9" s="1013">
        <v>58768</v>
      </c>
      <c r="C9" s="1014">
        <v>489</v>
      </c>
      <c r="D9" s="1014">
        <v>78</v>
      </c>
      <c r="E9" s="1015">
        <f t="shared" si="0"/>
        <v>59335</v>
      </c>
      <c r="F9" s="1857">
        <v>1110841</v>
      </c>
      <c r="G9" s="1017">
        <v>166811</v>
      </c>
      <c r="H9" s="1858">
        <v>249006</v>
      </c>
      <c r="I9" s="1015">
        <f>+H9+G9+F9</f>
        <v>1526658</v>
      </c>
      <c r="J9" s="1016">
        <f t="shared" si="2"/>
        <v>25.729468273363107</v>
      </c>
      <c r="K9" s="156"/>
      <c r="P9" s="2041"/>
    </row>
    <row r="10" spans="1:18" ht="15" customHeight="1">
      <c r="A10" s="1603" t="s">
        <v>546</v>
      </c>
      <c r="B10" s="1013">
        <v>65073</v>
      </c>
      <c r="C10" s="1014">
        <v>519</v>
      </c>
      <c r="D10" s="1014">
        <v>74</v>
      </c>
      <c r="E10" s="1015">
        <f t="shared" si="0"/>
        <v>65666</v>
      </c>
      <c r="F10" s="1857">
        <v>1193568</v>
      </c>
      <c r="G10" s="1017">
        <v>176595</v>
      </c>
      <c r="H10" s="1858">
        <v>281039</v>
      </c>
      <c r="I10" s="1015">
        <f t="shared" si="1"/>
        <v>1651202</v>
      </c>
      <c r="J10" s="1016">
        <f t="shared" si="2"/>
        <v>25.145463405719855</v>
      </c>
      <c r="K10" s="156"/>
      <c r="P10" s="2041"/>
    </row>
    <row r="11" spans="1:18" ht="13.5" customHeight="1">
      <c r="A11" s="1603" t="s">
        <v>952</v>
      </c>
      <c r="B11" s="1013">
        <v>69404</v>
      </c>
      <c r="C11" s="1014">
        <v>542</v>
      </c>
      <c r="D11" s="1014">
        <v>73</v>
      </c>
      <c r="E11" s="1015">
        <v>70019</v>
      </c>
      <c r="F11" s="1857">
        <v>1268556</v>
      </c>
      <c r="G11" s="1017">
        <v>189220</v>
      </c>
      <c r="H11" s="1858">
        <v>301682</v>
      </c>
      <c r="I11" s="1015">
        <f>+H11+G11+F11</f>
        <v>1759458</v>
      </c>
      <c r="J11" s="1016">
        <v>25.128293748839599</v>
      </c>
      <c r="K11" s="1017"/>
      <c r="M11" s="45"/>
    </row>
    <row r="12" spans="1:18" ht="15.75" customHeight="1">
      <c r="A12" s="1604" t="s">
        <v>1001</v>
      </c>
      <c r="B12" s="2001">
        <v>70755</v>
      </c>
      <c r="C12" s="2002">
        <v>544</v>
      </c>
      <c r="D12" s="2002">
        <v>74</v>
      </c>
      <c r="E12" s="1305">
        <f>+D12+C12+B12</f>
        <v>71373</v>
      </c>
      <c r="F12" s="2003">
        <v>1300184</v>
      </c>
      <c r="G12" s="2004">
        <v>243813</v>
      </c>
      <c r="H12" s="2005">
        <v>292702</v>
      </c>
      <c r="I12" s="1910">
        <f t="shared" si="1"/>
        <v>1836699</v>
      </c>
      <c r="J12" s="1124">
        <f>I12/E12</f>
        <v>25.733806901769576</v>
      </c>
      <c r="O12" s="928"/>
      <c r="P12" s="2043"/>
    </row>
    <row r="13" spans="1:18" ht="21.75" customHeight="1">
      <c r="A13" s="2061"/>
      <c r="B13" s="2061"/>
      <c r="C13" s="2061"/>
      <c r="D13" s="2061"/>
      <c r="E13" s="2061"/>
      <c r="F13" s="2061"/>
      <c r="G13" s="2061"/>
      <c r="H13" s="2061"/>
      <c r="I13" s="2061"/>
      <c r="J13" s="2061"/>
      <c r="P13" s="2044"/>
    </row>
    <row r="14" spans="1:18" ht="19.5" customHeight="1">
      <c r="L14" s="159"/>
      <c r="M14" s="160"/>
      <c r="P14" s="2044"/>
    </row>
    <row r="15" spans="1:18" ht="19.5" customHeight="1">
      <c r="L15" s="159"/>
      <c r="M15" s="159"/>
      <c r="P15" s="2045"/>
    </row>
    <row r="16" spans="1:18" ht="19.5" customHeight="1">
      <c r="M16" s="159"/>
      <c r="P16" s="2040"/>
    </row>
    <row r="17" spans="12:29" ht="19.5" customHeight="1">
      <c r="M17" s="159"/>
    </row>
    <row r="18" spans="12:29" ht="19.5" customHeight="1">
      <c r="L18" s="158"/>
      <c r="M18" s="159"/>
      <c r="P18" s="2046"/>
      <c r="Q18" s="1823"/>
    </row>
    <row r="19" spans="12:29" ht="19.5" customHeight="1">
      <c r="L19" s="158"/>
      <c r="P19" s="2047"/>
    </row>
    <row r="20" spans="12:29" ht="19.5" customHeight="1">
      <c r="L20" s="158"/>
      <c r="P20" s="2047"/>
    </row>
    <row r="21" spans="12:29" ht="19.5" customHeight="1">
      <c r="P21" s="1234"/>
      <c r="Q21" s="207"/>
      <c r="U21" s="159"/>
      <c r="V21" s="159"/>
      <c r="W21" s="159"/>
      <c r="X21" s="159"/>
      <c r="Y21" s="159"/>
      <c r="Z21" s="159"/>
      <c r="AA21" s="159"/>
      <c r="AB21" s="159"/>
      <c r="AC21" s="159"/>
    </row>
    <row r="22" spans="12:29" ht="19.5" customHeight="1">
      <c r="P22" s="1234"/>
    </row>
    <row r="23" spans="12:29" ht="19.5" customHeight="1">
      <c r="L23" s="158"/>
    </row>
    <row r="24" spans="12:29" ht="19.5" customHeight="1"/>
    <row r="25" spans="12:29" ht="19.5" customHeight="1">
      <c r="P25" s="2048"/>
    </row>
    <row r="26" spans="12:29" ht="19.5" customHeight="1"/>
    <row r="27" spans="12:29" ht="19.5" customHeight="1"/>
    <row r="28" spans="12:29" ht="19.5" customHeight="1"/>
    <row r="29" spans="12:29" ht="19.5" customHeight="1"/>
    <row r="30" spans="12:29" ht="19.5" customHeight="1"/>
    <row r="31" spans="12:29" ht="19.5" customHeight="1"/>
    <row r="32" spans="12:29" ht="19.5" customHeight="1"/>
    <row r="33" ht="19.5" customHeight="1"/>
    <row r="34" ht="19.5" customHeight="1"/>
    <row r="35" ht="19.5" customHeight="1"/>
    <row r="36" ht="19.5" customHeight="1"/>
    <row r="37" ht="19.5" customHeight="1"/>
  </sheetData>
  <mergeCells count="2">
    <mergeCell ref="A2:K2"/>
    <mergeCell ref="A13:J13"/>
  </mergeCells>
  <printOptions horizontalCentered="1" verticalCentered="1"/>
  <pageMargins left="0.39370078740157483" right="0.39370078740157483" top="0.23622047244094491" bottom="0.23622047244094491" header="0.31496062992125984" footer="0.31496062992125984"/>
  <pageSetup scale="58"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M12:P37"/>
  <sheetViews>
    <sheetView showGridLines="0" view="pageBreakPreview" zoomScale="115" zoomScaleNormal="100" zoomScaleSheetLayoutView="115" workbookViewId="0">
      <selection activeCell="C41" sqref="C41"/>
    </sheetView>
  </sheetViews>
  <sheetFormatPr baseColWidth="10" defaultColWidth="11.42578125" defaultRowHeight="15"/>
  <cols>
    <col min="1" max="6" width="11.42578125" style="77"/>
    <col min="7" max="7" width="9.42578125" style="77" customWidth="1"/>
    <col min="8" max="12" width="11.42578125" style="77"/>
    <col min="13" max="13" width="16.28515625" style="77" bestFit="1" customWidth="1"/>
    <col min="14" max="17" width="11.42578125" style="77"/>
    <col min="18" max="18" width="17.85546875" style="77" customWidth="1"/>
    <col min="19" max="16384" width="11.42578125" style="77"/>
  </cols>
  <sheetData>
    <row r="12" spans="13:13" ht="15.75">
      <c r="M12" s="861"/>
    </row>
    <row r="14" spans="13:13">
      <c r="M14" s="268"/>
    </row>
    <row r="35" spans="14:16">
      <c r="P35" s="156"/>
    </row>
    <row r="36" spans="14:16">
      <c r="P36" s="156"/>
    </row>
    <row r="37" spans="14:16">
      <c r="N37" s="230"/>
    </row>
  </sheetData>
  <pageMargins left="0.7" right="0.7" top="0.75" bottom="0.75" header="0.3" footer="0.3"/>
  <pageSetup scale="9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8"/>
  <sheetViews>
    <sheetView showGridLines="0" view="pageBreakPreview" zoomScale="55" zoomScaleNormal="70" zoomScaleSheetLayoutView="55" workbookViewId="0">
      <selection activeCell="A3" sqref="A3"/>
    </sheetView>
  </sheetViews>
  <sheetFormatPr baseColWidth="10" defaultColWidth="11.5703125" defaultRowHeight="15"/>
  <cols>
    <col min="1" max="1" width="15.140625" style="784" customWidth="1"/>
    <col min="2" max="2" width="23.85546875" style="784" customWidth="1"/>
    <col min="3" max="3" width="20" style="784" customWidth="1"/>
    <col min="4" max="4" width="27.5703125" style="784" customWidth="1"/>
    <col min="5" max="5" width="20.7109375" style="784" customWidth="1"/>
    <col min="6" max="6" width="35.28515625" style="784" customWidth="1"/>
    <col min="7" max="7" width="33.7109375" style="784" customWidth="1"/>
    <col min="8" max="9" width="31.7109375" style="784" customWidth="1"/>
    <col min="10" max="10" width="30" style="784" customWidth="1"/>
    <col min="11" max="11" width="28.5703125" style="784" customWidth="1"/>
    <col min="12" max="12" width="23.42578125" style="784" customWidth="1"/>
    <col min="13" max="13" width="17" style="784" customWidth="1"/>
    <col min="14" max="14" width="28.7109375" style="784" customWidth="1"/>
    <col min="15" max="15" width="24.7109375" style="784" customWidth="1"/>
    <col min="16" max="16" width="29.7109375" style="784" customWidth="1"/>
    <col min="17" max="17" width="41.42578125" style="784" customWidth="1"/>
    <col min="18" max="18" width="27.5703125" style="784" customWidth="1"/>
    <col min="19" max="19" width="25.42578125" style="784" customWidth="1"/>
    <col min="20" max="16384" width="11.5703125" style="784"/>
  </cols>
  <sheetData>
    <row r="1" spans="1:12" ht="111" customHeight="1">
      <c r="A1" s="2210"/>
      <c r="B1" s="2210"/>
      <c r="C1" s="2210"/>
      <c r="D1" s="2210"/>
      <c r="E1" s="2210"/>
      <c r="F1" s="2210"/>
      <c r="G1" s="2210"/>
      <c r="H1" s="2210"/>
      <c r="I1" s="2210"/>
      <c r="J1" s="2210"/>
    </row>
    <row r="2" spans="1:12" s="786" customFormat="1" ht="3" customHeight="1">
      <c r="A2" s="785"/>
      <c r="B2" s="785"/>
      <c r="C2" s="785"/>
      <c r="D2" s="785"/>
      <c r="E2" s="785"/>
      <c r="F2" s="785"/>
      <c r="G2" s="785"/>
    </row>
    <row r="3" spans="1:12" s="786" customFormat="1" ht="50.25" customHeight="1">
      <c r="A3" s="1656" t="s">
        <v>39</v>
      </c>
      <c r="B3" s="1140" t="s">
        <v>722</v>
      </c>
      <c r="C3" s="1176" t="s">
        <v>607</v>
      </c>
      <c r="D3" s="1141" t="s">
        <v>723</v>
      </c>
      <c r="E3" s="787"/>
      <c r="F3" s="785"/>
      <c r="G3" s="785"/>
    </row>
    <row r="4" spans="1:12" s="786" customFormat="1" ht="19.5" customHeight="1">
      <c r="A4" s="1657" t="s">
        <v>706</v>
      </c>
      <c r="B4" s="1177">
        <f t="shared" ref="B4:B14" si="0">+D4/C4</f>
        <v>601</v>
      </c>
      <c r="C4" s="1177">
        <v>2000</v>
      </c>
      <c r="D4" s="1143">
        <v>1202000</v>
      </c>
      <c r="E4" s="790"/>
      <c r="F4" s="785"/>
      <c r="G4" s="785"/>
    </row>
    <row r="5" spans="1:12" s="786" customFormat="1" ht="19.5" customHeight="1">
      <c r="A5" s="1658" t="s">
        <v>409</v>
      </c>
      <c r="B5" s="1178">
        <f t="shared" si="0"/>
        <v>1814</v>
      </c>
      <c r="C5" s="1178">
        <v>2000</v>
      </c>
      <c r="D5" s="1139">
        <v>3628000</v>
      </c>
      <c r="E5" s="791"/>
      <c r="F5" s="785"/>
      <c r="G5" s="785"/>
    </row>
    <row r="6" spans="1:12" s="786" customFormat="1" ht="19.5" customHeight="1">
      <c r="A6" s="1658" t="s">
        <v>707</v>
      </c>
      <c r="B6" s="1178">
        <f t="shared" si="0"/>
        <v>2399</v>
      </c>
      <c r="C6" s="1178">
        <v>2000</v>
      </c>
      <c r="D6" s="1139">
        <v>4798000</v>
      </c>
      <c r="E6" s="791"/>
      <c r="F6" s="785"/>
      <c r="G6" s="785"/>
    </row>
    <row r="7" spans="1:12" s="786" customFormat="1" ht="19.5" customHeight="1">
      <c r="A7" s="1658" t="s">
        <v>410</v>
      </c>
      <c r="B7" s="1178">
        <f t="shared" si="0"/>
        <v>4254</v>
      </c>
      <c r="C7" s="1178">
        <v>2000</v>
      </c>
      <c r="D7" s="1139">
        <v>8508000</v>
      </c>
      <c r="E7" s="791"/>
      <c r="F7" s="785"/>
      <c r="G7" s="785"/>
    </row>
    <row r="8" spans="1:12" s="786" customFormat="1" ht="19.5" customHeight="1">
      <c r="A8" s="1658" t="s">
        <v>532</v>
      </c>
      <c r="B8" s="1178">
        <f t="shared" si="0"/>
        <v>4267</v>
      </c>
      <c r="C8" s="1178">
        <v>2000</v>
      </c>
      <c r="D8" s="1139">
        <v>8534000</v>
      </c>
      <c r="E8" s="791"/>
      <c r="F8" s="785"/>
      <c r="G8" s="785"/>
    </row>
    <row r="9" spans="1:12" s="786" customFormat="1" ht="19.5" customHeight="1">
      <c r="A9" s="1658" t="s">
        <v>411</v>
      </c>
      <c r="B9" s="1178">
        <f t="shared" si="0"/>
        <v>5208</v>
      </c>
      <c r="C9" s="1178">
        <v>2000</v>
      </c>
      <c r="D9" s="1139">
        <v>10416000</v>
      </c>
      <c r="E9" s="791"/>
      <c r="F9" s="785"/>
      <c r="G9" s="785"/>
    </row>
    <row r="10" spans="1:12" s="786" customFormat="1" ht="19.5" customHeight="1">
      <c r="A10" s="1658" t="s">
        <v>442</v>
      </c>
      <c r="B10" s="1178">
        <f t="shared" si="0"/>
        <v>4988</v>
      </c>
      <c r="C10" s="1178">
        <v>2000</v>
      </c>
      <c r="D10" s="1139">
        <v>9976000</v>
      </c>
      <c r="E10" s="791"/>
      <c r="F10" s="785"/>
      <c r="G10" s="785"/>
    </row>
    <row r="11" spans="1:12" s="786" customFormat="1" ht="19.5" customHeight="1">
      <c r="A11" s="1658" t="s">
        <v>459</v>
      </c>
      <c r="B11" s="1178">
        <f t="shared" si="0"/>
        <v>5894</v>
      </c>
      <c r="C11" s="1178">
        <v>2000</v>
      </c>
      <c r="D11" s="1139">
        <v>11788000</v>
      </c>
      <c r="E11" s="791"/>
      <c r="F11" s="785"/>
      <c r="G11" s="785"/>
    </row>
    <row r="12" spans="1:12" s="786" customFormat="1" ht="19.5" customHeight="1">
      <c r="A12" s="1658" t="s">
        <v>531</v>
      </c>
      <c r="B12" s="1178">
        <f t="shared" si="0"/>
        <v>5527</v>
      </c>
      <c r="C12" s="1178">
        <v>2000</v>
      </c>
      <c r="D12" s="1139">
        <v>11054000</v>
      </c>
      <c r="E12" s="791"/>
      <c r="F12" s="785"/>
      <c r="G12" s="785"/>
    </row>
    <row r="13" spans="1:12" s="786" customFormat="1" ht="19.5" customHeight="1">
      <c r="A13" s="1658" t="s">
        <v>515</v>
      </c>
      <c r="B13" s="1178">
        <f t="shared" si="0"/>
        <v>6648</v>
      </c>
      <c r="C13" s="1178">
        <v>2000</v>
      </c>
      <c r="D13" s="1139">
        <v>13296000</v>
      </c>
      <c r="E13" s="791"/>
      <c r="F13" s="785"/>
      <c r="G13" s="785"/>
    </row>
    <row r="14" spans="1:12" s="786" customFormat="1" ht="19.5" customHeight="1">
      <c r="A14" s="1658" t="s">
        <v>546</v>
      </c>
      <c r="B14" s="1178">
        <f t="shared" si="0"/>
        <v>7374</v>
      </c>
      <c r="C14" s="1178">
        <v>2000</v>
      </c>
      <c r="D14" s="1139">
        <v>14748000</v>
      </c>
      <c r="E14" s="791"/>
      <c r="F14" s="785"/>
      <c r="G14" s="785"/>
    </row>
    <row r="15" spans="1:12" s="786" customFormat="1" ht="19.5" customHeight="1">
      <c r="A15" s="1658" t="s">
        <v>704</v>
      </c>
      <c r="B15" s="1178">
        <v>5725</v>
      </c>
      <c r="C15" s="1178">
        <v>2000</v>
      </c>
      <c r="D15" s="1139">
        <v>11478000</v>
      </c>
      <c r="E15" s="791"/>
      <c r="F15" s="785"/>
      <c r="G15" s="785"/>
      <c r="L15" s="1432"/>
    </row>
    <row r="16" spans="1:12" s="786" customFormat="1" ht="19.5" customHeight="1">
      <c r="A16" s="1658" t="s">
        <v>737</v>
      </c>
      <c r="B16" s="1178">
        <v>6125</v>
      </c>
      <c r="C16" s="1178">
        <v>2000</v>
      </c>
      <c r="D16" s="1139">
        <v>12250000</v>
      </c>
      <c r="E16" s="791"/>
      <c r="F16" s="785"/>
      <c r="G16" s="785"/>
    </row>
    <row r="17" spans="1:7" s="786" customFormat="1" ht="19.5" customHeight="1">
      <c r="A17" s="1658" t="s">
        <v>923</v>
      </c>
      <c r="B17" s="1178">
        <v>6181</v>
      </c>
      <c r="C17" s="1178">
        <v>2000</v>
      </c>
      <c r="D17" s="1139">
        <v>12362000</v>
      </c>
      <c r="E17" s="791"/>
      <c r="F17" s="785"/>
      <c r="G17" s="785"/>
    </row>
    <row r="18" spans="1:7" s="786" customFormat="1" ht="19.5" customHeight="1">
      <c r="A18" s="1658" t="s">
        <v>942</v>
      </c>
      <c r="B18" s="1178">
        <f>+D18/C18</f>
        <v>12456.742</v>
      </c>
      <c r="C18" s="1178">
        <v>2000</v>
      </c>
      <c r="D18" s="1139">
        <v>24913484</v>
      </c>
      <c r="E18" s="791"/>
      <c r="F18" s="785"/>
      <c r="G18" s="785"/>
    </row>
    <row r="19" spans="1:7" s="786" customFormat="1" ht="19.5" customHeight="1">
      <c r="A19" s="1658" t="s">
        <v>952</v>
      </c>
      <c r="B19" s="1178">
        <v>5946</v>
      </c>
      <c r="C19" s="1178">
        <v>2000</v>
      </c>
      <c r="D19" s="1139">
        <v>11892000</v>
      </c>
      <c r="E19" s="1142"/>
      <c r="F19" s="785"/>
      <c r="G19" s="785"/>
    </row>
    <row r="20" spans="1:7" s="786" customFormat="1" ht="19.5" customHeight="1">
      <c r="A20" s="1659" t="s">
        <v>1001</v>
      </c>
      <c r="B20" s="1179">
        <f>+D20/C20</f>
        <v>5886</v>
      </c>
      <c r="C20" s="1179">
        <v>2000</v>
      </c>
      <c r="D20" s="1144">
        <v>11772000</v>
      </c>
      <c r="E20" s="1138"/>
      <c r="F20" s="785"/>
      <c r="G20" s="785"/>
    </row>
    <row r="21" spans="1:7" s="786" customFormat="1" ht="18.75" customHeight="1">
      <c r="A21" s="2211" t="s">
        <v>985</v>
      </c>
      <c r="B21" s="2211"/>
      <c r="C21" s="2211"/>
      <c r="D21" s="2211"/>
      <c r="E21" s="1138"/>
      <c r="F21" s="785"/>
      <c r="G21" s="785"/>
    </row>
    <row r="22" spans="1:7" s="786" customFormat="1" ht="20.25" customHeight="1">
      <c r="A22" s="2211"/>
      <c r="B22" s="2211"/>
      <c r="C22" s="2211"/>
      <c r="D22" s="2211"/>
      <c r="E22" s="789"/>
      <c r="F22" s="785"/>
      <c r="G22" s="785"/>
    </row>
    <row r="23" spans="1:7" s="786" customFormat="1" ht="23.25" customHeight="1">
      <c r="B23" s="789"/>
      <c r="C23" s="789"/>
      <c r="D23" s="788"/>
      <c r="E23" s="789"/>
      <c r="F23" s="785"/>
      <c r="G23" s="785"/>
    </row>
    <row r="24" spans="1:7" s="786" customFormat="1" ht="23.25" customHeight="1">
      <c r="B24" s="789"/>
      <c r="C24" s="789"/>
      <c r="D24" s="788"/>
      <c r="E24" s="789"/>
      <c r="F24" s="785"/>
      <c r="G24" s="785"/>
    </row>
    <row r="25" spans="1:7" s="786" customFormat="1" ht="23.25" customHeight="1">
      <c r="E25" s="789"/>
      <c r="F25" s="785"/>
      <c r="G25" s="785"/>
    </row>
    <row r="26" spans="1:7" s="786" customFormat="1" ht="23.25" customHeight="1">
      <c r="E26" s="789"/>
      <c r="F26" s="785"/>
      <c r="G26" s="785"/>
    </row>
    <row r="27" spans="1:7" s="786" customFormat="1" ht="23.25" customHeight="1">
      <c r="E27" s="789"/>
      <c r="F27" s="785"/>
      <c r="G27" s="785"/>
    </row>
    <row r="28" spans="1:7" s="786" customFormat="1" ht="23.25" customHeight="1">
      <c r="E28" s="789"/>
      <c r="F28" s="785"/>
      <c r="G28" s="785"/>
    </row>
    <row r="29" spans="1:7" s="786" customFormat="1" ht="20.25" customHeight="1">
      <c r="E29" s="789"/>
      <c r="F29" s="785"/>
      <c r="G29" s="785"/>
    </row>
    <row r="30" spans="1:7" s="786" customFormat="1" ht="23.25" customHeight="1">
      <c r="E30" s="789"/>
      <c r="F30" s="785"/>
      <c r="G30" s="785"/>
    </row>
    <row r="31" spans="1:7" s="786" customFormat="1" ht="23.25" customHeight="1">
      <c r="E31" s="789"/>
      <c r="F31" s="785"/>
      <c r="G31" s="785"/>
    </row>
    <row r="32" spans="1:7" s="786" customFormat="1" ht="20.25" customHeight="1">
      <c r="E32" s="789"/>
      <c r="F32" s="785"/>
      <c r="G32" s="785"/>
    </row>
    <row r="33" spans="1:19" s="786" customFormat="1" ht="21.75" customHeight="1">
      <c r="E33" s="788"/>
      <c r="F33" s="785"/>
      <c r="G33" s="785"/>
    </row>
    <row r="34" spans="1:19" s="786" customFormat="1" ht="21.75" customHeight="1">
      <c r="E34" s="788"/>
      <c r="F34" s="788"/>
      <c r="G34" s="788"/>
    </row>
    <row r="35" spans="1:19" s="786" customFormat="1" ht="21.75" customHeight="1">
      <c r="E35" s="788"/>
      <c r="F35" s="788"/>
      <c r="G35" s="788"/>
    </row>
    <row r="36" spans="1:19" s="786" customFormat="1" ht="21.75" customHeight="1">
      <c r="E36" s="788"/>
      <c r="F36" s="788"/>
      <c r="G36" s="788"/>
    </row>
    <row r="37" spans="1:19" s="786" customFormat="1" ht="26.25" customHeight="1">
      <c r="E37" s="788"/>
      <c r="F37" s="788"/>
      <c r="G37" s="788"/>
    </row>
    <row r="38" spans="1:19" s="786" customFormat="1" ht="26.25" customHeight="1">
      <c r="E38" s="788"/>
    </row>
    <row r="39" spans="1:19" s="786" customFormat="1" ht="23.25">
      <c r="E39" s="788"/>
    </row>
    <row r="40" spans="1:19" s="786" customFormat="1" ht="23.25">
      <c r="E40" s="788"/>
      <c r="M40" s="789"/>
      <c r="N40" s="789"/>
      <c r="O40" s="789"/>
      <c r="P40" s="789"/>
      <c r="Q40" s="789"/>
      <c r="R40" s="792"/>
      <c r="S40" s="788"/>
    </row>
    <row r="41" spans="1:19" s="786" customFormat="1" ht="23.25">
      <c r="E41" s="788"/>
    </row>
    <row r="42" spans="1:19" s="786" customFormat="1" ht="23.25">
      <c r="E42" s="788"/>
    </row>
    <row r="43" spans="1:19" s="786" customFormat="1" ht="23.25">
      <c r="E43" s="788"/>
    </row>
    <row r="44" spans="1:19" s="786" customFormat="1"/>
    <row r="45" spans="1:19" s="786" customFormat="1"/>
    <row r="46" spans="1:19" s="786" customFormat="1"/>
    <row r="47" spans="1:19" s="786" customFormat="1"/>
    <row r="48" spans="1:19" s="786" customFormat="1">
      <c r="A48" s="784"/>
      <c r="B48" s="784"/>
      <c r="C48" s="784"/>
      <c r="D48" s="784"/>
    </row>
    <row r="49" spans="1:4" s="786" customFormat="1">
      <c r="A49" s="784"/>
      <c r="B49" s="784"/>
      <c r="C49" s="784"/>
      <c r="D49" s="784"/>
    </row>
    <row r="50" spans="1:4" s="786" customFormat="1">
      <c r="A50" s="784"/>
      <c r="B50" s="784"/>
      <c r="C50" s="784"/>
      <c r="D50" s="784"/>
    </row>
    <row r="51" spans="1:4" s="786" customFormat="1">
      <c r="A51" s="784"/>
      <c r="B51" s="784"/>
      <c r="C51" s="784"/>
      <c r="D51" s="784"/>
    </row>
    <row r="52" spans="1:4" s="786" customFormat="1">
      <c r="A52" s="784"/>
      <c r="B52" s="784"/>
      <c r="C52" s="784"/>
      <c r="D52" s="784"/>
    </row>
    <row r="53" spans="1:4" s="786" customFormat="1">
      <c r="A53" s="784"/>
      <c r="B53" s="784"/>
      <c r="C53" s="784"/>
      <c r="D53" s="784"/>
    </row>
    <row r="54" spans="1:4" s="786" customFormat="1">
      <c r="A54" s="784"/>
      <c r="B54" s="784"/>
      <c r="C54" s="784"/>
      <c r="D54" s="784"/>
    </row>
    <row r="55" spans="1:4" s="786" customFormat="1">
      <c r="A55" s="784"/>
      <c r="B55" s="784"/>
      <c r="C55" s="784"/>
      <c r="D55" s="784"/>
    </row>
    <row r="56" spans="1:4" s="786" customFormat="1">
      <c r="A56" s="784"/>
      <c r="B56" s="784"/>
      <c r="C56" s="784"/>
      <c r="D56" s="784"/>
    </row>
    <row r="57" spans="1:4" s="786" customFormat="1">
      <c r="A57" s="784"/>
      <c r="B57" s="784"/>
      <c r="C57" s="784"/>
      <c r="D57" s="784"/>
    </row>
    <row r="58" spans="1:4" s="786" customFormat="1">
      <c r="A58" s="784"/>
      <c r="B58" s="784"/>
      <c r="C58" s="784"/>
      <c r="D58" s="784"/>
    </row>
  </sheetData>
  <mergeCells count="2">
    <mergeCell ref="A1:J1"/>
    <mergeCell ref="A21:D22"/>
  </mergeCells>
  <printOptions horizontalCentered="1" verticalCentered="1"/>
  <pageMargins left="0.39370078740157483" right="0.39370078740157483" top="0.23622047244094491" bottom="0.23622047244094491" header="0.31496062992125984" footer="0.41"/>
  <pageSetup scale="44" orientation="landscape" r:id="rId1"/>
  <colBreaks count="1" manualBreakCount="1">
    <brk id="3" max="64"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K15"/>
  <sheetViews>
    <sheetView showGridLines="0" view="pageBreakPreview" zoomScale="85" zoomScaleNormal="70" zoomScaleSheetLayoutView="85" workbookViewId="0">
      <pane ySplit="1" topLeftCell="A2" activePane="bottomLeft" state="frozen"/>
      <selection pane="bottomLeft" activeCell="A3" sqref="A3"/>
    </sheetView>
  </sheetViews>
  <sheetFormatPr baseColWidth="10" defaultColWidth="11.42578125" defaultRowHeight="15"/>
  <cols>
    <col min="1" max="1" width="15.85546875" style="77" customWidth="1"/>
    <col min="2" max="2" width="18" style="77" customWidth="1"/>
    <col min="3" max="3" width="24.5703125" style="77" customWidth="1"/>
    <col min="4" max="4" width="21.140625" style="77" customWidth="1"/>
    <col min="5" max="5" width="16.7109375" style="77" customWidth="1"/>
    <col min="6" max="6" width="16.42578125" style="77" customWidth="1"/>
    <col min="7" max="7" width="24.85546875" style="77" customWidth="1"/>
    <col min="8" max="8" width="29.42578125" style="77" customWidth="1"/>
    <col min="9" max="9" width="28.85546875" style="77" customWidth="1"/>
    <col min="10" max="10" width="13.28515625" style="77" customWidth="1"/>
    <col min="11" max="16384" width="11.42578125" style="77"/>
  </cols>
  <sheetData>
    <row r="1" spans="1:11" ht="65.25" customHeight="1">
      <c r="A1" s="2097"/>
      <c r="B1" s="2097"/>
      <c r="C1" s="2097"/>
      <c r="D1" s="2097"/>
      <c r="E1" s="2097"/>
      <c r="F1" s="2097"/>
      <c r="G1" s="2097"/>
      <c r="H1" s="2097"/>
      <c r="I1" s="2097"/>
      <c r="J1" s="182"/>
    </row>
    <row r="2" spans="1:11" s="39" customFormat="1" ht="6" customHeight="1">
      <c r="A2" s="743"/>
      <c r="B2" s="743"/>
      <c r="C2" s="743"/>
      <c r="D2" s="743"/>
      <c r="E2" s="743"/>
      <c r="F2" s="743"/>
      <c r="G2" s="743"/>
      <c r="H2" s="743"/>
      <c r="I2" s="743"/>
      <c r="J2" s="743"/>
    </row>
    <row r="3" spans="1:11" ht="32.25" customHeight="1">
      <c r="A3" s="1905" t="s">
        <v>38</v>
      </c>
      <c r="B3" s="1854" t="s">
        <v>709</v>
      </c>
      <c r="C3" s="1855" t="s">
        <v>710</v>
      </c>
      <c r="D3" s="303" t="s">
        <v>708</v>
      </c>
    </row>
    <row r="4" spans="1:11" ht="17.25" customHeight="1">
      <c r="A4" s="1959">
        <v>2009</v>
      </c>
      <c r="B4" s="1332">
        <v>16656000</v>
      </c>
      <c r="C4" s="1333">
        <v>0</v>
      </c>
      <c r="D4" s="1334">
        <f t="shared" ref="D4:D9" si="0">+C4+B4</f>
        <v>16656000</v>
      </c>
    </row>
    <row r="5" spans="1:11" ht="15.75" customHeight="1">
      <c r="A5" s="1959">
        <v>2010</v>
      </c>
      <c r="B5" s="1332">
        <v>68030000</v>
      </c>
      <c r="C5" s="1333">
        <v>0</v>
      </c>
      <c r="D5" s="1334">
        <f t="shared" si="0"/>
        <v>68030000</v>
      </c>
    </row>
    <row r="6" spans="1:11" ht="17.25" customHeight="1">
      <c r="A6" s="1959">
        <v>2011</v>
      </c>
      <c r="B6" s="1332">
        <v>168385579.84999999</v>
      </c>
      <c r="C6" s="1333">
        <v>0</v>
      </c>
      <c r="D6" s="1334">
        <f t="shared" si="0"/>
        <v>168385579.84999999</v>
      </c>
    </row>
    <row r="7" spans="1:11" ht="17.25" customHeight="1">
      <c r="A7" s="1959">
        <v>2012</v>
      </c>
      <c r="B7" s="1332">
        <v>182376500</v>
      </c>
      <c r="C7" s="1333">
        <v>0</v>
      </c>
      <c r="D7" s="1334">
        <f t="shared" si="0"/>
        <v>182376500</v>
      </c>
    </row>
    <row r="8" spans="1:11" ht="18.75" customHeight="1">
      <c r="A8" s="1959">
        <v>2013</v>
      </c>
      <c r="B8" s="1332">
        <v>215786255.86000001</v>
      </c>
      <c r="C8" s="1333">
        <v>0</v>
      </c>
      <c r="D8" s="1334">
        <f t="shared" si="0"/>
        <v>215786255.86000001</v>
      </c>
    </row>
    <row r="9" spans="1:11" ht="18" customHeight="1">
      <c r="A9" s="1959">
        <v>2014</v>
      </c>
      <c r="B9" s="1332">
        <v>262429320</v>
      </c>
      <c r="C9" s="1333">
        <v>0</v>
      </c>
      <c r="D9" s="1334">
        <f t="shared" si="0"/>
        <v>262429320</v>
      </c>
    </row>
    <row r="10" spans="1:11" ht="15.75">
      <c r="A10" s="1959">
        <v>2015</v>
      </c>
      <c r="B10" s="1332">
        <v>174858968</v>
      </c>
      <c r="C10" s="1769">
        <v>128134840</v>
      </c>
      <c r="D10" s="1334">
        <f>+C10+B10</f>
        <v>302993808</v>
      </c>
    </row>
    <row r="11" spans="1:11" ht="18.75">
      <c r="A11" s="1959" t="s">
        <v>1012</v>
      </c>
      <c r="B11" s="1332">
        <v>47672000</v>
      </c>
      <c r="C11" s="1769">
        <v>51253936</v>
      </c>
      <c r="D11" s="1334">
        <f>+C11+B11</f>
        <v>98925936</v>
      </c>
      <c r="G11" s="1180"/>
    </row>
    <row r="12" spans="1:11" s="879" customFormat="1" ht="19.5" customHeight="1">
      <c r="A12" s="1906" t="s">
        <v>23</v>
      </c>
      <c r="B12" s="1907">
        <f>SUM(B4:B11)</f>
        <v>1136194623.71</v>
      </c>
      <c r="C12" s="1908">
        <f>SUM(C4:C11)</f>
        <v>179388776</v>
      </c>
      <c r="D12" s="1909">
        <f>SUM(D4:D11)</f>
        <v>1315583399.71</v>
      </c>
    </row>
    <row r="14" spans="1:11">
      <c r="K14" s="183"/>
    </row>
    <row r="15" spans="1:11">
      <c r="J15" s="144"/>
    </row>
  </sheetData>
  <mergeCells count="1">
    <mergeCell ref="A1:I1"/>
  </mergeCells>
  <printOptions horizontalCentered="1" verticalCentered="1"/>
  <pageMargins left="0.39370078740157483" right="0.39370078740157483" top="0.23622047244094491" bottom="0.23622047244094491" header="0.31496062992125984" footer="0.31496062992125984"/>
  <pageSetup scale="66" orientation="landscape" r:id="rId1"/>
  <rowBreaks count="1" manualBreakCount="1">
    <brk id="5"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J48" sqref="J48"/>
    </sheetView>
  </sheetViews>
  <sheetFormatPr baseColWidth="10" defaultColWidth="11.42578125" defaultRowHeight="15"/>
  <cols>
    <col min="1" max="6" width="11.42578125" style="77"/>
    <col min="7" max="7" width="9.42578125" style="77" customWidth="1"/>
    <col min="8" max="16384" width="11.42578125" style="77"/>
  </cols>
  <sheetData>
    <row r="11" spans="4:4" ht="61.5">
      <c r="D11" s="824"/>
    </row>
  </sheetData>
  <pageMargins left="0.7" right="0.7" top="0.75" bottom="0.75" header="0.3" footer="0.3"/>
  <pageSetup scale="6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election activeCell="R36" sqref="R36"/>
    </sheetView>
  </sheetViews>
  <sheetFormatPr baseColWidth="10" defaultColWidth="11.42578125" defaultRowHeight="15"/>
  <cols>
    <col min="1" max="6" width="11.42578125" style="77"/>
    <col min="7" max="7" width="9.42578125" style="77" customWidth="1"/>
    <col min="8" max="16384" width="11.42578125" style="77"/>
  </cols>
  <sheetData>
    <row r="5" spans="1:15" ht="6.75" customHeight="1">
      <c r="A5" s="2212" t="s">
        <v>925</v>
      </c>
      <c r="B5" s="2212"/>
      <c r="C5" s="2212"/>
      <c r="D5" s="2212"/>
      <c r="E5" s="2212"/>
      <c r="F5" s="2212"/>
      <c r="G5" s="2212"/>
      <c r="H5" s="2212"/>
      <c r="I5" s="2212"/>
      <c r="J5" s="2212"/>
      <c r="K5" s="2212"/>
      <c r="L5" s="2212"/>
      <c r="M5" s="2212"/>
      <c r="N5" s="2212"/>
      <c r="O5" s="2212"/>
    </row>
    <row r="6" spans="1:15" ht="17.25" customHeight="1">
      <c r="A6" s="2212"/>
      <c r="B6" s="2212"/>
      <c r="C6" s="2212"/>
      <c r="D6" s="2212"/>
      <c r="E6" s="2212"/>
      <c r="F6" s="2212"/>
      <c r="G6" s="2212"/>
      <c r="H6" s="2212"/>
      <c r="I6" s="2212"/>
      <c r="J6" s="2212"/>
      <c r="K6" s="2212"/>
      <c r="L6" s="2212"/>
      <c r="M6" s="2212"/>
      <c r="N6" s="2212"/>
      <c r="O6" s="2212"/>
    </row>
    <row r="7" spans="1:15">
      <c r="A7" s="2212"/>
      <c r="B7" s="2212"/>
      <c r="C7" s="2212"/>
      <c r="D7" s="2212"/>
      <c r="E7" s="2212"/>
      <c r="F7" s="2212"/>
      <c r="G7" s="2212"/>
      <c r="H7" s="2212"/>
      <c r="I7" s="2212"/>
      <c r="J7" s="2212"/>
      <c r="K7" s="2212"/>
      <c r="L7" s="2212"/>
      <c r="M7" s="2212"/>
      <c r="N7" s="2212"/>
      <c r="O7" s="2212"/>
    </row>
    <row r="8" spans="1:15">
      <c r="A8" s="2212"/>
      <c r="B8" s="2212"/>
      <c r="C8" s="2212"/>
      <c r="D8" s="2212"/>
      <c r="E8" s="2212"/>
      <c r="F8" s="2212"/>
      <c r="G8" s="2212"/>
      <c r="H8" s="2212"/>
      <c r="I8" s="2212"/>
      <c r="J8" s="2212"/>
      <c r="K8" s="2212"/>
      <c r="L8" s="2212"/>
      <c r="M8" s="2212"/>
      <c r="N8" s="2212"/>
      <c r="O8" s="2212"/>
    </row>
    <row r="9" spans="1:15">
      <c r="A9" s="2212"/>
      <c r="B9" s="2212"/>
      <c r="C9" s="2212"/>
      <c r="D9" s="2212"/>
      <c r="E9" s="2212"/>
      <c r="F9" s="2212"/>
      <c r="G9" s="2212"/>
      <c r="H9" s="2212"/>
      <c r="I9" s="2212"/>
      <c r="J9" s="2212"/>
      <c r="K9" s="2212"/>
      <c r="L9" s="2212"/>
      <c r="M9" s="2212"/>
      <c r="N9" s="2212"/>
      <c r="O9" s="2212"/>
    </row>
    <row r="10" spans="1:15">
      <c r="A10" s="2212"/>
      <c r="B10" s="2212"/>
      <c r="C10" s="2212"/>
      <c r="D10" s="2212"/>
      <c r="E10" s="2212"/>
      <c r="F10" s="2212"/>
      <c r="G10" s="2212"/>
      <c r="H10" s="2212"/>
      <c r="I10" s="2212"/>
      <c r="J10" s="2212"/>
      <c r="K10" s="2212"/>
      <c r="L10" s="2212"/>
      <c r="M10" s="2212"/>
      <c r="N10" s="2212"/>
      <c r="O10" s="2212"/>
    </row>
    <row r="11" spans="1:15">
      <c r="A11" s="2212"/>
      <c r="B11" s="2212"/>
      <c r="C11" s="2212"/>
      <c r="D11" s="2212"/>
      <c r="E11" s="2212"/>
      <c r="F11" s="2212"/>
      <c r="G11" s="2212"/>
      <c r="H11" s="2212"/>
      <c r="I11" s="2212"/>
      <c r="J11" s="2212"/>
      <c r="K11" s="2212"/>
      <c r="L11" s="2212"/>
      <c r="M11" s="2212"/>
      <c r="N11" s="2212"/>
      <c r="O11" s="2212"/>
    </row>
    <row r="12" spans="1:15">
      <c r="A12" s="2212"/>
      <c r="B12" s="2212"/>
      <c r="C12" s="2212"/>
      <c r="D12" s="2212"/>
      <c r="E12" s="2212"/>
      <c r="F12" s="2212"/>
      <c r="G12" s="2212"/>
      <c r="H12" s="2212"/>
      <c r="I12" s="2212"/>
      <c r="J12" s="2212"/>
      <c r="K12" s="2212"/>
      <c r="L12" s="2212"/>
      <c r="M12" s="2212"/>
      <c r="N12" s="2212"/>
      <c r="O12" s="2212"/>
    </row>
    <row r="13" spans="1:15">
      <c r="A13" s="2212"/>
      <c r="B13" s="2212"/>
      <c r="C13" s="2212"/>
      <c r="D13" s="2212"/>
      <c r="E13" s="2212"/>
      <c r="F13" s="2212"/>
      <c r="G13" s="2212"/>
      <c r="H13" s="2212"/>
      <c r="I13" s="2212"/>
      <c r="J13" s="2212"/>
      <c r="K13" s="2212"/>
      <c r="L13" s="2212"/>
      <c r="M13" s="2212"/>
      <c r="N13" s="2212"/>
      <c r="O13" s="2212"/>
    </row>
    <row r="14" spans="1:15">
      <c r="A14" s="2212"/>
      <c r="B14" s="2212"/>
      <c r="C14" s="2212"/>
      <c r="D14" s="2212"/>
      <c r="E14" s="2212"/>
      <c r="F14" s="2212"/>
      <c r="G14" s="2212"/>
      <c r="H14" s="2212"/>
      <c r="I14" s="2212"/>
      <c r="J14" s="2212"/>
      <c r="K14" s="2212"/>
      <c r="L14" s="2212"/>
      <c r="M14" s="2212"/>
      <c r="N14" s="2212"/>
      <c r="O14" s="2212"/>
    </row>
    <row r="15" spans="1:15">
      <c r="A15" s="2212"/>
      <c r="B15" s="2212"/>
      <c r="C15" s="2212"/>
      <c r="D15" s="2212"/>
      <c r="E15" s="2212"/>
      <c r="F15" s="2212"/>
      <c r="G15" s="2212"/>
      <c r="H15" s="2212"/>
      <c r="I15" s="2212"/>
      <c r="J15" s="2212"/>
      <c r="K15" s="2212"/>
      <c r="L15" s="2212"/>
      <c r="M15" s="2212"/>
      <c r="N15" s="2212"/>
      <c r="O15" s="2212"/>
    </row>
    <row r="16" spans="1:15">
      <c r="A16" s="2212"/>
      <c r="B16" s="2212"/>
      <c r="C16" s="2212"/>
      <c r="D16" s="2212"/>
      <c r="E16" s="2212"/>
      <c r="F16" s="2212"/>
      <c r="G16" s="2212"/>
      <c r="H16" s="2212"/>
      <c r="I16" s="2212"/>
      <c r="J16" s="2212"/>
      <c r="K16" s="2212"/>
      <c r="L16" s="2212"/>
      <c r="M16" s="2212"/>
      <c r="N16" s="2212"/>
      <c r="O16" s="2212"/>
    </row>
    <row r="17" spans="1:18">
      <c r="A17" s="2212"/>
      <c r="B17" s="2212"/>
      <c r="C17" s="2212"/>
      <c r="D17" s="2212"/>
      <c r="E17" s="2212"/>
      <c r="F17" s="2212"/>
      <c r="G17" s="2212"/>
      <c r="H17" s="2212"/>
      <c r="I17" s="2212"/>
      <c r="J17" s="2212"/>
      <c r="K17" s="2212"/>
      <c r="L17" s="2212"/>
      <c r="M17" s="2212"/>
      <c r="N17" s="2212"/>
      <c r="O17" s="2212"/>
    </row>
    <row r="18" spans="1:18">
      <c r="A18" s="2212"/>
      <c r="B18" s="2212"/>
      <c r="C18" s="2212"/>
      <c r="D18" s="2212"/>
      <c r="E18" s="2212"/>
      <c r="F18" s="2212"/>
      <c r="G18" s="2212"/>
      <c r="H18" s="2212"/>
      <c r="I18" s="2212"/>
      <c r="J18" s="2212"/>
      <c r="K18" s="2212"/>
      <c r="L18" s="2212"/>
      <c r="M18" s="2212"/>
      <c r="N18" s="2212"/>
      <c r="O18" s="2212"/>
    </row>
    <row r="19" spans="1:18">
      <c r="A19" s="2212"/>
      <c r="B19" s="2212"/>
      <c r="C19" s="2212"/>
      <c r="D19" s="2212"/>
      <c r="E19" s="2212"/>
      <c r="F19" s="2212"/>
      <c r="G19" s="2212"/>
      <c r="H19" s="2212"/>
      <c r="I19" s="2212"/>
      <c r="J19" s="2212"/>
      <c r="K19" s="2212"/>
      <c r="L19" s="2212"/>
      <c r="M19" s="2212"/>
      <c r="N19" s="2212"/>
      <c r="O19" s="2212"/>
    </row>
    <row r="20" spans="1:18">
      <c r="A20" s="2212"/>
      <c r="B20" s="2212"/>
      <c r="C20" s="2212"/>
      <c r="D20" s="2212"/>
      <c r="E20" s="2212"/>
      <c r="F20" s="2212"/>
      <c r="G20" s="2212"/>
      <c r="H20" s="2212"/>
      <c r="I20" s="2212"/>
      <c r="J20" s="2212"/>
      <c r="K20" s="2212"/>
      <c r="L20" s="2212"/>
      <c r="M20" s="2212"/>
      <c r="N20" s="2212"/>
      <c r="O20" s="2212"/>
      <c r="R20" s="18"/>
    </row>
    <row r="21" spans="1:18">
      <c r="A21" s="2212"/>
      <c r="B21" s="2212"/>
      <c r="C21" s="2212"/>
      <c r="D21" s="2212"/>
      <c r="E21" s="2212"/>
      <c r="F21" s="2212"/>
      <c r="G21" s="2212"/>
      <c r="H21" s="2212"/>
      <c r="I21" s="2212"/>
      <c r="J21" s="2212"/>
      <c r="K21" s="2212"/>
      <c r="L21" s="2212"/>
      <c r="M21" s="2212"/>
      <c r="N21" s="2212"/>
      <c r="O21" s="2212"/>
    </row>
    <row r="22" spans="1:18">
      <c r="A22" s="2212"/>
      <c r="B22" s="2212"/>
      <c r="C22" s="2212"/>
      <c r="D22" s="2212"/>
      <c r="E22" s="2212"/>
      <c r="F22" s="2212"/>
      <c r="G22" s="2212"/>
      <c r="H22" s="2212"/>
      <c r="I22" s="2212"/>
      <c r="J22" s="2212"/>
      <c r="K22" s="2212"/>
      <c r="L22" s="2212"/>
      <c r="M22" s="2212"/>
      <c r="N22" s="2212"/>
      <c r="O22" s="2212"/>
    </row>
    <row r="23" spans="1:18">
      <c r="A23" s="2212"/>
      <c r="B23" s="2212"/>
      <c r="C23" s="2212"/>
      <c r="D23" s="2212"/>
      <c r="E23" s="2212"/>
      <c r="F23" s="2212"/>
      <c r="G23" s="2212"/>
      <c r="H23" s="2212"/>
      <c r="I23" s="2212"/>
      <c r="J23" s="2212"/>
      <c r="K23" s="2212"/>
      <c r="L23" s="2212"/>
      <c r="M23" s="2212"/>
      <c r="N23" s="2212"/>
      <c r="O23" s="2212"/>
    </row>
    <row r="24" spans="1:18">
      <c r="A24" s="2212"/>
      <c r="B24" s="2212"/>
      <c r="C24" s="2212"/>
      <c r="D24" s="2212"/>
      <c r="E24" s="2212"/>
      <c r="F24" s="2212"/>
      <c r="G24" s="2212"/>
      <c r="H24" s="2212"/>
      <c r="I24" s="2212"/>
      <c r="J24" s="2212"/>
      <c r="K24" s="2212"/>
      <c r="L24" s="2212"/>
      <c r="M24" s="2212"/>
      <c r="N24" s="2212"/>
      <c r="O24" s="2212"/>
    </row>
    <row r="25" spans="1:18">
      <c r="A25" s="2212"/>
      <c r="B25" s="2212"/>
      <c r="C25" s="2212"/>
      <c r="D25" s="2212"/>
      <c r="E25" s="2212"/>
      <c r="F25" s="2212"/>
      <c r="G25" s="2212"/>
      <c r="H25" s="2212"/>
      <c r="I25" s="2212"/>
      <c r="J25" s="2212"/>
      <c r="K25" s="2212"/>
      <c r="L25" s="2212"/>
      <c r="M25" s="2212"/>
      <c r="N25" s="2212"/>
      <c r="O25" s="2212"/>
    </row>
    <row r="26" spans="1:18">
      <c r="A26" s="2212"/>
      <c r="B26" s="2212"/>
      <c r="C26" s="2212"/>
      <c r="D26" s="2212"/>
      <c r="E26" s="2212"/>
      <c r="F26" s="2212"/>
      <c r="G26" s="2212"/>
      <c r="H26" s="2212"/>
      <c r="I26" s="2212"/>
      <c r="J26" s="2212"/>
      <c r="K26" s="2212"/>
      <c r="L26" s="2212"/>
      <c r="M26" s="2212"/>
      <c r="N26" s="2212"/>
      <c r="O26" s="2212"/>
    </row>
    <row r="27" spans="1:18">
      <c r="A27" s="2212"/>
      <c r="B27" s="2212"/>
      <c r="C27" s="2212"/>
      <c r="D27" s="2212"/>
      <c r="E27" s="2212"/>
      <c r="F27" s="2212"/>
      <c r="G27" s="2212"/>
      <c r="H27" s="2212"/>
      <c r="I27" s="2212"/>
      <c r="J27" s="2212"/>
      <c r="K27" s="2212"/>
      <c r="L27" s="2212"/>
      <c r="M27" s="2212"/>
      <c r="N27" s="2212"/>
      <c r="O27" s="2212"/>
    </row>
    <row r="28" spans="1:18">
      <c r="A28" s="2212"/>
      <c r="B28" s="2212"/>
      <c r="C28" s="2212"/>
      <c r="D28" s="2212"/>
      <c r="E28" s="2212"/>
      <c r="F28" s="2212"/>
      <c r="G28" s="2212"/>
      <c r="H28" s="2212"/>
      <c r="I28" s="2212"/>
      <c r="J28" s="2212"/>
      <c r="K28" s="2212"/>
      <c r="L28" s="2212"/>
      <c r="M28" s="2212"/>
      <c r="N28" s="2212"/>
      <c r="O28" s="2212"/>
    </row>
    <row r="29" spans="1:18">
      <c r="A29" s="2212"/>
      <c r="B29" s="2212"/>
      <c r="C29" s="2212"/>
      <c r="D29" s="2212"/>
      <c r="E29" s="2212"/>
      <c r="F29" s="2212"/>
      <c r="G29" s="2212"/>
      <c r="H29" s="2212"/>
      <c r="I29" s="2212"/>
      <c r="J29" s="2212"/>
      <c r="K29" s="2212"/>
      <c r="L29" s="2212"/>
      <c r="M29" s="2212"/>
      <c r="N29" s="2212"/>
      <c r="O29" s="2212"/>
    </row>
    <row r="30" spans="1:18">
      <c r="A30" s="2212"/>
      <c r="B30" s="2212"/>
      <c r="C30" s="2212"/>
      <c r="D30" s="2212"/>
      <c r="E30" s="2212"/>
      <c r="F30" s="2212"/>
      <c r="G30" s="2212"/>
      <c r="H30" s="2212"/>
      <c r="I30" s="2212"/>
      <c r="J30" s="2212"/>
      <c r="K30" s="2212"/>
      <c r="L30" s="2212"/>
      <c r="M30" s="2212"/>
      <c r="N30" s="2212"/>
      <c r="O30" s="2212"/>
    </row>
    <row r="31" spans="1:18">
      <c r="A31" s="2212"/>
      <c r="B31" s="2212"/>
      <c r="C31" s="2212"/>
      <c r="D31" s="2212"/>
      <c r="E31" s="2212"/>
      <c r="F31" s="2212"/>
      <c r="G31" s="2212"/>
      <c r="H31" s="2212"/>
      <c r="I31" s="2212"/>
      <c r="J31" s="2212"/>
      <c r="K31" s="2212"/>
      <c r="L31" s="2212"/>
      <c r="M31" s="2212"/>
      <c r="N31" s="2212"/>
      <c r="O31" s="2212"/>
    </row>
    <row r="32" spans="1:18">
      <c r="A32" s="2212"/>
      <c r="B32" s="2212"/>
      <c r="C32" s="2212"/>
      <c r="D32" s="2212"/>
      <c r="E32" s="2212"/>
      <c r="F32" s="2212"/>
      <c r="G32" s="2212"/>
      <c r="H32" s="2212"/>
      <c r="I32" s="2212"/>
      <c r="J32" s="2212"/>
      <c r="K32" s="2212"/>
      <c r="L32" s="2212"/>
      <c r="M32" s="2212"/>
      <c r="N32" s="2212"/>
      <c r="O32" s="2212"/>
    </row>
    <row r="33" spans="1:15">
      <c r="A33" s="2212"/>
      <c r="B33" s="2212"/>
      <c r="C33" s="2212"/>
      <c r="D33" s="2212"/>
      <c r="E33" s="2212"/>
      <c r="F33" s="2212"/>
      <c r="G33" s="2212"/>
      <c r="H33" s="2212"/>
      <c r="I33" s="2212"/>
      <c r="J33" s="2212"/>
      <c r="K33" s="2212"/>
      <c r="L33" s="2212"/>
      <c r="M33" s="2212"/>
      <c r="N33" s="2212"/>
      <c r="O33" s="2212"/>
    </row>
    <row r="34" spans="1:15">
      <c r="A34" s="2212"/>
      <c r="B34" s="2212"/>
      <c r="C34" s="2212"/>
      <c r="D34" s="2212"/>
      <c r="E34" s="2212"/>
      <c r="F34" s="2212"/>
      <c r="G34" s="2212"/>
      <c r="H34" s="2212"/>
      <c r="I34" s="2212"/>
      <c r="J34" s="2212"/>
      <c r="K34" s="2212"/>
      <c r="L34" s="2212"/>
      <c r="M34" s="2212"/>
      <c r="N34" s="2212"/>
      <c r="O34" s="2212"/>
    </row>
    <row r="35" spans="1:15">
      <c r="A35" s="2212"/>
      <c r="B35" s="2212"/>
      <c r="C35" s="2212"/>
      <c r="D35" s="2212"/>
      <c r="E35" s="2212"/>
      <c r="F35" s="2212"/>
      <c r="G35" s="2212"/>
      <c r="H35" s="2212"/>
      <c r="I35" s="2212"/>
      <c r="J35" s="2212"/>
      <c r="K35" s="2212"/>
      <c r="L35" s="2212"/>
      <c r="M35" s="2212"/>
      <c r="N35" s="2212"/>
      <c r="O35" s="2212"/>
    </row>
    <row r="36" spans="1:15">
      <c r="A36" s="2212"/>
      <c r="B36" s="2212"/>
      <c r="C36" s="2212"/>
      <c r="D36" s="2212"/>
      <c r="E36" s="2212"/>
      <c r="F36" s="2212"/>
      <c r="G36" s="2212"/>
      <c r="H36" s="2212"/>
      <c r="I36" s="2212"/>
      <c r="J36" s="2212"/>
      <c r="K36" s="2212"/>
      <c r="L36" s="2212"/>
      <c r="M36" s="2212"/>
      <c r="N36" s="2212"/>
      <c r="O36" s="2212"/>
    </row>
    <row r="37" spans="1:15">
      <c r="A37" s="2212"/>
      <c r="B37" s="2212"/>
      <c r="C37" s="2212"/>
      <c r="D37" s="2212"/>
      <c r="E37" s="2212"/>
      <c r="F37" s="2212"/>
      <c r="G37" s="2212"/>
      <c r="H37" s="2212"/>
      <c r="I37" s="2212"/>
      <c r="J37" s="2212"/>
      <c r="K37" s="2212"/>
      <c r="L37" s="2212"/>
      <c r="M37" s="2212"/>
      <c r="N37" s="2212"/>
      <c r="O37" s="2212"/>
    </row>
    <row r="38" spans="1:15">
      <c r="A38" s="2212"/>
      <c r="B38" s="2212"/>
      <c r="C38" s="2212"/>
      <c r="D38" s="2212"/>
      <c r="E38" s="2212"/>
      <c r="F38" s="2212"/>
      <c r="G38" s="2212"/>
      <c r="H38" s="2212"/>
      <c r="I38" s="2212"/>
      <c r="J38" s="2212"/>
      <c r="K38" s="2212"/>
      <c r="L38" s="2212"/>
      <c r="M38" s="2212"/>
      <c r="N38" s="2212"/>
      <c r="O38" s="2212"/>
    </row>
    <row r="39" spans="1:15">
      <c r="A39" s="2212"/>
      <c r="B39" s="2212"/>
      <c r="C39" s="2212"/>
      <c r="D39" s="2212"/>
      <c r="E39" s="2212"/>
      <c r="F39" s="2212"/>
      <c r="G39" s="2212"/>
      <c r="H39" s="2212"/>
      <c r="I39" s="2212"/>
      <c r="J39" s="2212"/>
      <c r="K39" s="2212"/>
      <c r="L39" s="2212"/>
      <c r="M39" s="2212"/>
      <c r="N39" s="2212"/>
      <c r="O39" s="2212"/>
    </row>
    <row r="40" spans="1:15">
      <c r="A40" s="2212"/>
      <c r="B40" s="2212"/>
      <c r="C40" s="2212"/>
      <c r="D40" s="2212"/>
      <c r="E40" s="2212"/>
      <c r="F40" s="2212"/>
      <c r="G40" s="2212"/>
      <c r="H40" s="2212"/>
      <c r="I40" s="2212"/>
      <c r="J40" s="2212"/>
      <c r="K40" s="2212"/>
      <c r="L40" s="2212"/>
      <c r="M40" s="2212"/>
      <c r="N40" s="2212"/>
      <c r="O40" s="2212"/>
    </row>
    <row r="41" spans="1:15">
      <c r="A41" s="2212"/>
      <c r="B41" s="2212"/>
      <c r="C41" s="2212"/>
      <c r="D41" s="2212"/>
      <c r="E41" s="2212"/>
      <c r="F41" s="2212"/>
      <c r="G41" s="2212"/>
      <c r="H41" s="2212"/>
      <c r="I41" s="2212"/>
      <c r="J41" s="2212"/>
      <c r="K41" s="2212"/>
      <c r="L41" s="2212"/>
      <c r="M41" s="2212"/>
      <c r="N41" s="2212"/>
      <c r="O41" s="2212"/>
    </row>
    <row r="42" spans="1:15">
      <c r="A42" s="2212"/>
      <c r="B42" s="2212"/>
      <c r="C42" s="2212"/>
      <c r="D42" s="2212"/>
      <c r="E42" s="2212"/>
      <c r="F42" s="2212"/>
      <c r="G42" s="2212"/>
      <c r="H42" s="2212"/>
      <c r="I42" s="2212"/>
      <c r="J42" s="2212"/>
      <c r="K42" s="2212"/>
      <c r="L42" s="2212"/>
      <c r="M42" s="2212"/>
      <c r="N42" s="2212"/>
      <c r="O42" s="2212"/>
    </row>
  </sheetData>
  <mergeCells count="1">
    <mergeCell ref="A5:O42"/>
  </mergeCells>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6:N32"/>
  <sheetViews>
    <sheetView showGridLines="0" view="pageBreakPreview" zoomScaleNormal="100" zoomScaleSheetLayoutView="100" workbookViewId="0">
      <selection activeCell="N30" sqref="N30"/>
    </sheetView>
  </sheetViews>
  <sheetFormatPr baseColWidth="10" defaultColWidth="11.42578125" defaultRowHeight="15"/>
  <cols>
    <col min="1" max="6" width="11.42578125" style="77"/>
    <col min="7" max="7" width="8.85546875" style="77" customWidth="1"/>
    <col min="8" max="13" width="11.42578125" style="77"/>
    <col min="14" max="14" width="15.140625" style="77" bestFit="1" customWidth="1"/>
    <col min="15" max="16384" width="11.42578125" style="77"/>
  </cols>
  <sheetData>
    <row r="6" spans="1:12" ht="2.25" customHeight="1"/>
    <row r="7" spans="1:12" ht="15" customHeight="1">
      <c r="A7" s="2213" t="s">
        <v>999</v>
      </c>
      <c r="B7" s="2213"/>
      <c r="C7" s="2213"/>
      <c r="D7" s="2213"/>
      <c r="E7" s="2213"/>
      <c r="F7" s="2213"/>
      <c r="G7" s="2213"/>
      <c r="H7" s="2213"/>
      <c r="I7" s="2213"/>
      <c r="J7" s="2213"/>
      <c r="K7" s="2213"/>
      <c r="L7" s="2213"/>
    </row>
    <row r="8" spans="1:12">
      <c r="A8" s="2213"/>
      <c r="B8" s="2213"/>
      <c r="C8" s="2213"/>
      <c r="D8" s="2213"/>
      <c r="E8" s="2213"/>
      <c r="F8" s="2213"/>
      <c r="G8" s="2213"/>
      <c r="H8" s="2213"/>
      <c r="I8" s="2213"/>
      <c r="J8" s="2213"/>
      <c r="K8" s="2213"/>
      <c r="L8" s="2213"/>
    </row>
    <row r="9" spans="1:12">
      <c r="A9" s="2213"/>
      <c r="B9" s="2213"/>
      <c r="C9" s="2213"/>
      <c r="D9" s="2213"/>
      <c r="E9" s="2213"/>
      <c r="F9" s="2213"/>
      <c r="G9" s="2213"/>
      <c r="H9" s="2213"/>
      <c r="I9" s="2213"/>
      <c r="J9" s="2213"/>
      <c r="K9" s="2213"/>
      <c r="L9" s="2213"/>
    </row>
    <row r="10" spans="1:12">
      <c r="A10" s="2213"/>
      <c r="B10" s="2213"/>
      <c r="C10" s="2213"/>
      <c r="D10" s="2213"/>
      <c r="E10" s="2213"/>
      <c r="F10" s="2213"/>
      <c r="G10" s="2213"/>
      <c r="H10" s="2213"/>
      <c r="I10" s="2213"/>
      <c r="J10" s="2213"/>
      <c r="K10" s="2213"/>
      <c r="L10" s="2213"/>
    </row>
    <row r="11" spans="1:12">
      <c r="A11" s="2213"/>
      <c r="B11" s="2213"/>
      <c r="C11" s="2213"/>
      <c r="D11" s="2213"/>
      <c r="E11" s="2213"/>
      <c r="F11" s="2213"/>
      <c r="G11" s="2213"/>
      <c r="H11" s="2213"/>
      <c r="I11" s="2213"/>
      <c r="J11" s="2213"/>
      <c r="K11" s="2213"/>
      <c r="L11" s="2213"/>
    </row>
    <row r="12" spans="1:12">
      <c r="A12" s="2213"/>
      <c r="B12" s="2213"/>
      <c r="C12" s="2213"/>
      <c r="D12" s="2213"/>
      <c r="E12" s="2213"/>
      <c r="F12" s="2213"/>
      <c r="G12" s="2213"/>
      <c r="H12" s="2213"/>
      <c r="I12" s="2213"/>
      <c r="J12" s="2213"/>
      <c r="K12" s="2213"/>
      <c r="L12" s="2213"/>
    </row>
    <row r="13" spans="1:12">
      <c r="A13" s="2213"/>
      <c r="B13" s="2213"/>
      <c r="C13" s="2213"/>
      <c r="D13" s="2213"/>
      <c r="E13" s="2213"/>
      <c r="F13" s="2213"/>
      <c r="G13" s="2213"/>
      <c r="H13" s="2213"/>
      <c r="I13" s="2213"/>
      <c r="J13" s="2213"/>
      <c r="K13" s="2213"/>
      <c r="L13" s="2213"/>
    </row>
    <row r="14" spans="1:12">
      <c r="A14" s="2213"/>
      <c r="B14" s="2213"/>
      <c r="C14" s="2213"/>
      <c r="D14" s="2213"/>
      <c r="E14" s="2213"/>
      <c r="F14" s="2213"/>
      <c r="G14" s="2213"/>
      <c r="H14" s="2213"/>
      <c r="I14" s="2213"/>
      <c r="J14" s="2213"/>
      <c r="K14" s="2213"/>
      <c r="L14" s="2213"/>
    </row>
    <row r="15" spans="1:12">
      <c r="A15" s="2213"/>
      <c r="B15" s="2213"/>
      <c r="C15" s="2213"/>
      <c r="D15" s="2213"/>
      <c r="E15" s="2213"/>
      <c r="F15" s="2213"/>
      <c r="G15" s="2213"/>
      <c r="H15" s="2213"/>
      <c r="I15" s="2213"/>
      <c r="J15" s="2213"/>
      <c r="K15" s="2213"/>
      <c r="L15" s="2213"/>
    </row>
    <row r="16" spans="1:12">
      <c r="A16" s="2213"/>
      <c r="B16" s="2213"/>
      <c r="C16" s="2213"/>
      <c r="D16" s="2213"/>
      <c r="E16" s="2213"/>
      <c r="F16" s="2213"/>
      <c r="G16" s="2213"/>
      <c r="H16" s="2213"/>
      <c r="I16" s="2213"/>
      <c r="J16" s="2213"/>
      <c r="K16" s="2213"/>
      <c r="L16" s="2213"/>
    </row>
    <row r="17" spans="1:14">
      <c r="A17" s="2213"/>
      <c r="B17" s="2213"/>
      <c r="C17" s="2213"/>
      <c r="D17" s="2213"/>
      <c r="E17" s="2213"/>
      <c r="F17" s="2213"/>
      <c r="G17" s="2213"/>
      <c r="H17" s="2213"/>
      <c r="I17" s="2213"/>
      <c r="J17" s="2213"/>
      <c r="K17" s="2213"/>
      <c r="L17" s="2213"/>
    </row>
    <row r="18" spans="1:14">
      <c r="A18" s="2213"/>
      <c r="B18" s="2213"/>
      <c r="C18" s="2213"/>
      <c r="D18" s="2213"/>
      <c r="E18" s="2213"/>
      <c r="F18" s="2213"/>
      <c r="G18" s="2213"/>
      <c r="H18" s="2213"/>
      <c r="I18" s="2213"/>
      <c r="J18" s="2213"/>
      <c r="K18" s="2213"/>
      <c r="L18" s="2213"/>
    </row>
    <row r="19" spans="1:14">
      <c r="A19" s="2213"/>
      <c r="B19" s="2213"/>
      <c r="C19" s="2213"/>
      <c r="D19" s="2213"/>
      <c r="E19" s="2213"/>
      <c r="F19" s="2213"/>
      <c r="G19" s="2213"/>
      <c r="H19" s="2213"/>
      <c r="I19" s="2213"/>
      <c r="J19" s="2213"/>
      <c r="K19" s="2213"/>
      <c r="L19" s="2213"/>
    </row>
    <row r="20" spans="1:14" ht="30.75" customHeight="1">
      <c r="A20" s="2213"/>
      <c r="B20" s="2213"/>
      <c r="C20" s="2213"/>
      <c r="D20" s="2213"/>
      <c r="E20" s="2213"/>
      <c r="F20" s="2213"/>
      <c r="G20" s="2213"/>
      <c r="H20" s="2213"/>
      <c r="I20" s="2213"/>
      <c r="J20" s="2213"/>
      <c r="K20" s="2213"/>
      <c r="L20" s="2213"/>
    </row>
    <row r="21" spans="1:14">
      <c r="A21" s="2213"/>
      <c r="B21" s="2213"/>
      <c r="C21" s="2213"/>
      <c r="D21" s="2213"/>
      <c r="E21" s="2213"/>
      <c r="F21" s="2213"/>
      <c r="G21" s="2213"/>
      <c r="H21" s="2213"/>
      <c r="I21" s="2213"/>
      <c r="J21" s="2213"/>
      <c r="K21" s="2213"/>
      <c r="L21" s="2213"/>
    </row>
    <row r="22" spans="1:14">
      <c r="A22" s="2213"/>
      <c r="B22" s="2213"/>
      <c r="C22" s="2213"/>
      <c r="D22" s="2213"/>
      <c r="E22" s="2213"/>
      <c r="F22" s="2213"/>
      <c r="G22" s="2213"/>
      <c r="H22" s="2213"/>
      <c r="I22" s="2213"/>
      <c r="J22" s="2213"/>
      <c r="K22" s="2213"/>
      <c r="L22" s="2213"/>
    </row>
    <row r="23" spans="1:14">
      <c r="A23" s="2213"/>
      <c r="B23" s="2213"/>
      <c r="C23" s="2213"/>
      <c r="D23" s="2213"/>
      <c r="E23" s="2213"/>
      <c r="F23" s="2213"/>
      <c r="G23" s="2213"/>
      <c r="H23" s="2213"/>
      <c r="I23" s="2213"/>
      <c r="J23" s="2213"/>
      <c r="K23" s="2213"/>
      <c r="L23" s="2213"/>
    </row>
    <row r="24" spans="1:14">
      <c r="A24" s="2213"/>
      <c r="B24" s="2213"/>
      <c r="C24" s="2213"/>
      <c r="D24" s="2213"/>
      <c r="E24" s="2213"/>
      <c r="F24" s="2213"/>
      <c r="G24" s="2213"/>
      <c r="H24" s="2213"/>
      <c r="I24" s="2213"/>
      <c r="J24" s="2213"/>
      <c r="K24" s="2213"/>
      <c r="L24" s="2213"/>
      <c r="M24" s="1458"/>
      <c r="N24" s="1458"/>
    </row>
    <row r="25" spans="1:14">
      <c r="A25" s="2213"/>
      <c r="B25" s="2213"/>
      <c r="C25" s="2213"/>
      <c r="D25" s="2213"/>
      <c r="E25" s="2213"/>
      <c r="F25" s="2213"/>
      <c r="G25" s="2213"/>
      <c r="H25" s="2213"/>
      <c r="I25" s="2213"/>
      <c r="J25" s="2213"/>
      <c r="K25" s="2213"/>
      <c r="L25" s="2213"/>
      <c r="M25" s="1458"/>
      <c r="N25" s="1458"/>
    </row>
    <row r="26" spans="1:14">
      <c r="A26" s="2213"/>
      <c r="B26" s="2213"/>
      <c r="C26" s="2213"/>
      <c r="D26" s="2213"/>
      <c r="E26" s="2213"/>
      <c r="F26" s="2213"/>
      <c r="G26" s="2213"/>
      <c r="H26" s="2213"/>
      <c r="I26" s="2213"/>
      <c r="J26" s="2213"/>
      <c r="K26" s="2213"/>
      <c r="L26" s="2213"/>
      <c r="M26" s="1458"/>
      <c r="N26" s="1458"/>
    </row>
    <row r="27" spans="1:14">
      <c r="A27" s="2213"/>
      <c r="B27" s="2213"/>
      <c r="C27" s="2213"/>
      <c r="D27" s="2213"/>
      <c r="E27" s="2213"/>
      <c r="F27" s="2213"/>
      <c r="G27" s="2213"/>
      <c r="H27" s="2213"/>
      <c r="I27" s="2213"/>
      <c r="J27" s="2213"/>
      <c r="K27" s="2213"/>
      <c r="L27" s="2213"/>
    </row>
    <row r="28" spans="1:14">
      <c r="A28" s="2213"/>
      <c r="B28" s="2213"/>
      <c r="C28" s="2213"/>
      <c r="D28" s="2213"/>
      <c r="E28" s="2213"/>
      <c r="F28" s="2213"/>
      <c r="G28" s="2213"/>
      <c r="H28" s="2213"/>
      <c r="I28" s="2213"/>
      <c r="J28" s="2213"/>
      <c r="K28" s="2213"/>
      <c r="L28" s="2213"/>
    </row>
    <row r="29" spans="1:14">
      <c r="A29" s="2213"/>
      <c r="B29" s="2213"/>
      <c r="C29" s="2213"/>
      <c r="D29" s="2213"/>
      <c r="E29" s="2213"/>
      <c r="F29" s="2213"/>
      <c r="G29" s="2213"/>
      <c r="H29" s="2213"/>
      <c r="I29" s="2213"/>
      <c r="J29" s="2213"/>
      <c r="K29" s="2213"/>
      <c r="L29" s="2213"/>
    </row>
    <row r="30" spans="1:14">
      <c r="A30" s="2213"/>
      <c r="B30" s="2213"/>
      <c r="C30" s="2213"/>
      <c r="D30" s="2213"/>
      <c r="E30" s="2213"/>
      <c r="F30" s="2213"/>
      <c r="G30" s="2213"/>
      <c r="H30" s="2213"/>
      <c r="I30" s="2213"/>
      <c r="J30" s="2213"/>
      <c r="K30" s="2213"/>
      <c r="L30" s="2213"/>
    </row>
    <row r="31" spans="1:14">
      <c r="A31" s="2213"/>
      <c r="B31" s="2213"/>
      <c r="C31" s="2213"/>
      <c r="D31" s="2213"/>
      <c r="E31" s="2213"/>
      <c r="F31" s="2213"/>
      <c r="G31" s="2213"/>
      <c r="H31" s="2213"/>
      <c r="I31" s="2213"/>
      <c r="J31" s="2213"/>
      <c r="K31" s="2213"/>
      <c r="L31" s="2213"/>
    </row>
    <row r="32" spans="1:14" ht="48.75" customHeight="1">
      <c r="A32" s="2213"/>
      <c r="B32" s="2213"/>
      <c r="C32" s="2213"/>
      <c r="D32" s="2213"/>
      <c r="E32" s="2213"/>
      <c r="F32" s="2213"/>
      <c r="G32" s="2213"/>
      <c r="H32" s="2213"/>
      <c r="I32" s="2213"/>
      <c r="J32" s="2213"/>
      <c r="K32" s="2213"/>
      <c r="L32" s="2213"/>
    </row>
  </sheetData>
  <mergeCells count="1">
    <mergeCell ref="A7:L32"/>
  </mergeCells>
  <pageMargins left="0.7" right="0.7" top="0.75" bottom="0.75" header="0.3" footer="0.3"/>
  <pageSetup scale="7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P9"/>
  <sheetViews>
    <sheetView showGridLines="0" view="pageBreakPreview" zoomScale="85" zoomScaleNormal="100" zoomScaleSheetLayoutView="85" workbookViewId="0">
      <selection activeCell="O33" sqref="O33"/>
    </sheetView>
  </sheetViews>
  <sheetFormatPr baseColWidth="10" defaultColWidth="11.5703125" defaultRowHeight="15"/>
  <cols>
    <col min="1" max="1" width="17.5703125" style="77" customWidth="1"/>
    <col min="2" max="2" width="9" style="1152" customWidth="1"/>
    <col min="3" max="3" width="8.7109375" style="1152" customWidth="1"/>
    <col min="4" max="4" width="9.7109375" style="1152" customWidth="1"/>
    <col min="5" max="5" width="10.28515625" style="1152" customWidth="1"/>
    <col min="6" max="6" width="10.5703125" style="1152" customWidth="1"/>
    <col min="7" max="7" width="10.85546875" style="1152" customWidth="1"/>
    <col min="8" max="8" width="10.7109375" style="1152" customWidth="1"/>
    <col min="9" max="9" width="12.28515625" style="1152" customWidth="1"/>
    <col min="10" max="10" width="14.7109375" style="1152" customWidth="1"/>
    <col min="11" max="11" width="12.7109375" style="1152" customWidth="1"/>
    <col min="12" max="13" width="11.5703125" style="77"/>
    <col min="14" max="14" width="21.28515625" style="77" customWidth="1"/>
    <col min="15" max="16384" width="11.5703125" style="77"/>
  </cols>
  <sheetData>
    <row r="1" spans="1:16" ht="54.75" customHeight="1">
      <c r="A1" s="2214"/>
      <c r="B1" s="2215"/>
      <c r="C1" s="2215"/>
      <c r="D1" s="2215"/>
      <c r="E1" s="2215"/>
      <c r="F1" s="2215"/>
      <c r="G1" s="2215"/>
      <c r="H1" s="2215"/>
      <c r="I1" s="2215"/>
      <c r="J1" s="2215"/>
      <c r="K1" s="2215"/>
      <c r="L1" s="2215"/>
      <c r="M1" s="2215"/>
      <c r="N1" s="2215"/>
    </row>
    <row r="2" spans="1:16" s="39" customFormat="1" ht="4.5" customHeight="1">
      <c r="A2" s="191"/>
      <c r="B2" s="1145"/>
      <c r="C2" s="1145"/>
      <c r="D2" s="1145"/>
      <c r="E2" s="1145"/>
      <c r="F2" s="1145"/>
      <c r="G2" s="1145"/>
      <c r="H2" s="1145"/>
      <c r="I2" s="1145"/>
      <c r="J2" s="1145"/>
      <c r="K2" s="1145"/>
      <c r="L2" s="192"/>
      <c r="M2" s="192"/>
      <c r="N2" s="192"/>
    </row>
    <row r="3" spans="1:16">
      <c r="A3" s="515" t="s">
        <v>393</v>
      </c>
      <c r="B3" s="1146">
        <v>2008</v>
      </c>
      <c r="C3" s="1146">
        <v>2009</v>
      </c>
      <c r="D3" s="1146">
        <v>2010</v>
      </c>
      <c r="E3" s="1146">
        <v>2011</v>
      </c>
      <c r="F3" s="1146">
        <v>2012</v>
      </c>
      <c r="G3" s="1146">
        <v>2013</v>
      </c>
      <c r="H3" s="1146">
        <v>2014</v>
      </c>
      <c r="I3" s="1660">
        <v>2015</v>
      </c>
      <c r="J3" s="1660" t="s">
        <v>996</v>
      </c>
      <c r="K3" s="1147" t="s">
        <v>23</v>
      </c>
    </row>
    <row r="4" spans="1:16">
      <c r="A4" s="516" t="s">
        <v>394</v>
      </c>
      <c r="B4" s="1148">
        <v>2517</v>
      </c>
      <c r="C4" s="1148">
        <v>16948</v>
      </c>
      <c r="D4" s="1148">
        <v>18645</v>
      </c>
      <c r="E4" s="1148">
        <v>14303</v>
      </c>
      <c r="F4" s="1148">
        <v>15292</v>
      </c>
      <c r="G4" s="1148">
        <v>19148</v>
      </c>
      <c r="H4" s="1148">
        <v>19155</v>
      </c>
      <c r="I4" s="1148">
        <v>20496</v>
      </c>
      <c r="J4" s="1148">
        <v>5114</v>
      </c>
      <c r="K4" s="1149">
        <f>SUM(B4:J4)</f>
        <v>131618</v>
      </c>
      <c r="O4" s="173"/>
    </row>
    <row r="5" spans="1:16">
      <c r="A5" s="516" t="s">
        <v>395</v>
      </c>
      <c r="B5" s="1148">
        <v>1331</v>
      </c>
      <c r="C5" s="1148">
        <v>12867</v>
      </c>
      <c r="D5" s="1148">
        <v>14073</v>
      </c>
      <c r="E5" s="1148">
        <v>10987</v>
      </c>
      <c r="F5" s="1148">
        <v>9465</v>
      </c>
      <c r="G5" s="1148">
        <v>15638</v>
      </c>
      <c r="H5" s="1148">
        <v>14935</v>
      </c>
      <c r="I5" s="1148">
        <v>17553</v>
      </c>
      <c r="J5" s="1148">
        <v>3166</v>
      </c>
      <c r="K5" s="1149">
        <f t="shared" ref="K5:K6" si="0">SUM(B5:J5)</f>
        <v>100015</v>
      </c>
      <c r="O5" s="173"/>
    </row>
    <row r="6" spans="1:16">
      <c r="A6" s="516" t="s">
        <v>402</v>
      </c>
      <c r="B6" s="1148">
        <v>0</v>
      </c>
      <c r="C6" s="1148">
        <v>3795</v>
      </c>
      <c r="D6" s="1148">
        <v>24841</v>
      </c>
      <c r="E6" s="1148">
        <v>33003</v>
      </c>
      <c r="F6" s="1148">
        <v>37654</v>
      </c>
      <c r="G6" s="1148">
        <v>46049</v>
      </c>
      <c r="H6" s="1148">
        <v>59366</v>
      </c>
      <c r="I6" s="1148">
        <v>74609</v>
      </c>
      <c r="J6" s="1148">
        <v>19825</v>
      </c>
      <c r="K6" s="1149">
        <f t="shared" si="0"/>
        <v>299142</v>
      </c>
      <c r="O6" s="173"/>
    </row>
    <row r="7" spans="1:16">
      <c r="A7" s="515" t="s">
        <v>23</v>
      </c>
      <c r="B7" s="1150">
        <f t="shared" ref="B7:J7" si="1">SUM(B4:B6)</f>
        <v>3848</v>
      </c>
      <c r="C7" s="1150">
        <f t="shared" si="1"/>
        <v>33610</v>
      </c>
      <c r="D7" s="1150">
        <f t="shared" si="1"/>
        <v>57559</v>
      </c>
      <c r="E7" s="1150">
        <f t="shared" si="1"/>
        <v>58293</v>
      </c>
      <c r="F7" s="1150">
        <f t="shared" si="1"/>
        <v>62411</v>
      </c>
      <c r="G7" s="1150">
        <f>SUM(G4:G6)</f>
        <v>80835</v>
      </c>
      <c r="H7" s="1150">
        <f t="shared" si="1"/>
        <v>93456</v>
      </c>
      <c r="I7" s="1150">
        <f t="shared" si="1"/>
        <v>112658</v>
      </c>
      <c r="J7" s="1150">
        <f t="shared" si="1"/>
        <v>28105</v>
      </c>
      <c r="K7" s="1147">
        <f>SUM(K4:K6)</f>
        <v>530775</v>
      </c>
      <c r="O7" s="209"/>
    </row>
    <row r="8" spans="1:16">
      <c r="A8" s="97"/>
      <c r="B8" s="1151"/>
      <c r="C8" s="1151"/>
      <c r="D8" s="1151"/>
      <c r="E8" s="1151"/>
      <c r="F8" s="1151"/>
      <c r="G8" s="1151"/>
      <c r="H8" s="1151"/>
      <c r="I8" s="1151"/>
      <c r="J8" s="1151"/>
      <c r="K8" s="1151"/>
    </row>
    <row r="9" spans="1:16">
      <c r="P9" s="77" t="s">
        <v>31</v>
      </c>
    </row>
  </sheetData>
  <mergeCells count="1">
    <mergeCell ref="A1:N1"/>
  </mergeCells>
  <pageMargins left="0.7" right="0.7" top="0.75" bottom="0.75" header="0.3" footer="0.3"/>
  <pageSetup scale="71"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O7"/>
  <sheetViews>
    <sheetView showGridLines="0" view="pageBreakPreview" zoomScale="70" zoomScaleNormal="100" zoomScaleSheetLayoutView="70" workbookViewId="0">
      <pane xSplit="1" ySplit="3" topLeftCell="G4" activePane="bottomRight" state="frozen"/>
      <selection pane="topRight" activeCell="B1" sqref="B1"/>
      <selection pane="bottomLeft" activeCell="A4" sqref="A4"/>
      <selection pane="bottomRight" activeCell="K4" sqref="K4"/>
    </sheetView>
  </sheetViews>
  <sheetFormatPr baseColWidth="10" defaultColWidth="11.5703125" defaultRowHeight="22.5" customHeight="1"/>
  <cols>
    <col min="1" max="1" width="22.140625" style="77" customWidth="1"/>
    <col min="2" max="2" width="19.5703125" style="77" bestFit="1" customWidth="1"/>
    <col min="3" max="3" width="21" style="77" bestFit="1" customWidth="1"/>
    <col min="4" max="9" width="24.85546875" style="77" customWidth="1"/>
    <col min="10" max="10" width="24.85546875" style="1458" customWidth="1"/>
    <col min="11" max="11" width="31.28515625" style="77" customWidth="1"/>
    <col min="12" max="12" width="16.7109375" style="77" bestFit="1" customWidth="1"/>
    <col min="13" max="13" width="14.5703125" style="77" customWidth="1"/>
    <col min="14" max="14" width="16.85546875" style="77" customWidth="1"/>
    <col min="15" max="16384" width="11.5703125" style="77"/>
  </cols>
  <sheetData>
    <row r="1" spans="1:15" ht="81" customHeight="1">
      <c r="A1" s="2114"/>
      <c r="B1" s="2069"/>
      <c r="C1" s="2069"/>
      <c r="D1" s="2069"/>
      <c r="E1" s="2069"/>
      <c r="F1" s="2069"/>
      <c r="G1" s="2069"/>
      <c r="H1" s="2069"/>
      <c r="I1" s="2069"/>
      <c r="J1" s="2069"/>
      <c r="K1" s="2069"/>
      <c r="L1" s="2069"/>
      <c r="M1" s="2069"/>
      <c r="N1" s="2069"/>
      <c r="O1" s="2069"/>
    </row>
    <row r="2" spans="1:15" ht="10.5" customHeight="1"/>
    <row r="3" spans="1:15" ht="22.5" customHeight="1">
      <c r="A3" s="517" t="s">
        <v>393</v>
      </c>
      <c r="B3" s="520">
        <v>2008</v>
      </c>
      <c r="C3" s="520">
        <v>2009</v>
      </c>
      <c r="D3" s="520">
        <v>2010</v>
      </c>
      <c r="E3" s="520">
        <v>2011</v>
      </c>
      <c r="F3" s="520">
        <v>2012</v>
      </c>
      <c r="G3" s="520">
        <v>2013</v>
      </c>
      <c r="H3" s="520">
        <v>2014</v>
      </c>
      <c r="I3" s="520">
        <v>2015</v>
      </c>
      <c r="J3" s="520" t="s">
        <v>996</v>
      </c>
      <c r="K3" s="517" t="s">
        <v>23</v>
      </c>
    </row>
    <row r="4" spans="1:15" ht="21.75" customHeight="1">
      <c r="A4" s="522" t="s">
        <v>394</v>
      </c>
      <c r="B4" s="519">
        <v>69129032.280000001</v>
      </c>
      <c r="C4" s="519">
        <v>561724059.99000001</v>
      </c>
      <c r="D4" s="519">
        <v>668415203.51999998</v>
      </c>
      <c r="E4" s="519">
        <v>537305292.14999998</v>
      </c>
      <c r="F4" s="519">
        <v>571314822.09000003</v>
      </c>
      <c r="G4" s="519">
        <v>766134331.44000006</v>
      </c>
      <c r="H4" s="519">
        <v>833145694.23000002</v>
      </c>
      <c r="I4" s="519">
        <v>948164663.63999999</v>
      </c>
      <c r="J4" s="519">
        <v>248352196.80000001</v>
      </c>
      <c r="K4" s="523">
        <f>SUM(B4:J4)</f>
        <v>5203685296.1400003</v>
      </c>
    </row>
    <row r="5" spans="1:15" ht="21.75" customHeight="1">
      <c r="A5" s="522" t="s">
        <v>395</v>
      </c>
      <c r="B5" s="519">
        <v>13366656.84</v>
      </c>
      <c r="C5" s="519">
        <v>132999984.59999999</v>
      </c>
      <c r="D5" s="519">
        <v>160430705.63999999</v>
      </c>
      <c r="E5" s="519">
        <v>137088478.56</v>
      </c>
      <c r="F5" s="519">
        <v>132457033.44</v>
      </c>
      <c r="G5" s="519">
        <v>228137238.59999999</v>
      </c>
      <c r="H5" s="519">
        <v>241574218.91999999</v>
      </c>
      <c r="I5" s="519">
        <v>292418740.56</v>
      </c>
      <c r="J5" s="519">
        <v>55569571.32</v>
      </c>
      <c r="K5" s="523">
        <f t="shared" ref="K5:K6" si="0">SUM(B5:J5)</f>
        <v>1394042628.4799998</v>
      </c>
    </row>
    <row r="6" spans="1:15" ht="21.75" customHeight="1">
      <c r="A6" s="522" t="s">
        <v>401</v>
      </c>
      <c r="B6" s="519">
        <v>0</v>
      </c>
      <c r="C6" s="519">
        <v>14428645.85</v>
      </c>
      <c r="D6" s="519">
        <v>100999551.52</v>
      </c>
      <c r="E6" s="519">
        <v>134096281.95999999</v>
      </c>
      <c r="F6" s="519">
        <v>157835997.61000001</v>
      </c>
      <c r="G6" s="519">
        <v>211271694.63</v>
      </c>
      <c r="H6" s="519">
        <v>248732154.31</v>
      </c>
      <c r="I6" s="519">
        <v>363517045.23000002</v>
      </c>
      <c r="J6" s="519">
        <v>109141712.63</v>
      </c>
      <c r="K6" s="523">
        <f t="shared" si="0"/>
        <v>1340023083.7399998</v>
      </c>
    </row>
    <row r="7" spans="1:15" ht="22.5" customHeight="1">
      <c r="A7" s="517" t="s">
        <v>23</v>
      </c>
      <c r="B7" s="521">
        <f>SUM(B4:B6)</f>
        <v>82495689.120000005</v>
      </c>
      <c r="C7" s="521">
        <f>SUM(C4:C6)</f>
        <v>709152690.44000006</v>
      </c>
      <c r="D7" s="521">
        <f t="shared" ref="D7:H7" si="1">SUM(D4:D6)</f>
        <v>929845460.67999995</v>
      </c>
      <c r="E7" s="521">
        <f t="shared" si="1"/>
        <v>808490052.67000008</v>
      </c>
      <c r="F7" s="521">
        <f t="shared" si="1"/>
        <v>861607853.13999999</v>
      </c>
      <c r="G7" s="521">
        <f t="shared" si="1"/>
        <v>1205543264.6700001</v>
      </c>
      <c r="H7" s="521">
        <f t="shared" si="1"/>
        <v>1323452067.46</v>
      </c>
      <c r="I7" s="521">
        <f>SUM(I4:I6)</f>
        <v>1604100449.4300001</v>
      </c>
      <c r="J7" s="521">
        <f>SUM(J4:J6)</f>
        <v>413063480.75</v>
      </c>
      <c r="K7" s="518">
        <f>SUM(K4:K6)</f>
        <v>7937751008.3599997</v>
      </c>
    </row>
  </sheetData>
  <mergeCells count="1">
    <mergeCell ref="A1:O1"/>
  </mergeCells>
  <pageMargins left="0.70866141732283472" right="0.70866141732283472" top="0.74803149606299213" bottom="0.74803149606299213" header="0.31496062992125984" footer="0.31496062992125984"/>
  <pageSetup scale="37"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M37" sqref="M37"/>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91"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O31"/>
  <sheetViews>
    <sheetView showGridLines="0" view="pageBreakPreview" zoomScaleNormal="100" zoomScaleSheetLayoutView="100" workbookViewId="0">
      <selection activeCell="M18" sqref="M18"/>
    </sheetView>
  </sheetViews>
  <sheetFormatPr baseColWidth="10" defaultColWidth="11.42578125" defaultRowHeight="15"/>
  <cols>
    <col min="1" max="6" width="11.42578125" style="77"/>
    <col min="7" max="7" width="8.85546875" style="77" customWidth="1"/>
    <col min="8" max="8" width="11.42578125" style="77"/>
    <col min="9" max="9" width="11.5703125" style="77" customWidth="1"/>
    <col min="10" max="12" width="11.42578125" style="77"/>
    <col min="13" max="13" width="16" style="77" customWidth="1"/>
    <col min="14" max="16384" width="11.42578125" style="77"/>
  </cols>
  <sheetData>
    <row r="5" spans="1:12" ht="21.75" customHeight="1">
      <c r="A5" s="2216" t="s">
        <v>1014</v>
      </c>
      <c r="B5" s="2217"/>
      <c r="C5" s="2217"/>
      <c r="D5" s="2217"/>
      <c r="E5" s="2217"/>
      <c r="F5" s="2217"/>
      <c r="G5" s="2217"/>
      <c r="H5" s="2217"/>
      <c r="I5" s="2217"/>
      <c r="J5" s="2217"/>
      <c r="K5" s="2217"/>
      <c r="L5" s="2217"/>
    </row>
    <row r="6" spans="1:12">
      <c r="A6" s="2217"/>
      <c r="B6" s="2217"/>
      <c r="C6" s="2217"/>
      <c r="D6" s="2217"/>
      <c r="E6" s="2217"/>
      <c r="F6" s="2217"/>
      <c r="G6" s="2217"/>
      <c r="H6" s="2217"/>
      <c r="I6" s="2217"/>
      <c r="J6" s="2217"/>
      <c r="K6" s="2217"/>
      <c r="L6" s="2217"/>
    </row>
    <row r="7" spans="1:12">
      <c r="A7" s="2217"/>
      <c r="B7" s="2217"/>
      <c r="C7" s="2217"/>
      <c r="D7" s="2217"/>
      <c r="E7" s="2217"/>
      <c r="F7" s="2217"/>
      <c r="G7" s="2217"/>
      <c r="H7" s="2217"/>
      <c r="I7" s="2217"/>
      <c r="J7" s="2217"/>
      <c r="K7" s="2217"/>
      <c r="L7" s="2217"/>
    </row>
    <row r="8" spans="1:12">
      <c r="A8" s="2217"/>
      <c r="B8" s="2217"/>
      <c r="C8" s="2217"/>
      <c r="D8" s="2217"/>
      <c r="E8" s="2217"/>
      <c r="F8" s="2217"/>
      <c r="G8" s="2217"/>
      <c r="H8" s="2217"/>
      <c r="I8" s="2217"/>
      <c r="J8" s="2217"/>
      <c r="K8" s="2217"/>
      <c r="L8" s="2217"/>
    </row>
    <row r="9" spans="1:12">
      <c r="A9" s="2217"/>
      <c r="B9" s="2217"/>
      <c r="C9" s="2217"/>
      <c r="D9" s="2217"/>
      <c r="E9" s="2217"/>
      <c r="F9" s="2217"/>
      <c r="G9" s="2217"/>
      <c r="H9" s="2217"/>
      <c r="I9" s="2217"/>
      <c r="J9" s="2217"/>
      <c r="K9" s="2217"/>
      <c r="L9" s="2217"/>
    </row>
    <row r="10" spans="1:12">
      <c r="A10" s="2217"/>
      <c r="B10" s="2217"/>
      <c r="C10" s="2217"/>
      <c r="D10" s="2217"/>
      <c r="E10" s="2217"/>
      <c r="F10" s="2217"/>
      <c r="G10" s="2217"/>
      <c r="H10" s="2217"/>
      <c r="I10" s="2217"/>
      <c r="J10" s="2217"/>
      <c r="K10" s="2217"/>
      <c r="L10" s="2217"/>
    </row>
    <row r="11" spans="1:12">
      <c r="A11" s="2217"/>
      <c r="B11" s="2217"/>
      <c r="C11" s="2217"/>
      <c r="D11" s="2217"/>
      <c r="E11" s="2217"/>
      <c r="F11" s="2217"/>
      <c r="G11" s="2217"/>
      <c r="H11" s="2217"/>
      <c r="I11" s="2217"/>
      <c r="J11" s="2217"/>
      <c r="K11" s="2217"/>
      <c r="L11" s="2217"/>
    </row>
    <row r="12" spans="1:12">
      <c r="A12" s="2217"/>
      <c r="B12" s="2217"/>
      <c r="C12" s="2217"/>
      <c r="D12" s="2217"/>
      <c r="E12" s="2217"/>
      <c r="F12" s="2217"/>
      <c r="G12" s="2217"/>
      <c r="H12" s="2217"/>
      <c r="I12" s="2217"/>
      <c r="J12" s="2217"/>
      <c r="K12" s="2217"/>
      <c r="L12" s="2217"/>
    </row>
    <row r="13" spans="1:12">
      <c r="A13" s="2217"/>
      <c r="B13" s="2217"/>
      <c r="C13" s="2217"/>
      <c r="D13" s="2217"/>
      <c r="E13" s="2217"/>
      <c r="F13" s="2217"/>
      <c r="G13" s="2217"/>
      <c r="H13" s="2217"/>
      <c r="I13" s="2217"/>
      <c r="J13" s="2217"/>
      <c r="K13" s="2217"/>
      <c r="L13" s="2217"/>
    </row>
    <row r="14" spans="1:12">
      <c r="A14" s="2217"/>
      <c r="B14" s="2217"/>
      <c r="C14" s="2217"/>
      <c r="D14" s="2217"/>
      <c r="E14" s="2217"/>
      <c r="F14" s="2217"/>
      <c r="G14" s="2217"/>
      <c r="H14" s="2217"/>
      <c r="I14" s="2217"/>
      <c r="J14" s="2217"/>
      <c r="K14" s="2217"/>
      <c r="L14" s="2217"/>
    </row>
    <row r="15" spans="1:12">
      <c r="A15" s="2217"/>
      <c r="B15" s="2217"/>
      <c r="C15" s="2217"/>
      <c r="D15" s="2217"/>
      <c r="E15" s="2217"/>
      <c r="F15" s="2217"/>
      <c r="G15" s="2217"/>
      <c r="H15" s="2217"/>
      <c r="I15" s="2217"/>
      <c r="J15" s="2217"/>
      <c r="K15" s="2217"/>
      <c r="L15" s="2217"/>
    </row>
    <row r="16" spans="1:12">
      <c r="A16" s="2217"/>
      <c r="B16" s="2217"/>
      <c r="C16" s="2217"/>
      <c r="D16" s="2217"/>
      <c r="E16" s="2217"/>
      <c r="F16" s="2217"/>
      <c r="G16" s="2217"/>
      <c r="H16" s="2217"/>
      <c r="I16" s="2217"/>
      <c r="J16" s="2217"/>
      <c r="K16" s="2217"/>
      <c r="L16" s="2217"/>
    </row>
    <row r="17" spans="1:15">
      <c r="A17" s="2217"/>
      <c r="B17" s="2217"/>
      <c r="C17" s="2217"/>
      <c r="D17" s="2217"/>
      <c r="E17" s="2217"/>
      <c r="F17" s="2217"/>
      <c r="G17" s="2217"/>
      <c r="H17" s="2217"/>
      <c r="I17" s="2217"/>
      <c r="J17" s="2217"/>
      <c r="K17" s="2217"/>
      <c r="L17" s="2217"/>
    </row>
    <row r="18" spans="1:15">
      <c r="A18" s="2217"/>
      <c r="B18" s="2217"/>
      <c r="C18" s="2217"/>
      <c r="D18" s="2217"/>
      <c r="E18" s="2217"/>
      <c r="F18" s="2217"/>
      <c r="G18" s="2217"/>
      <c r="H18" s="2217"/>
      <c r="I18" s="2217"/>
      <c r="J18" s="2217"/>
      <c r="K18" s="2217"/>
      <c r="L18" s="2217"/>
    </row>
    <row r="19" spans="1:15">
      <c r="A19" s="2217"/>
      <c r="B19" s="2217"/>
      <c r="C19" s="2217"/>
      <c r="D19" s="2217"/>
      <c r="E19" s="2217"/>
      <c r="F19" s="2217"/>
      <c r="G19" s="2217"/>
      <c r="H19" s="2217"/>
      <c r="I19" s="2217"/>
      <c r="J19" s="2217"/>
      <c r="K19" s="2217"/>
      <c r="L19" s="2217"/>
    </row>
    <row r="20" spans="1:15">
      <c r="A20" s="2217"/>
      <c r="B20" s="2217"/>
      <c r="C20" s="2217"/>
      <c r="D20" s="2217"/>
      <c r="E20" s="2217"/>
      <c r="F20" s="2217"/>
      <c r="G20" s="2217"/>
      <c r="H20" s="2217"/>
      <c r="I20" s="2217"/>
      <c r="J20" s="2217"/>
      <c r="K20" s="2217"/>
      <c r="L20" s="2217"/>
    </row>
    <row r="21" spans="1:15">
      <c r="A21" s="2217"/>
      <c r="B21" s="2217"/>
      <c r="C21" s="2217"/>
      <c r="D21" s="2217"/>
      <c r="E21" s="2217"/>
      <c r="F21" s="2217"/>
      <c r="G21" s="2217"/>
      <c r="H21" s="2217"/>
      <c r="I21" s="2217"/>
      <c r="J21" s="2217"/>
      <c r="K21" s="2217"/>
      <c r="L21" s="2217"/>
    </row>
    <row r="22" spans="1:15">
      <c r="A22" s="2217"/>
      <c r="B22" s="2217"/>
      <c r="C22" s="2217"/>
      <c r="D22" s="2217"/>
      <c r="E22" s="2217"/>
      <c r="F22" s="2217"/>
      <c r="G22" s="2217"/>
      <c r="H22" s="2217"/>
      <c r="I22" s="2217"/>
      <c r="J22" s="2217"/>
      <c r="K22" s="2217"/>
      <c r="L22" s="2217"/>
    </row>
    <row r="23" spans="1:15">
      <c r="A23" s="2217"/>
      <c r="B23" s="2217"/>
      <c r="C23" s="2217"/>
      <c r="D23" s="2217"/>
      <c r="E23" s="2217"/>
      <c r="F23" s="2217"/>
      <c r="G23" s="2217"/>
      <c r="H23" s="2217"/>
      <c r="I23" s="2217"/>
      <c r="J23" s="2217"/>
      <c r="K23" s="2217"/>
      <c r="L23" s="2217"/>
    </row>
    <row r="24" spans="1:15">
      <c r="A24" s="2217"/>
      <c r="B24" s="2217"/>
      <c r="C24" s="2217"/>
      <c r="D24" s="2217"/>
      <c r="E24" s="2217"/>
      <c r="F24" s="2217"/>
      <c r="G24" s="2217"/>
      <c r="H24" s="2217"/>
      <c r="I24" s="2217"/>
      <c r="J24" s="2217"/>
      <c r="K24" s="2217"/>
      <c r="L24" s="2217"/>
    </row>
    <row r="25" spans="1:15">
      <c r="A25" s="2217"/>
      <c r="B25" s="2217"/>
      <c r="C25" s="2217"/>
      <c r="D25" s="2217"/>
      <c r="E25" s="2217"/>
      <c r="F25" s="2217"/>
      <c r="G25" s="2217"/>
      <c r="H25" s="2217"/>
      <c r="I25" s="2217"/>
      <c r="J25" s="2217"/>
      <c r="K25" s="2217"/>
      <c r="L25" s="2217"/>
    </row>
    <row r="26" spans="1:15">
      <c r="A26" s="2217"/>
      <c r="B26" s="2217"/>
      <c r="C26" s="2217"/>
      <c r="D26" s="2217"/>
      <c r="E26" s="2217"/>
      <c r="F26" s="2217"/>
      <c r="G26" s="2217"/>
      <c r="H26" s="2217"/>
      <c r="I26" s="2217"/>
      <c r="J26" s="2217"/>
      <c r="K26" s="2217"/>
      <c r="L26" s="2217"/>
      <c r="M26" s="268"/>
      <c r="N26" s="268"/>
      <c r="O26" s="268"/>
    </row>
    <row r="27" spans="1:15">
      <c r="A27" s="2217"/>
      <c r="B27" s="2217"/>
      <c r="C27" s="2217"/>
      <c r="D27" s="2217"/>
      <c r="E27" s="2217"/>
      <c r="F27" s="2217"/>
      <c r="G27" s="2217"/>
      <c r="H27" s="2217"/>
      <c r="I27" s="2217"/>
      <c r="J27" s="2217"/>
      <c r="K27" s="2217"/>
      <c r="L27" s="2217"/>
    </row>
    <row r="28" spans="1:15">
      <c r="A28" s="2217"/>
      <c r="B28" s="2217"/>
      <c r="C28" s="2217"/>
      <c r="D28" s="2217"/>
      <c r="E28" s="2217"/>
      <c r="F28" s="2217"/>
      <c r="G28" s="2217"/>
      <c r="H28" s="2217"/>
      <c r="I28" s="2217"/>
      <c r="J28" s="2217"/>
      <c r="K28" s="2217"/>
      <c r="L28" s="2217"/>
    </row>
    <row r="29" spans="1:15">
      <c r="A29" s="2217"/>
      <c r="B29" s="2217"/>
      <c r="C29" s="2217"/>
      <c r="D29" s="2217"/>
      <c r="E29" s="2217"/>
      <c r="F29" s="2217"/>
      <c r="G29" s="2217"/>
      <c r="H29" s="2217"/>
      <c r="I29" s="2217"/>
      <c r="J29" s="2217"/>
      <c r="K29" s="2217"/>
      <c r="L29" s="2217"/>
    </row>
    <row r="30" spans="1:15">
      <c r="A30" s="2217"/>
      <c r="B30" s="2217"/>
      <c r="C30" s="2217"/>
      <c r="D30" s="2217"/>
      <c r="E30" s="2217"/>
      <c r="F30" s="2217"/>
      <c r="G30" s="2217"/>
      <c r="H30" s="2217"/>
      <c r="I30" s="2217"/>
      <c r="J30" s="2217"/>
      <c r="K30" s="2217"/>
      <c r="L30" s="2217"/>
    </row>
    <row r="31" spans="1:15">
      <c r="A31" s="2217"/>
      <c r="B31" s="2217"/>
      <c r="C31" s="2217"/>
      <c r="D31" s="2217"/>
      <c r="E31" s="2217"/>
      <c r="F31" s="2217"/>
      <c r="G31" s="2217"/>
      <c r="H31" s="2217"/>
      <c r="I31" s="2217"/>
      <c r="J31" s="2217"/>
      <c r="K31" s="2217"/>
      <c r="L31" s="2217"/>
    </row>
  </sheetData>
  <mergeCells count="1">
    <mergeCell ref="A5:L31"/>
  </mergeCells>
  <pageMargins left="0.7" right="0.7" top="0.75" bottom="0.75" header="0.3" footer="0.3"/>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U37"/>
  <sheetViews>
    <sheetView showGridLines="0" view="pageBreakPreview" zoomScale="55" zoomScaleNormal="85" zoomScaleSheetLayoutView="55" workbookViewId="0">
      <selection activeCell="Q29" sqref="Q29"/>
    </sheetView>
  </sheetViews>
  <sheetFormatPr baseColWidth="10" defaultColWidth="11.42578125" defaultRowHeight="13.5" customHeight="1"/>
  <cols>
    <col min="1" max="1" width="24.42578125" style="70" customWidth="1"/>
    <col min="2" max="2" width="18" style="70" customWidth="1"/>
    <col min="3" max="3" width="17.5703125" style="70" hidden="1" customWidth="1"/>
    <col min="4" max="4" width="22.140625" style="70" customWidth="1"/>
    <col min="5" max="5" width="19.85546875" style="70" customWidth="1"/>
    <col min="6" max="6" width="2.85546875" style="70" hidden="1" customWidth="1"/>
    <col min="7" max="7" width="24.5703125" style="70" customWidth="1"/>
    <col min="8" max="8" width="22.85546875" style="70" customWidth="1"/>
    <col min="9" max="11" width="21.42578125" style="70" customWidth="1"/>
    <col min="12" max="12" width="21.85546875" style="70" customWidth="1"/>
    <col min="13" max="13" width="20.28515625" style="70" customWidth="1"/>
    <col min="14" max="14" width="21.5703125" style="70" customWidth="1"/>
    <col min="15" max="15" width="6.28515625" style="70" customWidth="1"/>
    <col min="16" max="16" width="19.7109375" style="1345" customWidth="1"/>
    <col min="17" max="17" width="13.42578125" style="70" customWidth="1"/>
    <col min="18" max="18" width="13.7109375" style="70" customWidth="1"/>
    <col min="19" max="16384" width="11.42578125" style="70"/>
  </cols>
  <sheetData>
    <row r="2" spans="1:21" ht="65.25" customHeight="1"/>
    <row r="3" spans="1:21" ht="39.75" customHeight="1">
      <c r="A3" s="2062"/>
      <c r="B3" s="2062"/>
      <c r="C3" s="2062"/>
      <c r="D3" s="2062"/>
      <c r="E3" s="2062"/>
      <c r="F3" s="2062"/>
      <c r="G3" s="2062"/>
      <c r="H3" s="2062"/>
      <c r="I3" s="2062"/>
      <c r="J3" s="2062"/>
      <c r="K3" s="2062"/>
      <c r="L3" s="2062"/>
      <c r="M3" s="2062"/>
      <c r="N3" s="2062"/>
      <c r="P3" s="1346"/>
      <c r="Q3"/>
    </row>
    <row r="4" spans="1:21" s="289" customFormat="1" ht="61.5" customHeight="1">
      <c r="A4" s="293" t="s">
        <v>548</v>
      </c>
      <c r="B4" s="319" t="s">
        <v>519</v>
      </c>
      <c r="C4" s="319" t="s">
        <v>518</v>
      </c>
      <c r="D4" s="319" t="s">
        <v>516</v>
      </c>
      <c r="E4" s="319" t="s">
        <v>520</v>
      </c>
      <c r="F4" s="319" t="s">
        <v>540</v>
      </c>
      <c r="G4" s="320" t="s">
        <v>517</v>
      </c>
      <c r="H4" s="284"/>
      <c r="I4" s="285"/>
      <c r="J4" s="285"/>
      <c r="K4" s="285"/>
      <c r="L4" s="286"/>
      <c r="M4" s="286"/>
      <c r="N4" s="286"/>
      <c r="O4" s="286"/>
      <c r="P4" s="1347"/>
      <c r="Q4" s="287"/>
      <c r="R4" s="288"/>
      <c r="U4" s="290"/>
    </row>
    <row r="5" spans="1:21" ht="21" customHeight="1">
      <c r="A5" s="321" t="s">
        <v>549</v>
      </c>
      <c r="B5" s="2006">
        <v>41791</v>
      </c>
      <c r="C5" s="352"/>
      <c r="D5" s="1378">
        <f>+B5/$B$14</f>
        <v>0.58552954198366325</v>
      </c>
      <c r="E5" s="352">
        <v>106960</v>
      </c>
      <c r="F5" s="352"/>
      <c r="G5" s="353">
        <f t="shared" ref="G5:G13" si="0">+E5/$F$14</f>
        <v>5.8234909476185266E-2</v>
      </c>
      <c r="H5" s="77"/>
      <c r="I5" s="119"/>
      <c r="J5" s="119"/>
      <c r="K5" s="119"/>
      <c r="L5" s="244"/>
      <c r="M5" s="241"/>
      <c r="N5" s="241"/>
      <c r="O5" s="242"/>
      <c r="P5" s="1348"/>
      <c r="Q5" s="243"/>
      <c r="U5" s="161"/>
    </row>
    <row r="6" spans="1:21" ht="21" customHeight="1">
      <c r="A6" s="321" t="s">
        <v>550</v>
      </c>
      <c r="B6" s="2007">
        <v>12579</v>
      </c>
      <c r="C6" s="354"/>
      <c r="D6" s="1379">
        <f t="shared" ref="D6:D13" si="1">+B6/$B$14</f>
        <v>0.17624311714513891</v>
      </c>
      <c r="E6" s="354">
        <v>95329</v>
      </c>
      <c r="F6" s="354"/>
      <c r="G6" s="355">
        <f t="shared" si="0"/>
        <v>5.1902353080172638E-2</v>
      </c>
      <c r="H6" s="77"/>
      <c r="I6" s="119"/>
      <c r="J6" s="119"/>
      <c r="K6" s="119"/>
      <c r="L6" s="244"/>
      <c r="M6" s="241"/>
      <c r="N6" s="241"/>
      <c r="O6" s="242"/>
      <c r="P6" s="1349"/>
      <c r="Q6" s="354"/>
      <c r="R6" s="354"/>
      <c r="S6" s="354"/>
      <c r="U6" s="161"/>
    </row>
    <row r="7" spans="1:21" ht="21" customHeight="1">
      <c r="A7" s="321" t="s">
        <v>551</v>
      </c>
      <c r="B7" s="2007">
        <v>7836</v>
      </c>
      <c r="C7" s="354"/>
      <c r="D7" s="1379">
        <f t="shared" si="1"/>
        <v>0.10978941616577698</v>
      </c>
      <c r="E7" s="354">
        <v>113544</v>
      </c>
      <c r="F7" s="354"/>
      <c r="G7" s="355">
        <f t="shared" si="0"/>
        <v>6.1819601360919782E-2</v>
      </c>
      <c r="H7" s="77"/>
      <c r="I7" s="119"/>
      <c r="J7" s="119"/>
      <c r="K7" s="119"/>
      <c r="L7" s="244"/>
      <c r="M7" s="241"/>
      <c r="N7" s="241"/>
      <c r="O7" s="242"/>
      <c r="P7" s="1349"/>
      <c r="Q7" s="354"/>
      <c r="R7" s="354"/>
      <c r="S7" s="354"/>
      <c r="U7" s="161"/>
    </row>
    <row r="8" spans="1:21" ht="21" customHeight="1">
      <c r="A8" s="321" t="s">
        <v>552</v>
      </c>
      <c r="B8" s="2007">
        <v>5360</v>
      </c>
      <c r="C8" s="354"/>
      <c r="D8" s="1379">
        <f t="shared" si="1"/>
        <v>7.5098426575876037E-2</v>
      </c>
      <c r="E8" s="354">
        <v>166465</v>
      </c>
      <c r="F8" s="354"/>
      <c r="G8" s="355">
        <f t="shared" si="0"/>
        <v>9.0632705740025993E-2</v>
      </c>
      <c r="H8" s="132"/>
      <c r="I8" s="243"/>
      <c r="J8" s="243"/>
      <c r="K8" s="243"/>
      <c r="L8" s="245"/>
      <c r="M8" s="241"/>
      <c r="N8" s="241"/>
      <c r="O8" s="242"/>
      <c r="P8" s="1349"/>
      <c r="Q8" s="354"/>
      <c r="R8" s="354"/>
      <c r="S8" s="354"/>
    </row>
    <row r="9" spans="1:21" ht="21" customHeight="1">
      <c r="A9" s="321" t="s">
        <v>553</v>
      </c>
      <c r="B9" s="2007">
        <v>1791</v>
      </c>
      <c r="C9" s="354"/>
      <c r="D9" s="1379">
        <f t="shared" si="1"/>
        <v>2.509352276070783E-2</v>
      </c>
      <c r="E9" s="354">
        <v>125583</v>
      </c>
      <c r="F9" s="354"/>
      <c r="G9" s="355">
        <f t="shared" si="0"/>
        <v>6.8374295407140739E-2</v>
      </c>
      <c r="H9" s="161"/>
      <c r="I9" s="246"/>
      <c r="J9" s="246"/>
      <c r="K9" s="246"/>
      <c r="L9" s="245"/>
      <c r="M9" s="241"/>
      <c r="N9" s="241"/>
      <c r="O9" s="242"/>
      <c r="P9" s="1349"/>
      <c r="Q9" s="354"/>
      <c r="R9" s="354"/>
      <c r="S9" s="354"/>
      <c r="U9" s="161"/>
    </row>
    <row r="10" spans="1:21" ht="21" customHeight="1">
      <c r="A10" s="321" t="s">
        <v>554</v>
      </c>
      <c r="B10" s="2007">
        <v>1575</v>
      </c>
      <c r="C10" s="354"/>
      <c r="D10" s="1379">
        <f t="shared" si="1"/>
        <v>2.2067168256903871E-2</v>
      </c>
      <c r="E10" s="354">
        <v>322778</v>
      </c>
      <c r="F10" s="354"/>
      <c r="G10" s="355">
        <f t="shared" si="0"/>
        <v>0.17573810406604456</v>
      </c>
      <c r="H10" s="77"/>
      <c r="I10" s="119"/>
      <c r="J10" s="119"/>
      <c r="K10" s="119"/>
      <c r="L10" s="245"/>
      <c r="M10" s="241"/>
      <c r="N10" s="241"/>
      <c r="O10" s="242"/>
      <c r="P10" s="1349"/>
      <c r="Q10" s="354"/>
      <c r="R10" s="354"/>
      <c r="S10" s="354"/>
    </row>
    <row r="11" spans="1:21" ht="21" customHeight="1">
      <c r="A11" s="321" t="s">
        <v>555</v>
      </c>
      <c r="B11" s="2007">
        <v>226</v>
      </c>
      <c r="C11" s="354"/>
      <c r="D11" s="1379">
        <f t="shared" si="1"/>
        <v>3.1664635086096982E-3</v>
      </c>
      <c r="E11" s="354">
        <v>158789</v>
      </c>
      <c r="F11" s="354"/>
      <c r="G11" s="355">
        <f t="shared" si="0"/>
        <v>8.6453468967969169E-2</v>
      </c>
      <c r="H11" s="77"/>
      <c r="I11" s="119"/>
      <c r="J11" s="119"/>
      <c r="K11" s="119"/>
      <c r="L11" s="245"/>
      <c r="M11" s="241"/>
      <c r="N11" s="241"/>
      <c r="O11" s="242"/>
      <c r="P11" s="1349"/>
      <c r="Q11" s="354"/>
      <c r="R11" s="354"/>
      <c r="S11" s="354"/>
    </row>
    <row r="12" spans="1:21" ht="21" customHeight="1">
      <c r="A12" s="321" t="s">
        <v>556</v>
      </c>
      <c r="B12" s="2007">
        <v>209</v>
      </c>
      <c r="C12" s="354"/>
      <c r="D12" s="1379">
        <f t="shared" si="1"/>
        <v>2.9282782004399423E-3</v>
      </c>
      <c r="E12" s="354">
        <v>447759</v>
      </c>
      <c r="F12" s="354"/>
      <c r="G12" s="355">
        <f t="shared" si="0"/>
        <v>0.24378463754812302</v>
      </c>
      <c r="H12" s="100"/>
      <c r="I12" s="100"/>
      <c r="J12" s="100"/>
      <c r="K12" s="100"/>
      <c r="L12" s="245"/>
      <c r="M12" s="241"/>
      <c r="N12" s="241"/>
      <c r="O12" s="246"/>
      <c r="P12" s="1835"/>
      <c r="Q12" s="354"/>
      <c r="R12" s="354"/>
      <c r="S12" s="354"/>
    </row>
    <row r="13" spans="1:21" ht="21" customHeight="1">
      <c r="A13" s="321" t="s">
        <v>557</v>
      </c>
      <c r="B13" s="2007">
        <v>6</v>
      </c>
      <c r="C13" s="354"/>
      <c r="D13" s="1379">
        <f t="shared" si="1"/>
        <v>8.4065402883443325E-5</v>
      </c>
      <c r="E13" s="354">
        <v>299492</v>
      </c>
      <c r="F13" s="354"/>
      <c r="G13" s="355">
        <f t="shared" si="0"/>
        <v>0.16305992435341882</v>
      </c>
      <c r="H13" s="100"/>
      <c r="I13" s="100"/>
      <c r="J13" s="100"/>
      <c r="K13" s="100"/>
      <c r="L13" s="247"/>
      <c r="M13" s="241"/>
      <c r="N13" s="241"/>
      <c r="O13" s="242"/>
      <c r="P13" s="1835"/>
      <c r="Q13" s="354"/>
      <c r="R13" s="354"/>
      <c r="S13" s="354"/>
    </row>
    <row r="14" spans="1:21" ht="18.75" customHeight="1">
      <c r="A14" s="322" t="s">
        <v>23</v>
      </c>
      <c r="B14" s="356">
        <f>SUM(B5:B13)</f>
        <v>71373</v>
      </c>
      <c r="C14" s="357">
        <f>SUM(B5:B13)</f>
        <v>71373</v>
      </c>
      <c r="D14" s="358">
        <f>SUM(D5:D13)</f>
        <v>1</v>
      </c>
      <c r="E14" s="357">
        <f>SUM(E5:E13)</f>
        <v>1836699</v>
      </c>
      <c r="F14" s="357">
        <f>SUM(E5:E13)</f>
        <v>1836699</v>
      </c>
      <c r="G14" s="359">
        <f>SUM(G5:G13)</f>
        <v>1</v>
      </c>
      <c r="H14" s="100"/>
      <c r="I14" s="100"/>
      <c r="J14" s="100"/>
      <c r="K14" s="100"/>
      <c r="L14" s="247"/>
      <c r="M14" s="241"/>
      <c r="N14" s="241"/>
      <c r="O14" s="242"/>
      <c r="P14" s="1349"/>
      <c r="Q14" s="354"/>
      <c r="R14" s="354"/>
      <c r="S14" s="354"/>
    </row>
    <row r="15" spans="1:21" ht="13.5" customHeight="1">
      <c r="A15" s="100"/>
      <c r="B15" s="100"/>
      <c r="C15" s="100"/>
      <c r="D15" s="100"/>
      <c r="E15" s="100"/>
      <c r="F15" s="100"/>
      <c r="G15" s="100"/>
      <c r="H15" s="100"/>
      <c r="I15" s="100"/>
      <c r="J15" s="100"/>
      <c r="K15" s="100"/>
      <c r="L15" s="100"/>
      <c r="M15" s="100"/>
      <c r="P15" s="1349"/>
      <c r="Q15" s="354"/>
      <c r="R15" s="354"/>
      <c r="S15" s="354"/>
    </row>
    <row r="16" spans="1:21" ht="13.5" customHeight="1">
      <c r="A16" s="100"/>
      <c r="B16" s="100"/>
      <c r="C16" s="100"/>
      <c r="D16" s="100"/>
      <c r="E16" s="100"/>
      <c r="F16" s="100"/>
      <c r="G16" s="100"/>
      <c r="H16" s="100"/>
      <c r="I16" s="100"/>
      <c r="J16" s="100"/>
      <c r="K16" s="100"/>
      <c r="L16" s="100"/>
      <c r="M16" s="100"/>
      <c r="P16" s="1349"/>
      <c r="Q16" s="354"/>
      <c r="R16" s="354"/>
      <c r="S16" s="354"/>
    </row>
    <row r="17" spans="1:19" ht="13.5" customHeight="1">
      <c r="A17" s="100"/>
      <c r="B17" s="100"/>
      <c r="C17" s="100"/>
      <c r="D17" s="100"/>
      <c r="E17" s="100"/>
      <c r="F17" s="100"/>
      <c r="G17" s="100"/>
      <c r="H17" s="100"/>
      <c r="I17" s="100"/>
      <c r="J17" s="100"/>
      <c r="K17" s="100"/>
      <c r="L17" s="100"/>
      <c r="M17" s="100"/>
      <c r="P17" s="1349"/>
      <c r="Q17" s="354"/>
      <c r="R17" s="354"/>
      <c r="S17" s="354"/>
    </row>
    <row r="18" spans="1:19" ht="13.5" customHeight="1">
      <c r="A18" s="100"/>
      <c r="B18" s="100"/>
      <c r="C18" s="100"/>
      <c r="D18" s="100"/>
      <c r="E18" s="100"/>
      <c r="F18" s="100"/>
      <c r="G18" s="100"/>
      <c r="H18" s="100"/>
      <c r="I18" s="100"/>
      <c r="J18" s="100"/>
      <c r="K18" s="100"/>
      <c r="L18" s="100"/>
      <c r="M18" s="100"/>
      <c r="P18" s="1349"/>
      <c r="Q18" s="354"/>
      <c r="R18" s="354"/>
      <c r="S18" s="354"/>
    </row>
    <row r="19" spans="1:19" ht="13.5" customHeight="1">
      <c r="A19" s="100"/>
      <c r="B19" s="100"/>
      <c r="C19" s="100"/>
      <c r="D19" s="100"/>
      <c r="E19" s="100"/>
      <c r="F19" s="100"/>
      <c r="G19" s="100"/>
      <c r="H19" s="100"/>
      <c r="I19" s="100"/>
      <c r="J19" s="100"/>
      <c r="K19" s="100"/>
      <c r="L19" s="100"/>
      <c r="M19" s="100"/>
      <c r="P19" s="1349"/>
      <c r="Q19" s="354"/>
      <c r="R19" s="354"/>
      <c r="S19" s="354"/>
    </row>
    <row r="20" spans="1:19" ht="13.5" customHeight="1">
      <c r="A20" s="100"/>
      <c r="B20" s="100"/>
      <c r="C20" s="100"/>
      <c r="D20" s="100"/>
      <c r="E20" s="100"/>
      <c r="F20" s="100"/>
      <c r="G20" s="100"/>
      <c r="H20" s="100"/>
      <c r="I20" s="100"/>
      <c r="J20" s="100"/>
      <c r="K20" s="100"/>
      <c r="L20" s="100"/>
      <c r="M20" s="100"/>
      <c r="P20" s="1349"/>
      <c r="Q20" s="354"/>
      <c r="R20" s="354"/>
      <c r="S20" s="354"/>
    </row>
    <row r="21" spans="1:19" ht="13.5" customHeight="1">
      <c r="A21" s="100"/>
      <c r="B21" s="100"/>
      <c r="C21" s="100"/>
      <c r="D21" s="100"/>
      <c r="E21" s="100"/>
      <c r="F21" s="100"/>
      <c r="G21" s="100"/>
      <c r="H21" s="100"/>
      <c r="I21" s="100"/>
      <c r="J21" s="100"/>
      <c r="K21" s="100"/>
      <c r="L21" s="100"/>
      <c r="M21" s="100"/>
      <c r="P21" s="1349"/>
      <c r="Q21" s="354"/>
      <c r="R21" s="354"/>
      <c r="S21" s="354"/>
    </row>
    <row r="22" spans="1:19" ht="13.5" customHeight="1">
      <c r="A22" s="100"/>
      <c r="B22" s="100"/>
      <c r="C22" s="100"/>
      <c r="D22" s="100"/>
      <c r="E22" s="100"/>
      <c r="F22" s="100"/>
      <c r="G22" s="100"/>
      <c r="H22" s="100"/>
      <c r="I22" s="100"/>
      <c r="J22" s="100"/>
      <c r="K22" s="100"/>
      <c r="L22" s="100"/>
      <c r="M22" s="100"/>
      <c r="P22" s="1349"/>
      <c r="Q22" s="354"/>
      <c r="R22" s="354"/>
      <c r="S22" s="354"/>
    </row>
    <row r="23" spans="1:19" ht="13.5" customHeight="1">
      <c r="A23" s="100"/>
      <c r="B23" s="100"/>
      <c r="C23" s="100"/>
      <c r="D23" s="100"/>
      <c r="E23" s="100"/>
      <c r="F23" s="100"/>
      <c r="G23" s="100"/>
      <c r="H23" s="100"/>
      <c r="I23" s="100"/>
      <c r="J23" s="100"/>
      <c r="K23" s="100"/>
      <c r="L23" s="100"/>
      <c r="M23" s="100"/>
      <c r="P23" s="1349"/>
      <c r="Q23" s="354"/>
      <c r="R23" s="354"/>
      <c r="S23" s="354"/>
    </row>
    <row r="24" spans="1:19" ht="13.5" customHeight="1">
      <c r="A24" s="100"/>
      <c r="B24" s="100"/>
      <c r="C24" s="100"/>
      <c r="D24" s="100"/>
      <c r="E24" s="100"/>
      <c r="F24" s="100"/>
      <c r="G24" s="100"/>
      <c r="H24" s="100"/>
      <c r="I24" s="100"/>
      <c r="J24" s="100"/>
      <c r="K24" s="100"/>
      <c r="L24" s="100"/>
      <c r="M24" s="100"/>
      <c r="P24" s="1349"/>
      <c r="Q24" s="354"/>
      <c r="R24" s="354"/>
      <c r="S24" s="354"/>
    </row>
    <row r="25" spans="1:19" ht="13.5" customHeight="1">
      <c r="A25" s="100"/>
      <c r="B25" s="100"/>
      <c r="C25" s="100"/>
      <c r="D25" s="100"/>
      <c r="E25" s="100"/>
      <c r="F25" s="100"/>
      <c r="G25" s="100"/>
      <c r="H25" s="100"/>
      <c r="I25" s="100"/>
      <c r="J25" s="100"/>
      <c r="K25" s="100"/>
      <c r="L25" s="100"/>
      <c r="M25" s="100"/>
      <c r="P25" s="1349"/>
      <c r="Q25" s="354"/>
      <c r="R25" s="354"/>
      <c r="S25" s="354"/>
    </row>
    <row r="26" spans="1:19" ht="13.5" customHeight="1">
      <c r="A26" s="100"/>
      <c r="B26" s="100"/>
      <c r="C26" s="100"/>
      <c r="D26" s="100"/>
      <c r="E26" s="100"/>
      <c r="F26" s="100"/>
      <c r="G26" s="100"/>
      <c r="H26" s="100"/>
      <c r="I26" s="100"/>
      <c r="J26" s="100"/>
      <c r="K26" s="100"/>
      <c r="L26" s="100"/>
      <c r="M26" s="100"/>
      <c r="P26" s="1349"/>
      <c r="Q26" s="354"/>
      <c r="R26" s="354"/>
      <c r="S26" s="354"/>
    </row>
    <row r="27" spans="1:19" ht="13.5" customHeight="1">
      <c r="A27" s="100"/>
      <c r="B27" s="100"/>
      <c r="C27" s="100"/>
      <c r="D27" s="100"/>
      <c r="E27" s="100"/>
      <c r="F27" s="100"/>
      <c r="G27" s="100"/>
      <c r="H27" s="100"/>
      <c r="I27" s="100"/>
      <c r="J27" s="100"/>
      <c r="K27" s="100"/>
      <c r="L27" s="100"/>
      <c r="M27" s="100"/>
      <c r="P27" s="1349"/>
      <c r="Q27" s="354"/>
      <c r="R27" s="354"/>
      <c r="S27" s="354"/>
    </row>
    <row r="28" spans="1:19" ht="13.5" customHeight="1">
      <c r="A28" s="100"/>
      <c r="B28" s="100"/>
      <c r="C28" s="100"/>
      <c r="D28" s="100"/>
      <c r="E28" s="100"/>
      <c r="F28" s="100"/>
      <c r="G28" s="100"/>
      <c r="H28" s="100"/>
      <c r="I28" s="100"/>
      <c r="J28" s="100"/>
      <c r="K28" s="100"/>
      <c r="L28" s="100"/>
      <c r="M28" s="100"/>
      <c r="P28" s="1349"/>
      <c r="Q28" s="354"/>
      <c r="R28" s="354"/>
      <c r="S28" s="354"/>
    </row>
    <row r="29" spans="1:19" ht="13.5" customHeight="1">
      <c r="A29" s="100"/>
      <c r="B29" s="100"/>
      <c r="C29" s="100"/>
      <c r="D29" s="100"/>
      <c r="E29" s="100"/>
      <c r="F29" s="100"/>
      <c r="G29" s="100"/>
      <c r="H29" s="100"/>
      <c r="I29" s="100"/>
      <c r="J29" s="100"/>
      <c r="K29" s="100"/>
      <c r="L29" s="100"/>
      <c r="M29" s="100"/>
      <c r="P29" s="1349"/>
      <c r="Q29" s="354"/>
      <c r="R29" s="354"/>
      <c r="S29" s="354"/>
    </row>
    <row r="30" spans="1:19" ht="13.5" customHeight="1">
      <c r="A30" s="100"/>
      <c r="B30" s="100"/>
      <c r="C30" s="100"/>
      <c r="D30" s="100"/>
      <c r="E30" s="100"/>
      <c r="F30" s="100"/>
      <c r="G30" s="100"/>
      <c r="H30" s="100"/>
      <c r="I30" s="100"/>
      <c r="J30" s="100"/>
      <c r="K30" s="100"/>
      <c r="L30" s="100"/>
      <c r="M30" s="100"/>
    </row>
    <row r="31" spans="1:19" ht="13.5" customHeight="1">
      <c r="A31" s="100"/>
      <c r="B31" s="100"/>
      <c r="C31" s="100"/>
      <c r="D31" s="100"/>
      <c r="E31" s="100"/>
      <c r="F31" s="100"/>
      <c r="G31" s="100"/>
      <c r="H31" s="100"/>
      <c r="I31" s="100"/>
      <c r="J31" s="100"/>
      <c r="K31" s="100"/>
      <c r="L31" s="100"/>
      <c r="M31" s="100"/>
    </row>
    <row r="32" spans="1:19" ht="13.5" customHeight="1">
      <c r="A32" s="100"/>
      <c r="B32" s="100"/>
      <c r="C32" s="100"/>
      <c r="D32" s="100"/>
      <c r="E32" s="100"/>
      <c r="F32" s="100"/>
      <c r="G32" s="100"/>
      <c r="H32" s="100"/>
      <c r="I32" s="100"/>
      <c r="J32" s="100"/>
      <c r="K32" s="100"/>
      <c r="L32" s="100"/>
      <c r="M32" s="100"/>
    </row>
    <row r="33" spans="1:13" ht="13.5" customHeight="1">
      <c r="A33" s="100"/>
      <c r="B33" s="100"/>
      <c r="C33" s="100"/>
      <c r="D33" s="100"/>
      <c r="E33" s="100"/>
      <c r="F33" s="100"/>
      <c r="G33" s="100"/>
      <c r="H33" s="100"/>
      <c r="I33" s="100"/>
      <c r="J33" s="100"/>
      <c r="K33" s="100"/>
      <c r="L33" s="100"/>
      <c r="M33" s="100"/>
    </row>
    <row r="34" spans="1:13" ht="13.5" customHeight="1">
      <c r="A34" s="100"/>
      <c r="B34" s="100"/>
      <c r="C34" s="100"/>
      <c r="D34" s="100"/>
      <c r="E34" s="100"/>
      <c r="F34" s="100"/>
      <c r="G34" s="100"/>
      <c r="H34" s="100"/>
      <c r="I34" s="100"/>
      <c r="J34" s="100"/>
      <c r="K34" s="100"/>
      <c r="L34" s="100"/>
      <c r="M34" s="100"/>
    </row>
    <row r="35" spans="1:13" ht="13.5" customHeight="1">
      <c r="A35" s="100"/>
      <c r="B35" s="100"/>
      <c r="C35" s="100"/>
      <c r="D35" s="100"/>
      <c r="E35" s="100"/>
      <c r="F35" s="100"/>
      <c r="G35" s="100"/>
      <c r="H35" s="100"/>
      <c r="I35" s="100"/>
      <c r="J35" s="100"/>
      <c r="K35" s="100"/>
      <c r="L35" s="100"/>
      <c r="M35" s="100"/>
    </row>
    <row r="36" spans="1:13" ht="13.5" customHeight="1">
      <c r="A36" s="100"/>
      <c r="B36" s="100"/>
      <c r="C36" s="100"/>
      <c r="D36" s="100"/>
      <c r="E36" s="100"/>
      <c r="F36" s="100"/>
      <c r="G36" s="100"/>
      <c r="H36" s="100"/>
      <c r="I36" s="100"/>
      <c r="J36" s="100"/>
      <c r="K36" s="100"/>
      <c r="L36" s="100"/>
      <c r="M36" s="100"/>
    </row>
    <row r="37" spans="1:13" ht="13.5" customHeight="1">
      <c r="A37" s="100"/>
      <c r="B37" s="100"/>
      <c r="C37" s="100"/>
      <c r="D37" s="100"/>
      <c r="E37" s="100"/>
      <c r="F37" s="100"/>
      <c r="G37" s="100"/>
      <c r="H37" s="100"/>
      <c r="I37" s="100"/>
      <c r="J37" s="100"/>
      <c r="K37" s="100"/>
      <c r="L37" s="100"/>
      <c r="M37" s="100"/>
    </row>
  </sheetData>
  <mergeCells count="1">
    <mergeCell ref="A3:N3"/>
  </mergeCells>
  <printOptions horizontalCentered="1" verticalCentered="1"/>
  <pageMargins left="0.4" right="0.4" top="0.25" bottom="0.25" header="0.31496062992126" footer="0.31496062992126"/>
  <pageSetup scale="50"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19"/>
  <sheetViews>
    <sheetView showGridLines="0" view="pageBreakPreview" zoomScale="55" zoomScaleNormal="100" zoomScaleSheetLayoutView="55" workbookViewId="0">
      <selection activeCell="I11" sqref="I11"/>
    </sheetView>
  </sheetViews>
  <sheetFormatPr baseColWidth="10" defaultColWidth="11.42578125" defaultRowHeight="15"/>
  <cols>
    <col min="1" max="1" width="28.5703125" style="77" customWidth="1"/>
    <col min="2" max="2" width="22.28515625" style="77" bestFit="1" customWidth="1"/>
    <col min="3" max="3" width="23.140625" style="77" customWidth="1"/>
    <col min="4" max="4" width="19.140625" style="198" customWidth="1"/>
    <col min="5" max="5" width="17.7109375" style="77" customWidth="1"/>
    <col min="6" max="6" width="30.28515625" style="77" customWidth="1"/>
    <col min="7" max="7" width="26.5703125" style="77" customWidth="1"/>
    <col min="8" max="8" width="14.5703125" style="77" bestFit="1" customWidth="1"/>
    <col min="9" max="9" width="35" style="77" customWidth="1"/>
    <col min="10" max="10" width="27.140625" style="77" customWidth="1"/>
    <col min="11" max="11" width="33.28515625" style="77" customWidth="1"/>
    <col min="12" max="12" width="16.28515625" style="77" customWidth="1"/>
    <col min="13" max="16384" width="11.42578125" style="77"/>
  </cols>
  <sheetData>
    <row r="1" spans="1:12" ht="104.25" customHeight="1">
      <c r="A1" s="2114"/>
      <c r="B1" s="2114"/>
      <c r="C1" s="2114"/>
      <c r="D1" s="2114"/>
      <c r="E1" s="2114"/>
      <c r="F1" s="2114"/>
      <c r="G1" s="2114"/>
      <c r="H1" s="2114"/>
      <c r="I1" s="2114"/>
      <c r="J1" s="2114"/>
      <c r="K1" s="2114"/>
      <c r="L1" s="2114"/>
    </row>
    <row r="2" spans="1:12" ht="4.5" customHeight="1"/>
    <row r="3" spans="1:12" ht="32.25" customHeight="1">
      <c r="A3" s="908"/>
      <c r="B3" s="2218" t="s">
        <v>178</v>
      </c>
      <c r="C3" s="2219"/>
      <c r="D3" s="2219"/>
      <c r="E3" s="2219"/>
      <c r="F3" s="2219"/>
      <c r="G3" s="2220"/>
    </row>
    <row r="4" spans="1:12" ht="45" customHeight="1">
      <c r="A4" s="909" t="s">
        <v>181</v>
      </c>
      <c r="B4" s="909" t="s">
        <v>179</v>
      </c>
      <c r="C4" s="1362" t="s">
        <v>466</v>
      </c>
      <c r="D4" s="1770" t="s">
        <v>724</v>
      </c>
      <c r="E4" s="1362" t="s">
        <v>196</v>
      </c>
      <c r="F4" s="1362" t="s">
        <v>197</v>
      </c>
      <c r="G4" s="910" t="s">
        <v>198</v>
      </c>
    </row>
    <row r="5" spans="1:12" ht="18.75">
      <c r="A5" s="1364">
        <v>2003</v>
      </c>
      <c r="B5" s="1365">
        <v>3</v>
      </c>
      <c r="C5" s="1366">
        <v>24</v>
      </c>
      <c r="D5" s="1771"/>
      <c r="E5" s="1367">
        <f t="shared" ref="E5:E18" si="0">+B5+C5+D5</f>
        <v>27</v>
      </c>
      <c r="F5" s="1368">
        <f t="shared" ref="F5:F18" si="1">B5/E5</f>
        <v>0.1111111111111111</v>
      </c>
      <c r="G5" s="1369">
        <f t="shared" ref="G5:G18" si="2">C5/E5</f>
        <v>0.88888888888888884</v>
      </c>
    </row>
    <row r="6" spans="1:12" ht="18.75">
      <c r="A6" s="1364">
        <v>2004</v>
      </c>
      <c r="B6" s="911">
        <v>2</v>
      </c>
      <c r="C6" s="912">
        <v>63</v>
      </c>
      <c r="D6" s="1772"/>
      <c r="E6" s="913">
        <f t="shared" si="0"/>
        <v>65</v>
      </c>
      <c r="F6" s="914">
        <f t="shared" si="1"/>
        <v>3.0769230769230771E-2</v>
      </c>
      <c r="G6" s="915">
        <f t="shared" si="2"/>
        <v>0.96923076923076923</v>
      </c>
    </row>
    <row r="7" spans="1:12" ht="18.75">
      <c r="A7" s="1364">
        <v>2005</v>
      </c>
      <c r="B7" s="911">
        <v>34</v>
      </c>
      <c r="C7" s="912">
        <v>181</v>
      </c>
      <c r="D7" s="1772"/>
      <c r="E7" s="913">
        <f t="shared" si="0"/>
        <v>215</v>
      </c>
      <c r="F7" s="914">
        <f t="shared" si="1"/>
        <v>0.15813953488372093</v>
      </c>
      <c r="G7" s="915">
        <f t="shared" si="2"/>
        <v>0.8418604651162791</v>
      </c>
    </row>
    <row r="8" spans="1:12" ht="18.75">
      <c r="A8" s="1364">
        <v>2006</v>
      </c>
      <c r="B8" s="911">
        <v>99</v>
      </c>
      <c r="C8" s="912">
        <v>278</v>
      </c>
      <c r="D8" s="1772">
        <v>3</v>
      </c>
      <c r="E8" s="913">
        <f t="shared" si="0"/>
        <v>380</v>
      </c>
      <c r="F8" s="914">
        <f t="shared" si="1"/>
        <v>0.26052631578947366</v>
      </c>
      <c r="G8" s="915">
        <f t="shared" si="2"/>
        <v>0.73157894736842111</v>
      </c>
    </row>
    <row r="9" spans="1:12" ht="18.75">
      <c r="A9" s="1364">
        <v>2007</v>
      </c>
      <c r="B9" s="911">
        <v>154</v>
      </c>
      <c r="C9" s="912">
        <v>252</v>
      </c>
      <c r="D9" s="1772"/>
      <c r="E9" s="913">
        <f t="shared" si="0"/>
        <v>406</v>
      </c>
      <c r="F9" s="914">
        <f t="shared" si="1"/>
        <v>0.37931034482758619</v>
      </c>
      <c r="G9" s="915">
        <f t="shared" si="2"/>
        <v>0.62068965517241381</v>
      </c>
    </row>
    <row r="10" spans="1:12" ht="18.75">
      <c r="A10" s="1364">
        <v>2008</v>
      </c>
      <c r="B10" s="916">
        <v>246</v>
      </c>
      <c r="C10" s="917">
        <v>362</v>
      </c>
      <c r="D10" s="1773"/>
      <c r="E10" s="913">
        <f t="shared" si="0"/>
        <v>608</v>
      </c>
      <c r="F10" s="914">
        <f t="shared" si="1"/>
        <v>0.40460526315789475</v>
      </c>
      <c r="G10" s="915">
        <f t="shared" si="2"/>
        <v>0.59539473684210531</v>
      </c>
    </row>
    <row r="11" spans="1:12" ht="18.75">
      <c r="A11" s="1364">
        <v>2009</v>
      </c>
      <c r="B11" s="916">
        <v>258</v>
      </c>
      <c r="C11" s="917">
        <v>581</v>
      </c>
      <c r="D11" s="1773">
        <v>1</v>
      </c>
      <c r="E11" s="913">
        <f t="shared" si="0"/>
        <v>840</v>
      </c>
      <c r="F11" s="914">
        <f t="shared" si="1"/>
        <v>0.30714285714285716</v>
      </c>
      <c r="G11" s="915">
        <f t="shared" si="2"/>
        <v>0.69166666666666665</v>
      </c>
    </row>
    <row r="12" spans="1:12" ht="18.75">
      <c r="A12" s="1364">
        <v>2010</v>
      </c>
      <c r="B12" s="916">
        <v>255</v>
      </c>
      <c r="C12" s="917">
        <v>415</v>
      </c>
      <c r="D12" s="1773">
        <v>1</v>
      </c>
      <c r="E12" s="913">
        <f t="shared" si="0"/>
        <v>671</v>
      </c>
      <c r="F12" s="914">
        <f t="shared" si="1"/>
        <v>0.38002980625931443</v>
      </c>
      <c r="G12" s="915">
        <f t="shared" si="2"/>
        <v>0.61847988077496274</v>
      </c>
    </row>
    <row r="13" spans="1:12" ht="18.75">
      <c r="A13" s="1364">
        <v>2011</v>
      </c>
      <c r="B13" s="916">
        <v>369</v>
      </c>
      <c r="C13" s="917">
        <v>506</v>
      </c>
      <c r="D13" s="1773"/>
      <c r="E13" s="913">
        <f t="shared" si="0"/>
        <v>875</v>
      </c>
      <c r="F13" s="914">
        <f t="shared" si="1"/>
        <v>0.42171428571428571</v>
      </c>
      <c r="G13" s="915">
        <f t="shared" si="2"/>
        <v>0.57828571428571429</v>
      </c>
    </row>
    <row r="14" spans="1:12" ht="18.75">
      <c r="A14" s="1364">
        <v>2012</v>
      </c>
      <c r="B14" s="916">
        <v>628</v>
      </c>
      <c r="C14" s="917">
        <v>603</v>
      </c>
      <c r="D14" s="1773">
        <v>1</v>
      </c>
      <c r="E14" s="913">
        <f t="shared" si="0"/>
        <v>1232</v>
      </c>
      <c r="F14" s="914">
        <f t="shared" si="1"/>
        <v>0.50974025974025972</v>
      </c>
      <c r="G14" s="915">
        <f t="shared" si="2"/>
        <v>0.48944805194805197</v>
      </c>
    </row>
    <row r="15" spans="1:12" ht="18.75">
      <c r="A15" s="1364" t="s">
        <v>534</v>
      </c>
      <c r="B15" s="916">
        <v>1205</v>
      </c>
      <c r="C15" s="917">
        <v>659</v>
      </c>
      <c r="D15" s="1773">
        <v>8</v>
      </c>
      <c r="E15" s="913">
        <f t="shared" si="0"/>
        <v>1872</v>
      </c>
      <c r="F15" s="914">
        <f t="shared" si="1"/>
        <v>0.64369658119658124</v>
      </c>
      <c r="G15" s="915">
        <f t="shared" si="2"/>
        <v>0.35202991452991456</v>
      </c>
    </row>
    <row r="16" spans="1:12" ht="18.75">
      <c r="A16" s="1364" t="s">
        <v>541</v>
      </c>
      <c r="B16" s="916">
        <v>1005</v>
      </c>
      <c r="C16" s="917">
        <v>722</v>
      </c>
      <c r="D16" s="1773">
        <v>7</v>
      </c>
      <c r="E16" s="913">
        <f t="shared" si="0"/>
        <v>1734</v>
      </c>
      <c r="F16" s="914">
        <f t="shared" si="1"/>
        <v>0.57958477508650519</v>
      </c>
      <c r="G16" s="915">
        <f t="shared" si="2"/>
        <v>0.41637831603229525</v>
      </c>
    </row>
    <row r="17" spans="1:7" ht="18.75">
      <c r="A17" s="1364" t="s">
        <v>900</v>
      </c>
      <c r="B17" s="916">
        <v>740</v>
      </c>
      <c r="C17" s="917">
        <v>836</v>
      </c>
      <c r="D17" s="1773">
        <v>0</v>
      </c>
      <c r="E17" s="913">
        <f t="shared" si="0"/>
        <v>1576</v>
      </c>
      <c r="F17" s="914">
        <f t="shared" si="1"/>
        <v>0.46954314720812185</v>
      </c>
      <c r="G17" s="915">
        <f t="shared" si="2"/>
        <v>0.53045685279187815</v>
      </c>
    </row>
    <row r="18" spans="1:7" s="1458" customFormat="1" ht="18.75">
      <c r="A18" s="1364" t="s">
        <v>1013</v>
      </c>
      <c r="B18" s="916">
        <v>209</v>
      </c>
      <c r="C18" s="917">
        <v>269</v>
      </c>
      <c r="D18" s="1773">
        <v>0</v>
      </c>
      <c r="E18" s="913">
        <f t="shared" si="0"/>
        <v>478</v>
      </c>
      <c r="F18" s="914">
        <f t="shared" si="1"/>
        <v>0.43723849372384938</v>
      </c>
      <c r="G18" s="915">
        <f t="shared" si="2"/>
        <v>0.56276150627615062</v>
      </c>
    </row>
    <row r="19" spans="1:7" ht="18.75">
      <c r="A19" s="1363" t="s">
        <v>94</v>
      </c>
      <c r="B19" s="1370">
        <f>SUM(B5:B18)</f>
        <v>5207</v>
      </c>
      <c r="C19" s="918">
        <f>SUM(C5:C18)</f>
        <v>5751</v>
      </c>
      <c r="D19" s="1774">
        <f>SUM(D5:D18)</f>
        <v>21</v>
      </c>
      <c r="E19" s="918">
        <f>SUM(E5:E18)</f>
        <v>10979</v>
      </c>
      <c r="F19" s="918"/>
      <c r="G19" s="919"/>
    </row>
  </sheetData>
  <mergeCells count="2">
    <mergeCell ref="A1:L1"/>
    <mergeCell ref="B3:G3"/>
  </mergeCells>
  <printOptions horizontalCentered="1" verticalCentered="1"/>
  <pageMargins left="0.4" right="0.4" top="0.25" bottom="0.25" header="0.31496062992126" footer="0.31496062992126"/>
  <pageSetup scale="44"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3"/>
  <sheetViews>
    <sheetView showGridLines="0" view="pageBreakPreview" zoomScale="70" zoomScaleNormal="100" zoomScaleSheetLayoutView="70" workbookViewId="0">
      <selection activeCell="G9" sqref="G9"/>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152"/>
      <c r="B1" s="2152"/>
      <c r="C1" s="2152"/>
      <c r="D1" s="2152"/>
      <c r="E1" s="2152"/>
      <c r="F1" s="2152"/>
      <c r="G1" s="2152"/>
      <c r="H1" s="2152"/>
      <c r="I1" s="2152"/>
      <c r="J1" s="2152"/>
      <c r="K1" s="2152"/>
      <c r="L1" s="2152"/>
      <c r="M1" s="2152"/>
      <c r="N1" s="2152"/>
    </row>
    <row r="2" spans="1:14" ht="14.25" customHeight="1">
      <c r="A2" s="2221"/>
      <c r="B2" s="2221"/>
    </row>
    <row r="3" spans="1:14" ht="22.5" customHeight="1">
      <c r="A3" s="525" t="s">
        <v>469</v>
      </c>
      <c r="B3" s="828" t="s">
        <v>494</v>
      </c>
      <c r="C3" s="828" t="s">
        <v>495</v>
      </c>
      <c r="D3" s="378" t="s">
        <v>493</v>
      </c>
    </row>
    <row r="4" spans="1:14" s="210" customFormat="1" ht="18.75">
      <c r="A4" s="1268" t="s">
        <v>92</v>
      </c>
      <c r="B4" s="524">
        <v>4377.21</v>
      </c>
      <c r="C4" s="524">
        <v>9410.2900000000009</v>
      </c>
      <c r="D4" s="526">
        <v>7523.34</v>
      </c>
    </row>
    <row r="5" spans="1:14" s="210" customFormat="1" ht="18.75">
      <c r="A5" s="1268" t="s">
        <v>93</v>
      </c>
      <c r="B5" s="524">
        <v>4406.7</v>
      </c>
      <c r="C5" s="524">
        <v>10551.62</v>
      </c>
      <c r="D5" s="526">
        <v>7716.1</v>
      </c>
    </row>
    <row r="6" spans="1:14" s="210" customFormat="1" ht="18.75">
      <c r="A6" s="1268" t="s">
        <v>83</v>
      </c>
      <c r="B6" s="524">
        <v>3305.85</v>
      </c>
      <c r="C6" s="524">
        <v>7442.83</v>
      </c>
      <c r="D6" s="526">
        <v>6150.02</v>
      </c>
    </row>
    <row r="7" spans="1:14" s="210" customFormat="1" ht="18.75">
      <c r="A7" s="1268" t="s">
        <v>84</v>
      </c>
      <c r="B7" s="524">
        <v>2638.12</v>
      </c>
      <c r="C7" s="524">
        <v>6568.91</v>
      </c>
      <c r="D7" s="526">
        <v>4863.8100000000004</v>
      </c>
    </row>
    <row r="8" spans="1:14" s="210" customFormat="1" ht="18.75">
      <c r="A8" s="1268" t="s">
        <v>85</v>
      </c>
      <c r="B8" s="524">
        <v>4073.53</v>
      </c>
      <c r="C8" s="524">
        <v>8845.41</v>
      </c>
      <c r="D8" s="526">
        <v>7154.92</v>
      </c>
    </row>
    <row r="9" spans="1:14" s="210" customFormat="1" ht="18.75">
      <c r="A9" s="1268" t="s">
        <v>467</v>
      </c>
      <c r="B9" s="524">
        <v>9823.9699999999993</v>
      </c>
      <c r="C9" s="524">
        <v>30605.45</v>
      </c>
      <c r="D9" s="526">
        <v>25987.34</v>
      </c>
    </row>
    <row r="10" spans="1:14" s="210" customFormat="1" ht="18.75">
      <c r="A10" s="1268" t="s">
        <v>468</v>
      </c>
      <c r="B10" s="524">
        <v>11688.44</v>
      </c>
      <c r="C10" s="524">
        <v>23153</v>
      </c>
      <c r="D10" s="526">
        <v>17678.93</v>
      </c>
    </row>
    <row r="11" spans="1:14" s="210" customFormat="1" ht="18" customHeight="1">
      <c r="A11" s="1268" t="s">
        <v>715</v>
      </c>
      <c r="B11" s="524">
        <v>5839.19</v>
      </c>
      <c r="C11" s="524">
        <v>15247.27</v>
      </c>
      <c r="D11" s="526">
        <v>10877.82</v>
      </c>
    </row>
    <row r="12" spans="1:14" s="77" customFormat="1" ht="15.75" customHeight="1">
      <c r="A12" s="1206" t="s">
        <v>23</v>
      </c>
      <c r="B12" s="1208">
        <v>4200.3100000000004</v>
      </c>
      <c r="C12" s="1207">
        <v>9700.84</v>
      </c>
      <c r="D12" s="1207">
        <v>7456.49</v>
      </c>
    </row>
    <row r="13" spans="1:14" ht="18.75">
      <c r="A13" s="527" t="s">
        <v>997</v>
      </c>
      <c r="B13" s="528"/>
      <c r="C13" s="528"/>
      <c r="D13" s="528"/>
      <c r="F13" s="77"/>
      <c r="G13" s="77"/>
      <c r="H13" s="77"/>
      <c r="I13" s="77"/>
      <c r="J13" s="77"/>
      <c r="K13" s="77"/>
      <c r="L13" s="77"/>
      <c r="M13" s="77"/>
    </row>
  </sheetData>
  <mergeCells count="2">
    <mergeCell ref="A2:B2"/>
    <mergeCell ref="A1:N1"/>
  </mergeCells>
  <pageMargins left="0.7" right="0.7" top="0.75" bottom="0.75" header="0.3" footer="0.3"/>
  <pageSetup scale="52"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zoomScaleNormal="85" zoomScaleSheetLayoutView="100" workbookViewId="0">
      <selection activeCell="A3" sqref="A3"/>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223"/>
      <c r="B1" s="2223"/>
      <c r="C1" s="2223"/>
      <c r="D1" s="2223"/>
      <c r="E1" s="2223"/>
      <c r="F1" s="2223"/>
      <c r="G1" s="2223"/>
      <c r="H1" s="2223"/>
      <c r="I1" s="2223"/>
      <c r="J1" s="229"/>
      <c r="K1" s="229"/>
      <c r="L1" s="2222"/>
      <c r="M1" s="2222"/>
      <c r="N1" s="2222"/>
      <c r="O1" s="2222"/>
      <c r="P1" s="2222"/>
      <c r="Q1" s="2222"/>
    </row>
    <row r="2" spans="1:17" s="77" customFormat="1" ht="15.75" customHeight="1"/>
    <row r="3" spans="1:17">
      <c r="A3" s="675" t="s">
        <v>469</v>
      </c>
      <c r="B3" s="677" t="s">
        <v>180</v>
      </c>
      <c r="C3" s="678" t="s">
        <v>179</v>
      </c>
    </row>
    <row r="4" spans="1:17" ht="12.75" customHeight="1">
      <c r="A4" s="679" t="s">
        <v>92</v>
      </c>
      <c r="B4" s="1210">
        <v>11742.66</v>
      </c>
      <c r="C4" s="1211">
        <f>+'V.3.3.Pens.Disc. AFP'!D4</f>
        <v>7523.34</v>
      </c>
    </row>
    <row r="5" spans="1:17" ht="12.75" customHeight="1">
      <c r="A5" s="679" t="s">
        <v>93</v>
      </c>
      <c r="B5" s="1210">
        <v>12037.37</v>
      </c>
      <c r="C5" s="1211">
        <f>+'V.3.3.Pens.Disc. AFP'!D5</f>
        <v>7716.1</v>
      </c>
    </row>
    <row r="6" spans="1:17" ht="12.75" customHeight="1">
      <c r="A6" s="679" t="s">
        <v>83</v>
      </c>
      <c r="B6" s="1210">
        <v>9019.2999999999993</v>
      </c>
      <c r="C6" s="1211">
        <f>+'V.3.3.Pens.Disc. AFP'!D6</f>
        <v>6150.02</v>
      </c>
    </row>
    <row r="7" spans="1:17" ht="12.75" customHeight="1">
      <c r="A7" s="679" t="s">
        <v>84</v>
      </c>
      <c r="B7" s="1210">
        <v>9000.41</v>
      </c>
      <c r="C7" s="1211">
        <f>+'V.3.3.Pens.Disc. AFP'!D7</f>
        <v>4863.8100000000004</v>
      </c>
    </row>
    <row r="8" spans="1:17" ht="12.75" customHeight="1">
      <c r="A8" s="679" t="s">
        <v>85</v>
      </c>
      <c r="B8" s="1210">
        <v>10423.799999999999</v>
      </c>
      <c r="C8" s="1211">
        <f>+'V.3.3.Pens.Disc. AFP'!D8</f>
        <v>7154.92</v>
      </c>
    </row>
    <row r="9" spans="1:17" ht="12.75" customHeight="1">
      <c r="A9" s="679" t="s">
        <v>472</v>
      </c>
      <c r="B9" s="1210">
        <v>33333.160000000003</v>
      </c>
      <c r="C9" s="1211">
        <f>+'V.3.3.Pens.Disc. AFP'!D9</f>
        <v>25987.34</v>
      </c>
    </row>
    <row r="10" spans="1:17" ht="12.75" customHeight="1">
      <c r="A10" s="679" t="s">
        <v>471</v>
      </c>
      <c r="B10" s="1210">
        <v>11103.35</v>
      </c>
      <c r="C10" s="1211">
        <f>+'V.3.3.Pens.Disc. AFP'!D10</f>
        <v>17678.93</v>
      </c>
    </row>
    <row r="11" spans="1:17" ht="12.75" customHeight="1">
      <c r="A11" s="679" t="s">
        <v>470</v>
      </c>
      <c r="B11" s="1210">
        <v>9215.2800000000007</v>
      </c>
      <c r="C11" s="1211">
        <f>+'V.3.3.Pens.Disc. AFP'!D11</f>
        <v>10877.82</v>
      </c>
    </row>
    <row r="12" spans="1:17">
      <c r="A12" s="676" t="s">
        <v>487</v>
      </c>
      <c r="B12" s="833">
        <v>10731.79</v>
      </c>
      <c r="C12" s="1209">
        <f>+'V.3.3.Pens.Disc. AFP'!D12</f>
        <v>7456.49</v>
      </c>
    </row>
    <row r="13" spans="1:17">
      <c r="A13" s="920" t="s">
        <v>998</v>
      </c>
      <c r="B13" s="94"/>
    </row>
    <row r="16" spans="1:17" ht="15" customHeight="1"/>
    <row r="17" ht="15" customHeight="1"/>
    <row r="39" spans="1:52" hidden="1">
      <c r="A39" s="77"/>
      <c r="B39" s="77"/>
      <c r="C39" s="77"/>
      <c r="D39" s="77"/>
      <c r="E39" s="77"/>
      <c r="F39" s="77"/>
      <c r="G39" s="77"/>
      <c r="H39" s="77"/>
      <c r="I39" s="77"/>
      <c r="J39" s="77"/>
      <c r="K39" s="77"/>
      <c r="L39" s="77"/>
      <c r="M39" s="77"/>
      <c r="N39" s="77"/>
      <c r="O39" s="77"/>
      <c r="P39" s="226"/>
      <c r="Q39" s="226"/>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row>
    <row r="40" spans="1:52" hidden="1">
      <c r="B40" s="220" t="s">
        <v>490</v>
      </c>
      <c r="C40" s="227" t="s">
        <v>491</v>
      </c>
      <c r="D40" s="220" t="s">
        <v>490</v>
      </c>
      <c r="E40" s="227" t="s">
        <v>491</v>
      </c>
      <c r="F40" s="220" t="s">
        <v>490</v>
      </c>
      <c r="G40" s="227" t="s">
        <v>491</v>
      </c>
      <c r="H40" s="220" t="s">
        <v>490</v>
      </c>
      <c r="I40" s="227" t="s">
        <v>491</v>
      </c>
      <c r="J40" s="220" t="s">
        <v>490</v>
      </c>
      <c r="K40" s="227" t="s">
        <v>491</v>
      </c>
      <c r="L40" s="220" t="s">
        <v>490</v>
      </c>
      <c r="M40" s="227" t="s">
        <v>491</v>
      </c>
      <c r="N40" s="220" t="s">
        <v>490</v>
      </c>
      <c r="O40" s="227" t="s">
        <v>491</v>
      </c>
      <c r="P40" s="220" t="s">
        <v>490</v>
      </c>
      <c r="Q40" s="227" t="s">
        <v>491</v>
      </c>
      <c r="R40" s="220" t="s">
        <v>490</v>
      </c>
      <c r="S40" s="227" t="s">
        <v>491</v>
      </c>
      <c r="T40" s="220" t="s">
        <v>490</v>
      </c>
      <c r="U40" s="227" t="s">
        <v>491</v>
      </c>
      <c r="V40" s="220" t="s">
        <v>490</v>
      </c>
      <c r="W40" s="227" t="s">
        <v>491</v>
      </c>
      <c r="X40" s="220" t="s">
        <v>490</v>
      </c>
      <c r="Y40" s="227" t="s">
        <v>491</v>
      </c>
      <c r="Z40" s="220" t="s">
        <v>490</v>
      </c>
      <c r="AA40" s="227" t="s">
        <v>491</v>
      </c>
      <c r="AB40" s="220" t="s">
        <v>490</v>
      </c>
      <c r="AC40" s="227" t="s">
        <v>491</v>
      </c>
      <c r="AD40" s="220" t="s">
        <v>490</v>
      </c>
      <c r="AE40" s="227" t="s">
        <v>491</v>
      </c>
      <c r="AF40" s="220" t="s">
        <v>490</v>
      </c>
      <c r="AG40" s="227" t="s">
        <v>491</v>
      </c>
      <c r="AH40" s="220" t="s">
        <v>490</v>
      </c>
      <c r="AI40" s="227" t="s">
        <v>491</v>
      </c>
      <c r="AJ40" s="220" t="s">
        <v>490</v>
      </c>
      <c r="AK40" s="227" t="s">
        <v>491</v>
      </c>
      <c r="AL40" s="220" t="s">
        <v>490</v>
      </c>
      <c r="AM40" s="227" t="s">
        <v>491</v>
      </c>
      <c r="AN40" s="220" t="s">
        <v>490</v>
      </c>
      <c r="AO40" s="227" t="s">
        <v>491</v>
      </c>
      <c r="AP40" s="220" t="s">
        <v>490</v>
      </c>
      <c r="AQ40" s="227" t="s">
        <v>491</v>
      </c>
      <c r="AR40" s="220" t="s">
        <v>490</v>
      </c>
      <c r="AS40" s="227" t="s">
        <v>491</v>
      </c>
      <c r="AT40" s="220" t="s">
        <v>490</v>
      </c>
      <c r="AU40" s="227" t="s">
        <v>491</v>
      </c>
      <c r="AV40" s="220" t="s">
        <v>490</v>
      </c>
      <c r="AW40" s="227" t="s">
        <v>491</v>
      </c>
      <c r="AX40" s="220" t="s">
        <v>490</v>
      </c>
      <c r="AY40" s="227" t="s">
        <v>491</v>
      </c>
    </row>
    <row r="41" spans="1:52" hidden="1">
      <c r="A41" s="221" t="s">
        <v>469</v>
      </c>
      <c r="B41" s="220" t="s">
        <v>484</v>
      </c>
      <c r="C41" s="227" t="s">
        <v>484</v>
      </c>
      <c r="D41" s="220" t="s">
        <v>485</v>
      </c>
      <c r="E41" s="227" t="s">
        <v>485</v>
      </c>
      <c r="F41" s="220" t="s">
        <v>486</v>
      </c>
      <c r="G41" s="227" t="s">
        <v>486</v>
      </c>
      <c r="H41" s="220" t="s">
        <v>481</v>
      </c>
      <c r="I41" s="227" t="s">
        <v>481</v>
      </c>
      <c r="J41" s="220" t="s">
        <v>482</v>
      </c>
      <c r="K41" s="227" t="s">
        <v>482</v>
      </c>
      <c r="L41" s="220" t="s">
        <v>483</v>
      </c>
      <c r="M41" s="227" t="s">
        <v>483</v>
      </c>
      <c r="N41" s="220" t="s">
        <v>473</v>
      </c>
      <c r="O41" s="227" t="s">
        <v>473</v>
      </c>
      <c r="P41" s="223" t="s">
        <v>492</v>
      </c>
      <c r="Q41" s="227" t="s">
        <v>492</v>
      </c>
      <c r="R41" s="223" t="s">
        <v>474</v>
      </c>
      <c r="S41" s="227" t="s">
        <v>474</v>
      </c>
      <c r="T41" s="223" t="s">
        <v>458</v>
      </c>
      <c r="U41" s="227" t="s">
        <v>458</v>
      </c>
      <c r="V41" s="223" t="s">
        <v>475</v>
      </c>
      <c r="W41" s="227" t="s">
        <v>475</v>
      </c>
      <c r="X41" s="223" t="s">
        <v>476</v>
      </c>
      <c r="Y41" s="227" t="s">
        <v>476</v>
      </c>
      <c r="Z41" s="223" t="s">
        <v>409</v>
      </c>
      <c r="AA41" s="227" t="s">
        <v>409</v>
      </c>
      <c r="AB41" s="220" t="s">
        <v>477</v>
      </c>
      <c r="AC41" s="227" t="s">
        <v>477</v>
      </c>
      <c r="AD41" s="220" t="s">
        <v>488</v>
      </c>
      <c r="AE41" s="227" t="s">
        <v>488</v>
      </c>
      <c r="AF41" s="220" t="s">
        <v>479</v>
      </c>
      <c r="AG41" s="227" t="s">
        <v>479</v>
      </c>
      <c r="AH41" s="220" t="s">
        <v>410</v>
      </c>
      <c r="AI41" s="227" t="s">
        <v>410</v>
      </c>
      <c r="AJ41" s="220" t="s">
        <v>480</v>
      </c>
      <c r="AK41" s="227" t="s">
        <v>480</v>
      </c>
      <c r="AL41" s="220" t="s">
        <v>489</v>
      </c>
      <c r="AM41" s="227" t="s">
        <v>489</v>
      </c>
      <c r="AN41" s="220" t="s">
        <v>478</v>
      </c>
      <c r="AO41" s="227" t="s">
        <v>478</v>
      </c>
      <c r="AP41" s="220" t="s">
        <v>411</v>
      </c>
      <c r="AQ41" s="227" t="s">
        <v>411</v>
      </c>
      <c r="AR41" s="220" t="s">
        <v>408</v>
      </c>
      <c r="AS41" s="228" t="s">
        <v>408</v>
      </c>
      <c r="AT41" s="220" t="s">
        <v>443</v>
      </c>
      <c r="AU41" s="228" t="s">
        <v>443</v>
      </c>
      <c r="AV41" s="220" t="s">
        <v>444</v>
      </c>
      <c r="AW41" s="227" t="s">
        <v>444</v>
      </c>
      <c r="AX41" s="220" t="s">
        <v>459</v>
      </c>
      <c r="AY41" s="227" t="s">
        <v>459</v>
      </c>
    </row>
    <row r="42" spans="1:52" hidden="1">
      <c r="A42" s="224" t="s">
        <v>92</v>
      </c>
      <c r="B42" s="208"/>
      <c r="C42" s="208"/>
      <c r="D42" s="208"/>
      <c r="E42" s="208"/>
      <c r="F42" s="208"/>
      <c r="G42" s="208"/>
      <c r="H42" s="208"/>
      <c r="I42" s="208"/>
      <c r="J42" s="208"/>
      <c r="K42" s="208"/>
      <c r="L42" s="208"/>
      <c r="M42" s="208"/>
      <c r="N42" s="219"/>
      <c r="O42" s="219"/>
      <c r="P42" s="219"/>
      <c r="Q42" s="219"/>
      <c r="R42" s="219"/>
      <c r="S42" s="219"/>
      <c r="T42" s="219">
        <v>6862.09</v>
      </c>
      <c r="U42" s="219">
        <v>5466.02</v>
      </c>
      <c r="V42" s="219">
        <v>7008.29</v>
      </c>
      <c r="W42" s="219">
        <v>5228.53</v>
      </c>
      <c r="X42" s="219">
        <v>7052.01</v>
      </c>
      <c r="Y42" s="219">
        <v>5918.51</v>
      </c>
      <c r="Z42" s="219">
        <v>7363.3</v>
      </c>
      <c r="AA42" s="219">
        <v>5926.22</v>
      </c>
      <c r="AB42" s="219">
        <v>7444.78</v>
      </c>
      <c r="AC42" s="219">
        <v>6170.85</v>
      </c>
      <c r="AD42" s="219">
        <v>8016.05</v>
      </c>
      <c r="AE42" s="219">
        <v>6120.58</v>
      </c>
      <c r="AF42" s="219">
        <v>8107.44</v>
      </c>
      <c r="AG42" s="219">
        <v>6146.74</v>
      </c>
      <c r="AH42" s="219">
        <v>8273.11</v>
      </c>
      <c r="AI42" s="219">
        <v>6132.23</v>
      </c>
      <c r="AJ42" s="219">
        <v>8396.0499999999993</v>
      </c>
      <c r="AK42" s="219">
        <v>6292.33</v>
      </c>
      <c r="AL42" s="219">
        <v>8397.69</v>
      </c>
      <c r="AM42" s="219">
        <v>6201.63</v>
      </c>
      <c r="AN42" s="219">
        <v>8536.24</v>
      </c>
      <c r="AO42" s="219">
        <v>6198.55</v>
      </c>
      <c r="AP42" s="219">
        <v>8794.74</v>
      </c>
      <c r="AQ42" s="219">
        <v>6403.89</v>
      </c>
      <c r="AR42" s="219">
        <v>9041.9</v>
      </c>
      <c r="AS42" s="219">
        <v>6414.86</v>
      </c>
      <c r="AT42" s="219">
        <v>9043.19</v>
      </c>
      <c r="AU42" s="219">
        <v>6608.88</v>
      </c>
      <c r="AV42" s="219">
        <v>9175.3654368737461</v>
      </c>
      <c r="AW42" s="219">
        <v>6669.75</v>
      </c>
      <c r="AX42" s="219">
        <v>9235.15</v>
      </c>
      <c r="AY42" s="219">
        <v>6406.86</v>
      </c>
    </row>
    <row r="43" spans="1:52" hidden="1">
      <c r="A43" s="224" t="s">
        <v>93</v>
      </c>
      <c r="B43" s="208"/>
      <c r="C43" s="208"/>
      <c r="D43" s="208"/>
      <c r="E43" s="208"/>
      <c r="F43" s="208"/>
      <c r="G43" s="208"/>
      <c r="H43" s="208"/>
      <c r="I43" s="208"/>
      <c r="J43" s="208"/>
      <c r="K43" s="208"/>
      <c r="L43" s="208"/>
      <c r="M43" s="208"/>
      <c r="N43" s="219"/>
      <c r="O43" s="219"/>
      <c r="P43" s="219"/>
      <c r="Q43" s="219"/>
      <c r="R43" s="219"/>
      <c r="S43" s="219"/>
      <c r="T43" s="219">
        <v>7929.91</v>
      </c>
      <c r="U43" s="219">
        <v>8646.26</v>
      </c>
      <c r="V43" s="219">
        <v>7950.08</v>
      </c>
      <c r="W43" s="219">
        <v>8620.76</v>
      </c>
      <c r="X43" s="219">
        <v>8356.56</v>
      </c>
      <c r="Y43" s="219">
        <v>8685.5</v>
      </c>
      <c r="Z43" s="219">
        <v>7387.96</v>
      </c>
      <c r="AA43" s="219">
        <v>8934.6200000000008</v>
      </c>
      <c r="AB43" s="219">
        <v>7167.07</v>
      </c>
      <c r="AC43" s="219">
        <v>8801.31</v>
      </c>
      <c r="AD43" s="219">
        <v>7605.92</v>
      </c>
      <c r="AE43" s="219">
        <v>8570.25</v>
      </c>
      <c r="AF43" s="219">
        <v>7932.06</v>
      </c>
      <c r="AG43" s="219">
        <v>7801.78</v>
      </c>
      <c r="AH43" s="219">
        <v>7954.11</v>
      </c>
      <c r="AI43" s="219">
        <v>8209.52</v>
      </c>
      <c r="AJ43" s="219">
        <v>8082.35</v>
      </c>
      <c r="AK43" s="219">
        <v>7899.34</v>
      </c>
      <c r="AL43" s="219">
        <v>8597.8700000000008</v>
      </c>
      <c r="AM43" s="219">
        <v>7804.42</v>
      </c>
      <c r="AN43" s="219">
        <v>8651.5499999999993</v>
      </c>
      <c r="AO43" s="219">
        <v>7878.08</v>
      </c>
      <c r="AP43" s="219">
        <v>9077.81</v>
      </c>
      <c r="AQ43" s="219">
        <v>7627.54</v>
      </c>
      <c r="AR43" s="219">
        <v>9163.0499999999993</v>
      </c>
      <c r="AS43" s="219">
        <v>7088.11</v>
      </c>
      <c r="AT43" s="219">
        <v>9184.4599999999991</v>
      </c>
      <c r="AU43" s="219">
        <v>6909.23</v>
      </c>
      <c r="AV43" s="219">
        <v>9212.4380608695701</v>
      </c>
      <c r="AW43" s="219">
        <v>6792.19</v>
      </c>
      <c r="AX43" s="219">
        <v>9340.68</v>
      </c>
      <c r="AY43" s="219">
        <v>6846.92</v>
      </c>
    </row>
    <row r="44" spans="1:52" hidden="1">
      <c r="A44" s="224" t="s">
        <v>83</v>
      </c>
      <c r="B44" s="208"/>
      <c r="C44" s="208"/>
      <c r="D44" s="208"/>
      <c r="E44" s="208"/>
      <c r="F44" s="208"/>
      <c r="G44" s="208"/>
      <c r="H44" s="208"/>
      <c r="I44" s="208"/>
      <c r="J44" s="208"/>
      <c r="K44" s="208"/>
      <c r="L44" s="208"/>
      <c r="M44" s="208"/>
      <c r="N44" s="219"/>
      <c r="O44" s="219"/>
      <c r="P44" s="219"/>
      <c r="Q44" s="219"/>
      <c r="R44" s="219"/>
      <c r="S44" s="219"/>
      <c r="T44" s="219">
        <v>5859.75</v>
      </c>
      <c r="U44" s="219">
        <v>3835.19</v>
      </c>
      <c r="V44" s="219">
        <v>5772.78</v>
      </c>
      <c r="W44" s="219">
        <v>3708.91</v>
      </c>
      <c r="X44" s="219">
        <v>5637.4</v>
      </c>
      <c r="Y44" s="219">
        <v>3907.57</v>
      </c>
      <c r="Z44" s="219">
        <v>5637.4</v>
      </c>
      <c r="AA44" s="219">
        <v>3924.68</v>
      </c>
      <c r="AB44" s="219">
        <v>5621.6</v>
      </c>
      <c r="AC44" s="219">
        <v>3924.68</v>
      </c>
      <c r="AD44" s="219">
        <v>5924.07</v>
      </c>
      <c r="AE44" s="219">
        <v>4047.55</v>
      </c>
      <c r="AF44" s="219">
        <v>5948.37</v>
      </c>
      <c r="AG44" s="219">
        <v>4047.55</v>
      </c>
      <c r="AH44" s="219">
        <v>5880.94</v>
      </c>
      <c r="AI44" s="219">
        <v>4135.4399999999996</v>
      </c>
      <c r="AJ44" s="219">
        <v>5799.6</v>
      </c>
      <c r="AK44" s="219">
        <v>4156.57</v>
      </c>
      <c r="AL44" s="219">
        <v>5757.81</v>
      </c>
      <c r="AM44" s="219">
        <v>4156.57</v>
      </c>
      <c r="AN44" s="219">
        <v>5750.14</v>
      </c>
      <c r="AO44" s="219">
        <v>4156.57</v>
      </c>
      <c r="AP44" s="219">
        <v>5747.2</v>
      </c>
      <c r="AQ44" s="219">
        <v>4259.95</v>
      </c>
      <c r="AR44" s="219">
        <v>5751.11</v>
      </c>
      <c r="AS44" s="219">
        <v>4250.91</v>
      </c>
      <c r="AT44" s="219">
        <v>5751.11</v>
      </c>
      <c r="AU44" s="219">
        <v>4219.03</v>
      </c>
      <c r="AV44" s="219">
        <v>5792.1264186046501</v>
      </c>
      <c r="AW44" s="219">
        <v>4391.16</v>
      </c>
      <c r="AX44" s="219">
        <v>5947.33</v>
      </c>
      <c r="AY44" s="219">
        <v>4233.6099999999997</v>
      </c>
    </row>
    <row r="45" spans="1:52" hidden="1">
      <c r="A45" s="224" t="s">
        <v>84</v>
      </c>
      <c r="B45" s="208"/>
      <c r="C45" s="208"/>
      <c r="D45" s="208"/>
      <c r="E45" s="208"/>
      <c r="F45" s="208"/>
      <c r="G45" s="208"/>
      <c r="H45" s="208"/>
      <c r="I45" s="208"/>
      <c r="J45" s="208"/>
      <c r="K45" s="208"/>
      <c r="L45" s="208"/>
      <c r="M45" s="208"/>
      <c r="N45" s="219"/>
      <c r="O45" s="219"/>
      <c r="P45" s="219"/>
      <c r="Q45" s="219"/>
      <c r="R45" s="219"/>
      <c r="S45" s="219"/>
      <c r="T45" s="219">
        <v>5442.78</v>
      </c>
      <c r="U45" s="219">
        <v>4647.8999999999996</v>
      </c>
      <c r="V45" s="219">
        <v>5543.16</v>
      </c>
      <c r="W45" s="219">
        <v>4678.74</v>
      </c>
      <c r="X45" s="219">
        <v>5851.72</v>
      </c>
      <c r="Y45" s="219">
        <v>4601.21</v>
      </c>
      <c r="Z45" s="219">
        <v>6156.5</v>
      </c>
      <c r="AA45" s="219">
        <v>4762.3599999999997</v>
      </c>
      <c r="AB45" s="219">
        <v>6277.06</v>
      </c>
      <c r="AC45" s="219">
        <v>4771.51</v>
      </c>
      <c r="AD45" s="219">
        <v>6616.3</v>
      </c>
      <c r="AE45" s="219">
        <v>4848.12</v>
      </c>
      <c r="AF45" s="219">
        <v>6903.37</v>
      </c>
      <c r="AG45" s="219">
        <v>4657.3999999999996</v>
      </c>
      <c r="AH45" s="219">
        <v>6947.49</v>
      </c>
      <c r="AI45" s="219">
        <v>4735.88</v>
      </c>
      <c r="AJ45" s="219">
        <v>7000.61</v>
      </c>
      <c r="AK45" s="219">
        <v>4647.45</v>
      </c>
      <c r="AL45" s="219">
        <v>6898.94</v>
      </c>
      <c r="AM45" s="219">
        <v>4870.25</v>
      </c>
      <c r="AN45" s="219">
        <v>7103.36</v>
      </c>
      <c r="AO45" s="219">
        <v>4741.6499999999996</v>
      </c>
      <c r="AP45" s="219">
        <v>7241.35</v>
      </c>
      <c r="AQ45" s="219">
        <v>4923.1499999999996</v>
      </c>
      <c r="AR45" s="219">
        <v>7199.1</v>
      </c>
      <c r="AS45" s="219">
        <v>5048.2</v>
      </c>
      <c r="AT45" s="219">
        <v>7225</v>
      </c>
      <c r="AU45" s="219">
        <v>4876.26</v>
      </c>
      <c r="AV45" s="219">
        <v>7286.1333393316263</v>
      </c>
      <c r="AW45" s="219">
        <v>4573.1499999999996</v>
      </c>
      <c r="AX45" s="219">
        <v>7343.02</v>
      </c>
      <c r="AY45" s="219">
        <v>4591.4799999999996</v>
      </c>
    </row>
    <row r="46" spans="1:52" hidden="1">
      <c r="A46" s="224" t="s">
        <v>85</v>
      </c>
      <c r="B46" s="208"/>
      <c r="C46" s="208"/>
      <c r="D46" s="208"/>
      <c r="E46" s="208"/>
      <c r="F46" s="208"/>
      <c r="G46" s="208"/>
      <c r="H46" s="208"/>
      <c r="I46" s="208"/>
      <c r="J46" s="208"/>
      <c r="K46" s="208"/>
      <c r="L46" s="208"/>
      <c r="M46" s="208"/>
      <c r="N46" s="219"/>
      <c r="O46" s="219"/>
      <c r="P46" s="219"/>
      <c r="Q46" s="219"/>
      <c r="R46" s="219"/>
      <c r="S46" s="219"/>
      <c r="T46" s="219">
        <v>7737.92</v>
      </c>
      <c r="U46" s="219">
        <v>4975.3599999999997</v>
      </c>
      <c r="V46" s="219">
        <v>7556.01</v>
      </c>
      <c r="W46" s="219">
        <v>4839.3900000000003</v>
      </c>
      <c r="X46" s="219">
        <v>8023.03</v>
      </c>
      <c r="Y46" s="219">
        <v>4857.47</v>
      </c>
      <c r="Z46" s="219">
        <v>8162.58</v>
      </c>
      <c r="AA46" s="219">
        <v>4880.67</v>
      </c>
      <c r="AB46" s="219">
        <v>8215.75</v>
      </c>
      <c r="AC46" s="219">
        <v>4789.3999999999996</v>
      </c>
      <c r="AD46" s="219">
        <v>8479.8700000000008</v>
      </c>
      <c r="AE46" s="219">
        <v>5053.18</v>
      </c>
      <c r="AF46" s="219">
        <v>8604.0400000000009</v>
      </c>
      <c r="AG46" s="219">
        <v>5474.87</v>
      </c>
      <c r="AH46" s="219">
        <v>8546.8799999999992</v>
      </c>
      <c r="AI46" s="219">
        <v>5886.59</v>
      </c>
      <c r="AJ46" s="219">
        <v>8956.7800000000007</v>
      </c>
      <c r="AK46" s="219">
        <v>6393.64</v>
      </c>
      <c r="AL46" s="219">
        <v>8870.9</v>
      </c>
      <c r="AM46" s="219">
        <v>6275.25</v>
      </c>
      <c r="AN46" s="219">
        <v>8875.48</v>
      </c>
      <c r="AO46" s="219">
        <v>6178.67</v>
      </c>
      <c r="AP46" s="219">
        <v>8828.32</v>
      </c>
      <c r="AQ46" s="219">
        <v>6680.66</v>
      </c>
      <c r="AR46" s="219">
        <v>9012.27</v>
      </c>
      <c r="AS46" s="219">
        <v>6702.19</v>
      </c>
      <c r="AT46" s="219">
        <v>9064.69</v>
      </c>
      <c r="AU46" s="219">
        <v>6849.44</v>
      </c>
      <c r="AV46" s="219">
        <v>9110.6958030384922</v>
      </c>
      <c r="AW46" s="219">
        <v>7083</v>
      </c>
      <c r="AX46" s="219">
        <v>8980.09</v>
      </c>
      <c r="AY46" s="219">
        <v>6899.91</v>
      </c>
    </row>
    <row r="47" spans="1:52" hidden="1">
      <c r="A47" s="224" t="s">
        <v>472</v>
      </c>
      <c r="B47" s="208"/>
      <c r="C47" s="208"/>
      <c r="D47" s="208"/>
      <c r="E47" s="208"/>
      <c r="F47" s="208"/>
      <c r="G47" s="208"/>
      <c r="H47" s="208"/>
      <c r="I47" s="208"/>
      <c r="J47" s="208"/>
      <c r="K47" s="208"/>
      <c r="L47" s="208"/>
      <c r="M47" s="208"/>
      <c r="N47" s="219"/>
      <c r="O47" s="219"/>
      <c r="P47" s="219"/>
      <c r="Q47" s="219"/>
      <c r="R47" s="219"/>
      <c r="S47" s="219"/>
      <c r="T47" s="219">
        <v>11769.89</v>
      </c>
      <c r="U47" s="219">
        <v>16056.01</v>
      </c>
      <c r="V47" s="219">
        <v>11769.89</v>
      </c>
      <c r="W47" s="219">
        <v>16056.01</v>
      </c>
      <c r="X47" s="219">
        <v>11769.89</v>
      </c>
      <c r="Y47" s="219">
        <v>15831.22</v>
      </c>
      <c r="Z47" s="219">
        <v>11769.89</v>
      </c>
      <c r="AA47" s="219">
        <v>15831.22</v>
      </c>
      <c r="AB47" s="219">
        <v>11769.89</v>
      </c>
      <c r="AC47" s="219">
        <v>15831.22</v>
      </c>
      <c r="AD47" s="219">
        <v>11769.89</v>
      </c>
      <c r="AE47" s="219">
        <v>15523.18</v>
      </c>
      <c r="AF47" s="219">
        <v>11769.89</v>
      </c>
      <c r="AG47" s="219">
        <v>14890.42</v>
      </c>
      <c r="AH47" s="219">
        <v>11769.89</v>
      </c>
      <c r="AI47" s="219">
        <v>15887.88</v>
      </c>
      <c r="AJ47" s="219">
        <v>11769.89</v>
      </c>
      <c r="AK47" s="219">
        <v>15924.06</v>
      </c>
      <c r="AL47" s="219">
        <v>11769.89</v>
      </c>
      <c r="AM47" s="219">
        <v>15636.54</v>
      </c>
      <c r="AN47" s="219">
        <v>11769.89</v>
      </c>
      <c r="AO47" s="219">
        <v>15636.54</v>
      </c>
      <c r="AP47" s="219">
        <v>11769.89</v>
      </c>
      <c r="AQ47" s="219">
        <v>15636.54</v>
      </c>
      <c r="AR47" s="219">
        <v>11769.89</v>
      </c>
      <c r="AS47" s="219">
        <v>15163.84</v>
      </c>
      <c r="AT47" s="219">
        <v>11769.89</v>
      </c>
      <c r="AU47" s="219">
        <v>15164</v>
      </c>
      <c r="AV47" s="219">
        <v>11769.886500000001</v>
      </c>
      <c r="AW47" s="219">
        <v>15909.84</v>
      </c>
      <c r="AX47" s="219">
        <v>11769.89</v>
      </c>
      <c r="AY47" s="219">
        <v>17050.05</v>
      </c>
    </row>
    <row r="48" spans="1:52" hidden="1">
      <c r="A48" s="224" t="s">
        <v>471</v>
      </c>
      <c r="B48" s="208"/>
      <c r="C48" s="208"/>
      <c r="D48" s="208"/>
      <c r="E48" s="208"/>
      <c r="F48" s="208"/>
      <c r="G48" s="208"/>
      <c r="H48" s="208"/>
      <c r="I48" s="208"/>
      <c r="J48" s="208"/>
      <c r="K48" s="208"/>
      <c r="L48" s="208"/>
      <c r="M48" s="208"/>
      <c r="N48" s="219"/>
      <c r="O48" s="219"/>
      <c r="P48" s="219"/>
      <c r="Q48" s="219"/>
      <c r="R48" s="219"/>
      <c r="S48" s="219"/>
      <c r="T48" s="219">
        <v>7560.59</v>
      </c>
      <c r="U48" s="219">
        <v>12398.75</v>
      </c>
      <c r="V48" s="219">
        <v>7560.59</v>
      </c>
      <c r="W48" s="219">
        <v>12393.77</v>
      </c>
      <c r="X48" s="219">
        <v>7560.59</v>
      </c>
      <c r="Y48" s="219">
        <v>12213.89</v>
      </c>
      <c r="Z48" s="219">
        <v>7560.59</v>
      </c>
      <c r="AA48" s="219">
        <v>11828.81</v>
      </c>
      <c r="AB48" s="219">
        <v>7560.59</v>
      </c>
      <c r="AC48" s="219">
        <v>11894.8</v>
      </c>
      <c r="AD48" s="219">
        <v>7700.59</v>
      </c>
      <c r="AE48" s="219">
        <v>12010.3</v>
      </c>
      <c r="AF48" s="219">
        <v>7700.59</v>
      </c>
      <c r="AG48" s="219">
        <v>12010.3</v>
      </c>
      <c r="AH48" s="219">
        <v>7700.59</v>
      </c>
      <c r="AI48" s="219">
        <v>12463.26</v>
      </c>
      <c r="AJ48" s="219">
        <v>7754.88</v>
      </c>
      <c r="AK48" s="219">
        <v>12780.97</v>
      </c>
      <c r="AL48" s="219">
        <v>7754.88</v>
      </c>
      <c r="AM48" s="219">
        <v>13378.29</v>
      </c>
      <c r="AN48" s="219">
        <v>7754.88</v>
      </c>
      <c r="AO48" s="219">
        <v>13629.1</v>
      </c>
      <c r="AP48" s="219">
        <v>7754.88</v>
      </c>
      <c r="AQ48" s="219">
        <v>13753.57</v>
      </c>
      <c r="AR48" s="219">
        <v>7754.88</v>
      </c>
      <c r="AS48" s="219">
        <v>13753.57</v>
      </c>
      <c r="AT48" s="219">
        <v>7754.88</v>
      </c>
      <c r="AU48" s="219">
        <v>13774.79</v>
      </c>
      <c r="AV48" s="219">
        <v>7754.8792499999981</v>
      </c>
      <c r="AW48" s="219">
        <v>14384.28</v>
      </c>
      <c r="AX48" s="219">
        <v>7754.88</v>
      </c>
      <c r="AY48" s="219">
        <v>13455</v>
      </c>
      <c r="AZ48" s="77"/>
    </row>
    <row r="49" spans="1:52" hidden="1">
      <c r="A49" s="224" t="s">
        <v>470</v>
      </c>
      <c r="B49" s="208"/>
      <c r="C49" s="208"/>
      <c r="D49" s="208"/>
      <c r="E49" s="208"/>
      <c r="F49" s="208"/>
      <c r="G49" s="208"/>
      <c r="H49" s="208"/>
      <c r="I49" s="208"/>
      <c r="J49" s="208"/>
      <c r="K49" s="208"/>
      <c r="L49" s="208"/>
      <c r="M49" s="208"/>
      <c r="N49" s="219"/>
      <c r="O49" s="219"/>
      <c r="P49" s="219"/>
      <c r="Q49" s="219"/>
      <c r="R49" s="219"/>
      <c r="S49" s="219"/>
      <c r="T49" s="219">
        <v>0</v>
      </c>
      <c r="U49" s="219">
        <v>0</v>
      </c>
      <c r="V49" s="219">
        <v>0</v>
      </c>
      <c r="W49" s="219">
        <v>0</v>
      </c>
      <c r="X49" s="219">
        <v>6522.62</v>
      </c>
      <c r="Y49" s="219">
        <v>9328.01</v>
      </c>
      <c r="Z49" s="219">
        <v>6653.12</v>
      </c>
      <c r="AA49" s="219">
        <v>9328.01</v>
      </c>
      <c r="AB49" s="219">
        <v>9215.2800000000007</v>
      </c>
      <c r="AC49" s="219">
        <v>9328.01</v>
      </c>
      <c r="AD49" s="219">
        <v>9215.2800000000007</v>
      </c>
      <c r="AE49" s="219">
        <v>9328.01</v>
      </c>
      <c r="AF49" s="219">
        <v>9215.2800000000007</v>
      </c>
      <c r="AG49" s="219">
        <v>9328.01</v>
      </c>
      <c r="AH49" s="219">
        <v>9215.2800000000007</v>
      </c>
      <c r="AI49" s="219">
        <v>9323.01</v>
      </c>
      <c r="AJ49" s="219">
        <v>9215.2800000000007</v>
      </c>
      <c r="AK49" s="219">
        <v>9328.01</v>
      </c>
      <c r="AL49" s="219">
        <v>9215.2800000000007</v>
      </c>
      <c r="AM49" s="219">
        <v>9328.01</v>
      </c>
      <c r="AN49" s="219">
        <v>9215.2800000000007</v>
      </c>
      <c r="AO49" s="219">
        <v>9328.01</v>
      </c>
      <c r="AP49" s="219">
        <v>9215.2800000000007</v>
      </c>
      <c r="AQ49" s="219">
        <v>9328.01</v>
      </c>
      <c r="AR49" s="219">
        <v>9215.2800000000007</v>
      </c>
      <c r="AS49" s="219">
        <v>9328.01</v>
      </c>
      <c r="AT49" s="219">
        <v>9215.2800000000007</v>
      </c>
      <c r="AU49" s="219">
        <v>9328.01</v>
      </c>
      <c r="AV49" s="219">
        <v>9215.2796732026145</v>
      </c>
      <c r="AW49" s="219">
        <v>9328.01</v>
      </c>
      <c r="AX49" s="219">
        <v>9215.2800000000007</v>
      </c>
      <c r="AY49" s="219">
        <v>9328.01</v>
      </c>
      <c r="AZ49" s="77"/>
    </row>
    <row r="50" spans="1:52" hidden="1">
      <c r="A50" s="225" t="s">
        <v>487</v>
      </c>
      <c r="B50" s="225"/>
      <c r="C50" s="222"/>
      <c r="D50" s="222"/>
      <c r="E50" s="222"/>
      <c r="F50" s="222"/>
      <c r="G50" s="222"/>
      <c r="H50" s="222"/>
      <c r="I50" s="222"/>
      <c r="J50" s="222"/>
      <c r="K50" s="222"/>
      <c r="L50" s="222"/>
      <c r="M50" s="222"/>
      <c r="N50" s="222"/>
      <c r="O50" s="222"/>
      <c r="P50" s="222"/>
      <c r="Q50" s="222"/>
      <c r="R50" s="222"/>
      <c r="S50" s="222"/>
      <c r="T50" s="222">
        <v>6772.71</v>
      </c>
      <c r="U50" s="222">
        <v>6221.8</v>
      </c>
      <c r="V50" s="222">
        <v>6809.68</v>
      </c>
      <c r="W50" s="222">
        <v>6102.92</v>
      </c>
      <c r="X50" s="222">
        <v>6986.6</v>
      </c>
      <c r="Y50" s="222">
        <v>6348.14</v>
      </c>
      <c r="Z50" s="222">
        <v>6912.11</v>
      </c>
      <c r="AA50" s="222">
        <v>6449.89</v>
      </c>
      <c r="AB50" s="222">
        <v>7152.46</v>
      </c>
      <c r="AC50" s="222">
        <v>6517.75</v>
      </c>
      <c r="AD50" s="222">
        <v>7716.41</v>
      </c>
      <c r="AE50" s="222">
        <v>6523.25</v>
      </c>
      <c r="AF50" s="222">
        <v>7872.32</v>
      </c>
      <c r="AG50" s="222">
        <v>6456.67</v>
      </c>
      <c r="AH50" s="222">
        <v>7915.13</v>
      </c>
      <c r="AI50" s="222">
        <v>6616.09</v>
      </c>
      <c r="AJ50" s="222">
        <v>9051.5</v>
      </c>
      <c r="AK50" s="222">
        <v>6748.78</v>
      </c>
      <c r="AL50" s="222">
        <v>8072.43</v>
      </c>
      <c r="AM50" s="222">
        <v>6713.99</v>
      </c>
      <c r="AN50" s="222">
        <v>8172.25</v>
      </c>
      <c r="AO50" s="222">
        <v>6648.35</v>
      </c>
      <c r="AP50" s="222">
        <v>8337.76</v>
      </c>
      <c r="AQ50" s="222">
        <v>6795.41</v>
      </c>
      <c r="AR50" s="222">
        <v>8459.01</v>
      </c>
      <c r="AS50" s="222">
        <v>6714.26</v>
      </c>
      <c r="AT50" s="222">
        <v>8485.99</v>
      </c>
      <c r="AU50" s="222">
        <v>6751.74</v>
      </c>
      <c r="AV50" s="222">
        <v>8564.9457267858488</v>
      </c>
      <c r="AW50" s="222">
        <v>6680.37</v>
      </c>
      <c r="AX50" s="222">
        <v>8594.56</v>
      </c>
      <c r="AY50" s="222">
        <v>6539.13</v>
      </c>
      <c r="AZ50" s="77"/>
    </row>
    <row r="51" spans="1:52" hidden="1">
      <c r="AK51" s="77"/>
      <c r="AV51" s="77"/>
    </row>
    <row r="52" spans="1:52" hidden="1"/>
  </sheetData>
  <mergeCells count="2">
    <mergeCell ref="L1:Q1"/>
    <mergeCell ref="A1:I1"/>
  </mergeCells>
  <pageMargins left="0.7" right="0.7" top="0.75" bottom="0.75" header="0.3" footer="0.3"/>
  <pageSetup scale="8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85" zoomScaleNormal="100" zoomScaleSheetLayoutView="85" workbookViewId="0">
      <selection activeCell="P34" sqref="P34"/>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8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Q49"/>
  <sheetViews>
    <sheetView showGridLines="0" view="pageBreakPreview" zoomScaleNormal="85" zoomScaleSheetLayoutView="100" workbookViewId="0">
      <selection activeCell="O30" sqref="O30"/>
    </sheetView>
  </sheetViews>
  <sheetFormatPr baseColWidth="10" defaultColWidth="11.42578125" defaultRowHeight="15"/>
  <cols>
    <col min="1" max="6" width="11.42578125" style="77"/>
    <col min="7" max="7" width="9.42578125" style="77" customWidth="1"/>
    <col min="8" max="17" width="11.42578125" style="77"/>
    <col min="18" max="18" width="17.85546875" style="77" customWidth="1"/>
    <col min="19" max="16384" width="11.42578125" style="77"/>
  </cols>
  <sheetData>
    <row r="4" ht="15.75" customHeight="1"/>
    <row r="17" spans="15:16">
      <c r="P17" s="156"/>
    </row>
    <row r="18" spans="15:16">
      <c r="P18" s="156"/>
    </row>
    <row r="19" spans="15:16">
      <c r="P19" s="156"/>
    </row>
    <row r="20" spans="15:16">
      <c r="P20" s="156"/>
    </row>
    <row r="21" spans="15:16">
      <c r="P21" s="156"/>
    </row>
    <row r="22" spans="15:16">
      <c r="P22" s="156"/>
    </row>
    <row r="23" spans="15:16">
      <c r="O23" s="268"/>
      <c r="P23" s="156"/>
    </row>
    <row r="24" spans="15:16">
      <c r="P24" s="156"/>
    </row>
    <row r="25" spans="15:16" ht="43.5" customHeight="1">
      <c r="P25" s="144"/>
    </row>
    <row r="32" spans="15:16">
      <c r="O32" s="173"/>
    </row>
    <row r="33" spans="11:17">
      <c r="Q33" s="173"/>
    </row>
    <row r="35" spans="11:17">
      <c r="O35" s="268"/>
    </row>
    <row r="36" spans="11:17">
      <c r="Q36" s="173"/>
    </row>
    <row r="38" spans="11:17">
      <c r="O38" s="268"/>
    </row>
    <row r="40" spans="11:17">
      <c r="P40" s="156"/>
    </row>
    <row r="41" spans="11:17">
      <c r="P41" s="156"/>
    </row>
    <row r="46" spans="11:17">
      <c r="K46" s="268"/>
      <c r="O46" s="268"/>
    </row>
    <row r="47" spans="11:17">
      <c r="K47" s="268"/>
    </row>
    <row r="49" spans="8:8">
      <c r="H49" s="144"/>
    </row>
  </sheetData>
  <pageMargins left="0.7" right="0.7" top="0.75" bottom="0.75" header="0.3" footer="0.3"/>
  <pageSetup scale="77"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L51"/>
  <sheetViews>
    <sheetView showGridLines="0" view="pageBreakPreview" zoomScale="85" zoomScaleNormal="100" zoomScaleSheetLayoutView="85" workbookViewId="0">
      <selection activeCell="A3" sqref="A3"/>
    </sheetView>
  </sheetViews>
  <sheetFormatPr baseColWidth="10" defaultColWidth="11.42578125" defaultRowHeight="15"/>
  <cols>
    <col min="1" max="1" width="15.5703125" style="39" customWidth="1"/>
    <col min="2" max="2" width="16.7109375" style="187" customWidth="1"/>
    <col min="3" max="3" width="18.7109375" style="187" customWidth="1"/>
    <col min="4" max="4" width="13.85546875" style="187" customWidth="1"/>
    <col min="5" max="5" width="15.5703125" style="187" customWidth="1"/>
    <col min="6" max="6" width="18.5703125" style="187" customWidth="1"/>
    <col min="7" max="7" width="18.28515625" style="39" customWidth="1"/>
    <col min="8" max="8" width="32.85546875" style="39" customWidth="1"/>
    <col min="9" max="9" width="18.42578125" style="39" customWidth="1"/>
    <col min="10" max="10" width="13.7109375" style="39" customWidth="1"/>
    <col min="11" max="11" width="3.7109375" style="39" customWidth="1"/>
    <col min="12" max="16384" width="11.42578125" style="39"/>
  </cols>
  <sheetData>
    <row r="1" spans="1:12" s="77" customFormat="1" ht="66" customHeight="1">
      <c r="A1" s="2116"/>
      <c r="B1" s="2116"/>
      <c r="C1" s="2116"/>
      <c r="D1" s="2116"/>
      <c r="E1" s="2116"/>
      <c r="F1" s="2116"/>
      <c r="G1" s="2116"/>
      <c r="H1" s="2116"/>
      <c r="I1" s="2116"/>
      <c r="J1" s="2116"/>
    </row>
    <row r="2" spans="1:12" s="77" customFormat="1" ht="4.5" customHeight="1">
      <c r="B2" s="1971"/>
      <c r="C2" s="1971"/>
      <c r="D2" s="1971"/>
      <c r="E2" s="1971"/>
      <c r="F2" s="1971"/>
    </row>
    <row r="3" spans="1:12" s="77" customFormat="1" ht="36.75" customHeight="1">
      <c r="A3" s="604" t="s">
        <v>239</v>
      </c>
      <c r="B3" s="618" t="s">
        <v>398</v>
      </c>
      <c r="C3" s="618" t="s">
        <v>238</v>
      </c>
      <c r="D3" s="604" t="s">
        <v>130</v>
      </c>
      <c r="E3" s="618" t="s">
        <v>237</v>
      </c>
      <c r="F3" s="619" t="s">
        <v>403</v>
      </c>
    </row>
    <row r="4" spans="1:12" s="77" customFormat="1" ht="15.75">
      <c r="A4" s="2034">
        <v>2005</v>
      </c>
      <c r="B4" s="155">
        <v>3719</v>
      </c>
      <c r="C4" s="155">
        <v>12</v>
      </c>
      <c r="D4" s="1983">
        <f t="shared" ref="D4:D14" si="0">+C4+B4</f>
        <v>3731</v>
      </c>
      <c r="E4" s="1979">
        <f t="shared" ref="E4:E15" si="1">B4/D4</f>
        <v>0.99678370410077732</v>
      </c>
      <c r="F4" s="1980">
        <f t="shared" ref="F4:F10" si="2">C4/D4</f>
        <v>3.2162958992227285E-3</v>
      </c>
      <c r="L4" s="173"/>
    </row>
    <row r="5" spans="1:12" s="77" customFormat="1" ht="15.75">
      <c r="A5" s="620">
        <v>2006</v>
      </c>
      <c r="B5" s="155">
        <v>5483</v>
      </c>
      <c r="C5" s="155">
        <v>52</v>
      </c>
      <c r="D5" s="1983">
        <f t="shared" si="0"/>
        <v>5535</v>
      </c>
      <c r="E5" s="1979">
        <f t="shared" si="1"/>
        <v>0.9906052393857272</v>
      </c>
      <c r="F5" s="1980">
        <f t="shared" si="2"/>
        <v>9.39476061427281E-3</v>
      </c>
      <c r="G5" s="1458"/>
      <c r="L5" s="173"/>
    </row>
    <row r="6" spans="1:12" s="77" customFormat="1" ht="15.75">
      <c r="A6" s="2034">
        <v>2007</v>
      </c>
      <c r="B6" s="155">
        <v>8459</v>
      </c>
      <c r="C6" s="155">
        <v>85</v>
      </c>
      <c r="D6" s="1983">
        <f t="shared" si="0"/>
        <v>8544</v>
      </c>
      <c r="E6" s="1979">
        <f t="shared" si="1"/>
        <v>0.99005149812734083</v>
      </c>
      <c r="F6" s="1980">
        <f t="shared" si="2"/>
        <v>9.948501872659176E-3</v>
      </c>
      <c r="G6" s="1458"/>
      <c r="L6" s="173"/>
    </row>
    <row r="7" spans="1:12" s="77" customFormat="1" ht="15.75">
      <c r="A7" s="620">
        <v>2008</v>
      </c>
      <c r="B7" s="155">
        <v>10873</v>
      </c>
      <c r="C7" s="155">
        <v>104</v>
      </c>
      <c r="D7" s="1983">
        <f t="shared" si="0"/>
        <v>10977</v>
      </c>
      <c r="E7" s="1979">
        <f t="shared" si="1"/>
        <v>0.99052564452947067</v>
      </c>
      <c r="F7" s="1980">
        <f t="shared" si="2"/>
        <v>9.4743554705292877E-3</v>
      </c>
      <c r="G7" s="1458"/>
      <c r="L7" s="173"/>
    </row>
    <row r="8" spans="1:12" s="77" customFormat="1" ht="15.75">
      <c r="A8" s="2034">
        <v>2009</v>
      </c>
      <c r="B8" s="155">
        <v>14386</v>
      </c>
      <c r="C8" s="155">
        <v>297</v>
      </c>
      <c r="D8" s="1983">
        <f t="shared" si="0"/>
        <v>14683</v>
      </c>
      <c r="E8" s="1979">
        <f t="shared" si="1"/>
        <v>0.97977252605053466</v>
      </c>
      <c r="F8" s="1980">
        <f t="shared" si="2"/>
        <v>2.0227473949465367E-2</v>
      </c>
      <c r="G8" s="1458"/>
      <c r="L8" s="173"/>
    </row>
    <row r="9" spans="1:12" s="77" customFormat="1" ht="15.75">
      <c r="A9" s="620">
        <v>2010</v>
      </c>
      <c r="B9" s="155">
        <v>17051</v>
      </c>
      <c r="C9" s="155">
        <v>405</v>
      </c>
      <c r="D9" s="1983">
        <f t="shared" si="0"/>
        <v>17456</v>
      </c>
      <c r="E9" s="1979">
        <f t="shared" si="1"/>
        <v>0.97679880843263056</v>
      </c>
      <c r="F9" s="1980">
        <f t="shared" si="2"/>
        <v>2.3201191567369387E-2</v>
      </c>
      <c r="G9" s="1458"/>
      <c r="L9" s="173"/>
    </row>
    <row r="10" spans="1:12" s="77" customFormat="1" ht="15.75">
      <c r="A10" s="620">
        <v>2011</v>
      </c>
      <c r="B10" s="155">
        <v>22120</v>
      </c>
      <c r="C10" s="155">
        <v>477</v>
      </c>
      <c r="D10" s="1983">
        <f t="shared" si="0"/>
        <v>22597</v>
      </c>
      <c r="E10" s="1979">
        <f t="shared" si="1"/>
        <v>0.97889100323051736</v>
      </c>
      <c r="F10" s="1980">
        <f t="shared" si="2"/>
        <v>2.1108996769482673E-2</v>
      </c>
      <c r="G10" s="1458"/>
      <c r="L10" s="173"/>
    </row>
    <row r="11" spans="1:12" s="77" customFormat="1" ht="14.25" customHeight="1">
      <c r="A11" s="620" t="s">
        <v>457</v>
      </c>
      <c r="B11" s="155">
        <v>26233</v>
      </c>
      <c r="C11" s="155">
        <v>455</v>
      </c>
      <c r="D11" s="1983">
        <f t="shared" si="0"/>
        <v>26688</v>
      </c>
      <c r="E11" s="1979">
        <f t="shared" si="1"/>
        <v>0.982951139088729</v>
      </c>
      <c r="F11" s="1980">
        <f>C11/D11</f>
        <v>1.7048860911270985E-2</v>
      </c>
      <c r="G11" s="1458"/>
      <c r="L11" s="173"/>
    </row>
    <row r="12" spans="1:12" s="77" customFormat="1" ht="14.25" customHeight="1">
      <c r="A12" s="620" t="s">
        <v>534</v>
      </c>
      <c r="B12" s="155">
        <v>28246</v>
      </c>
      <c r="C12" s="155">
        <v>389</v>
      </c>
      <c r="D12" s="1983">
        <f t="shared" si="0"/>
        <v>28635</v>
      </c>
      <c r="E12" s="1979">
        <f t="shared" si="1"/>
        <v>0.98641522612187882</v>
      </c>
      <c r="F12" s="1980">
        <f>C12/D12</f>
        <v>1.358477387812118E-2</v>
      </c>
      <c r="G12" s="1458"/>
      <c r="L12" s="173"/>
    </row>
    <row r="13" spans="1:12" s="77" customFormat="1" ht="14.25" customHeight="1">
      <c r="A13" s="620" t="s">
        <v>541</v>
      </c>
      <c r="B13" s="155">
        <v>30630</v>
      </c>
      <c r="C13" s="155">
        <v>402</v>
      </c>
      <c r="D13" s="1983">
        <f t="shared" si="0"/>
        <v>31032</v>
      </c>
      <c r="E13" s="1979">
        <f t="shared" si="1"/>
        <v>0.98704563031709203</v>
      </c>
      <c r="F13" s="1980">
        <f>C13/D13</f>
        <v>1.2954369682907967E-2</v>
      </c>
      <c r="G13" s="1458"/>
      <c r="L13" s="173"/>
    </row>
    <row r="14" spans="1:12" s="77" customFormat="1" ht="14.25" customHeight="1">
      <c r="A14" s="611" t="s">
        <v>900</v>
      </c>
      <c r="B14" s="1984">
        <v>34087</v>
      </c>
      <c r="C14" s="1984">
        <v>462</v>
      </c>
      <c r="D14" s="1983">
        <f t="shared" si="0"/>
        <v>34549</v>
      </c>
      <c r="E14" s="1979">
        <f t="shared" si="1"/>
        <v>0.98662768821094682</v>
      </c>
      <c r="F14" s="1980">
        <f>C14/D14</f>
        <v>1.3372311789053229E-2</v>
      </c>
      <c r="G14" s="1458"/>
    </row>
    <row r="15" spans="1:12" s="77" customFormat="1" ht="15.75">
      <c r="A15" s="611" t="s">
        <v>1012</v>
      </c>
      <c r="B15" s="1984">
        <v>12241</v>
      </c>
      <c r="C15" s="1984">
        <v>164</v>
      </c>
      <c r="D15" s="1983">
        <f>+C15+B15</f>
        <v>12405</v>
      </c>
      <c r="E15" s="1979">
        <f t="shared" si="1"/>
        <v>0.98677952438532845</v>
      </c>
      <c r="F15" s="1980">
        <f>C15/D15</f>
        <v>1.3220475614671504E-2</v>
      </c>
      <c r="G15" s="1458"/>
      <c r="K15" s="23"/>
      <c r="L15" s="173"/>
    </row>
    <row r="16" spans="1:12" s="77" customFormat="1" ht="15.75">
      <c r="A16" s="617" t="s">
        <v>23</v>
      </c>
      <c r="B16" s="1985">
        <f>SUM(B4:B15)</f>
        <v>213528</v>
      </c>
      <c r="C16" s="1985">
        <f>SUM(C4:C15)</f>
        <v>3304</v>
      </c>
      <c r="D16" s="1992">
        <f>SUM(D4:D15)</f>
        <v>216832</v>
      </c>
      <c r="E16" s="1981">
        <f>AVERAGE(E4:E15)</f>
        <v>0.98610396933174782</v>
      </c>
      <c r="F16" s="1982">
        <f>AVERAGE(F4:F15)</f>
        <v>1.3896030668252193E-2</v>
      </c>
      <c r="K16" s="39"/>
    </row>
    <row r="17" spans="2:12" s="77" customFormat="1">
      <c r="B17" s="1971"/>
      <c r="C17" s="1971"/>
      <c r="D17" s="1971"/>
      <c r="E17" s="1971"/>
      <c r="F17" s="1971"/>
      <c r="K17" s="39"/>
    </row>
    <row r="18" spans="2:12" s="77" customFormat="1">
      <c r="B18" s="1971"/>
      <c r="C18" s="1971"/>
      <c r="D18" s="1971"/>
      <c r="E18" s="1971"/>
      <c r="F18" s="1971"/>
      <c r="K18" s="23"/>
    </row>
    <row r="19" spans="2:12" s="77" customFormat="1">
      <c r="B19" s="1971"/>
      <c r="C19" s="1971"/>
      <c r="D19" s="1971"/>
      <c r="E19" s="1971"/>
      <c r="F19" s="1971"/>
      <c r="K19" s="23"/>
    </row>
    <row r="20" spans="2:12" s="77" customFormat="1">
      <c r="B20" s="1971"/>
      <c r="C20" s="1971"/>
      <c r="D20" s="1971"/>
      <c r="E20" s="1971"/>
      <c r="F20" s="1971"/>
      <c r="K20" s="23"/>
      <c r="L20" s="77" t="s">
        <v>168</v>
      </c>
    </row>
    <row r="21" spans="2:12" s="77" customFormat="1">
      <c r="B21" s="1971"/>
      <c r="C21" s="1971"/>
      <c r="D21" s="1971"/>
      <c r="E21" s="1971"/>
      <c r="F21" s="1971"/>
      <c r="K21" s="23"/>
    </row>
    <row r="22" spans="2:12" s="77" customFormat="1">
      <c r="B22" s="1971"/>
      <c r="C22" s="1971"/>
      <c r="D22" s="1971"/>
      <c r="E22" s="1971"/>
      <c r="F22" s="1971"/>
      <c r="K22" s="23"/>
    </row>
    <row r="23" spans="2:12" s="77" customFormat="1">
      <c r="B23" s="1971"/>
      <c r="C23" s="1971"/>
      <c r="D23" s="1971"/>
      <c r="E23" s="1971"/>
      <c r="F23" s="1971"/>
      <c r="K23" s="23"/>
    </row>
    <row r="24" spans="2:12" s="77" customFormat="1">
      <c r="B24" s="1971"/>
      <c r="C24" s="1971"/>
      <c r="D24" s="1971"/>
      <c r="E24" s="1971"/>
      <c r="F24" s="1971"/>
      <c r="K24" s="23"/>
    </row>
    <row r="25" spans="2:12" s="77" customFormat="1">
      <c r="B25" s="1971"/>
      <c r="C25" s="1971"/>
      <c r="D25" s="1971"/>
      <c r="E25" s="1971"/>
      <c r="F25" s="1971"/>
      <c r="K25" s="23"/>
    </row>
    <row r="26" spans="2:12" s="77" customFormat="1">
      <c r="B26" s="1971"/>
      <c r="C26" s="1971"/>
      <c r="D26" s="1971"/>
      <c r="E26" s="1971"/>
      <c r="F26" s="1971"/>
      <c r="K26" s="23"/>
    </row>
    <row r="27" spans="2:12" s="77" customFormat="1">
      <c r="B27" s="1971"/>
      <c r="C27" s="1971"/>
      <c r="D27" s="1971"/>
      <c r="E27" s="1971"/>
      <c r="F27" s="1971"/>
      <c r="K27" s="23"/>
    </row>
    <row r="28" spans="2:12" s="77" customFormat="1">
      <c r="B28" s="1971"/>
      <c r="C28" s="1971"/>
      <c r="D28" s="1971"/>
      <c r="E28" s="1971"/>
      <c r="F28" s="1971"/>
      <c r="K28" s="23"/>
    </row>
    <row r="29" spans="2:12" s="77" customFormat="1">
      <c r="B29" s="1971"/>
      <c r="C29" s="1971"/>
      <c r="D29" s="1971"/>
      <c r="E29" s="1971"/>
      <c r="F29" s="1971"/>
      <c r="K29" s="23"/>
    </row>
    <row r="30" spans="2:12" s="77" customFormat="1">
      <c r="B30" s="1971"/>
      <c r="C30" s="1971"/>
      <c r="D30" s="1971"/>
      <c r="E30" s="1971"/>
      <c r="F30" s="1971"/>
      <c r="K30" s="23"/>
    </row>
    <row r="31" spans="2:12" s="77" customFormat="1">
      <c r="B31" s="1971"/>
      <c r="C31" s="1971"/>
      <c r="D31" s="1971"/>
      <c r="E31" s="1971"/>
      <c r="F31" s="1971"/>
      <c r="K31" s="23"/>
    </row>
    <row r="32" spans="2:12" s="77" customFormat="1">
      <c r="B32" s="1971"/>
      <c r="C32" s="1971"/>
      <c r="D32" s="1971"/>
      <c r="E32" s="1971"/>
      <c r="F32" s="1971"/>
      <c r="K32" s="23"/>
    </row>
    <row r="33" spans="2:11" s="77" customFormat="1">
      <c r="B33" s="1971"/>
      <c r="C33" s="1971"/>
      <c r="D33" s="1971"/>
      <c r="E33" s="1971"/>
      <c r="F33" s="1971"/>
      <c r="K33" s="23"/>
    </row>
    <row r="34" spans="2:11" s="77" customFormat="1">
      <c r="B34" s="1971"/>
      <c r="C34" s="1971"/>
      <c r="D34" s="1971"/>
      <c r="E34" s="1971"/>
      <c r="F34" s="1971"/>
      <c r="K34" s="23"/>
    </row>
    <row r="35" spans="2:11" s="77" customFormat="1">
      <c r="B35" s="1971"/>
      <c r="C35" s="1971"/>
      <c r="D35" s="1971"/>
      <c r="E35" s="1971"/>
      <c r="F35" s="1971"/>
      <c r="K35" s="23"/>
    </row>
    <row r="36" spans="2:11" s="77" customFormat="1">
      <c r="B36" s="1971"/>
      <c r="C36" s="1971"/>
      <c r="D36" s="1971"/>
      <c r="E36" s="1971"/>
      <c r="F36" s="1971"/>
    </row>
    <row r="37" spans="2:11" s="77" customFormat="1">
      <c r="B37" s="1971"/>
      <c r="C37" s="1971"/>
      <c r="D37" s="1971"/>
      <c r="E37" s="1971"/>
      <c r="F37" s="1971"/>
    </row>
    <row r="38" spans="2:11" s="77" customFormat="1">
      <c r="B38" s="1971"/>
      <c r="C38" s="1971"/>
      <c r="D38" s="1971"/>
      <c r="E38" s="1971"/>
      <c r="F38" s="1971"/>
    </row>
    <row r="39" spans="2:11" s="77" customFormat="1">
      <c r="B39" s="1971"/>
      <c r="C39" s="1971"/>
      <c r="D39" s="1971"/>
      <c r="E39" s="1971"/>
      <c r="F39" s="1971"/>
    </row>
    <row r="40" spans="2:11" s="77" customFormat="1">
      <c r="B40" s="1971"/>
      <c r="C40" s="1971"/>
      <c r="D40" s="1971"/>
      <c r="E40" s="1971"/>
      <c r="F40" s="1971"/>
    </row>
    <row r="41" spans="2:11" s="77" customFormat="1">
      <c r="B41" s="1971"/>
      <c r="C41" s="1971"/>
      <c r="D41" s="1971"/>
      <c r="E41" s="1971"/>
      <c r="F41" s="1971"/>
    </row>
    <row r="42" spans="2:11" s="77" customFormat="1">
      <c r="B42" s="1971"/>
      <c r="C42" s="1971"/>
      <c r="D42" s="1971"/>
      <c r="E42" s="1971"/>
      <c r="F42" s="1971"/>
    </row>
    <row r="43" spans="2:11" s="77" customFormat="1">
      <c r="B43" s="1971"/>
      <c r="C43" s="1971"/>
      <c r="D43" s="1971"/>
      <c r="E43" s="1971"/>
      <c r="F43" s="1971"/>
    </row>
    <row r="44" spans="2:11" s="77" customFormat="1">
      <c r="B44" s="1971"/>
      <c r="C44" s="1971"/>
      <c r="D44" s="1971"/>
      <c r="E44" s="1971"/>
      <c r="F44" s="1971"/>
    </row>
    <row r="45" spans="2:11" s="77" customFormat="1">
      <c r="B45" s="1971"/>
      <c r="C45" s="1971"/>
      <c r="D45" s="1971"/>
      <c r="E45" s="1971"/>
      <c r="F45" s="1971"/>
    </row>
    <row r="46" spans="2:11" s="77" customFormat="1">
      <c r="B46" s="1971"/>
      <c r="C46" s="1971"/>
      <c r="D46" s="1971"/>
      <c r="E46" s="1971"/>
      <c r="F46" s="1971"/>
    </row>
    <row r="47" spans="2:11" s="77" customFormat="1">
      <c r="B47" s="1971"/>
      <c r="C47" s="1971"/>
      <c r="D47" s="1971"/>
      <c r="E47" s="1971"/>
      <c r="F47" s="1971"/>
    </row>
    <row r="48" spans="2:11" s="77" customFormat="1">
      <c r="B48" s="1971"/>
      <c r="C48" s="1971"/>
      <c r="D48" s="1971"/>
      <c r="E48" s="1971"/>
      <c r="F48" s="1971"/>
    </row>
    <row r="49" spans="1:6" s="77" customFormat="1">
      <c r="B49" s="1971"/>
      <c r="C49" s="1971"/>
      <c r="D49" s="1971"/>
      <c r="E49" s="1971"/>
      <c r="F49" s="1971"/>
    </row>
    <row r="50" spans="1:6" s="77" customFormat="1">
      <c r="B50" s="1971"/>
      <c r="C50" s="1971"/>
      <c r="D50" s="1971"/>
      <c r="E50" s="1971"/>
      <c r="F50" s="1971"/>
    </row>
    <row r="51" spans="1:6">
      <c r="A51" s="77"/>
      <c r="B51" s="1971"/>
      <c r="C51" s="1971"/>
      <c r="D51" s="1971"/>
      <c r="E51" s="1971"/>
      <c r="F51" s="1971"/>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AG47"/>
  <sheetViews>
    <sheetView showGridLines="0" view="pageBreakPreview" zoomScale="85" zoomScaleNormal="100" zoomScaleSheetLayoutView="85" workbookViewId="0">
      <pane ySplit="1" topLeftCell="A2" activePane="bottomLeft" state="frozen"/>
      <selection activeCell="M22" sqref="M22"/>
      <selection pane="bottomLeft" activeCell="A3" sqref="A3"/>
    </sheetView>
  </sheetViews>
  <sheetFormatPr baseColWidth="10" defaultColWidth="11.42578125" defaultRowHeight="15"/>
  <cols>
    <col min="1" max="1" width="15.7109375" style="39" customWidth="1"/>
    <col min="2" max="2" width="10.28515625" style="39" customWidth="1"/>
    <col min="3" max="3" width="9.42578125" style="39" customWidth="1"/>
    <col min="4" max="4" width="10.85546875" style="39" customWidth="1"/>
    <col min="5" max="5" width="8.85546875" style="39" customWidth="1"/>
    <col min="6" max="6" width="8.7109375" style="39" customWidth="1"/>
    <col min="7" max="7" width="9.28515625" style="39" customWidth="1"/>
    <col min="8" max="8" width="8.28515625" style="39" customWidth="1"/>
    <col min="9" max="9" width="10.42578125" style="39" customWidth="1"/>
    <col min="10" max="10" width="9.7109375" style="39" customWidth="1"/>
    <col min="11" max="11" width="12.85546875" style="39" customWidth="1"/>
    <col min="12" max="13" width="10.42578125" style="39" customWidth="1"/>
    <col min="14" max="14" width="10.7109375" style="39" customWidth="1"/>
    <col min="15" max="15" width="10.42578125" style="39" customWidth="1"/>
    <col min="16" max="16" width="10.7109375" style="39" customWidth="1"/>
    <col min="17" max="18" width="10.28515625" style="39" customWidth="1"/>
    <col min="19" max="19" width="10.140625" style="39" customWidth="1"/>
    <col min="20" max="20" width="10.28515625" style="39" customWidth="1"/>
    <col min="21" max="21" width="5.42578125" style="39" customWidth="1"/>
    <col min="22" max="22" width="11.7109375" style="39" customWidth="1"/>
    <col min="23" max="32" width="11.42578125" style="39" hidden="1" customWidth="1"/>
    <col min="33" max="16384" width="11.42578125" style="39"/>
  </cols>
  <sheetData>
    <row r="1" spans="1:33" s="77" customFormat="1" ht="68.25" customHeight="1">
      <c r="A1" s="2116"/>
      <c r="B1" s="2116"/>
      <c r="C1" s="2116"/>
      <c r="D1" s="2116"/>
      <c r="E1" s="2116"/>
      <c r="F1" s="2116"/>
      <c r="G1" s="2116"/>
      <c r="H1" s="2116"/>
      <c r="I1" s="2116"/>
      <c r="J1" s="2116"/>
      <c r="K1" s="2116"/>
      <c r="L1" s="2116"/>
      <c r="M1" s="2116"/>
      <c r="N1" s="2116"/>
      <c r="O1" s="2116"/>
      <c r="P1" s="2116"/>
      <c r="Q1" s="2116"/>
      <c r="R1" s="2116"/>
      <c r="S1" s="2116"/>
      <c r="T1" s="2116"/>
    </row>
    <row r="2" spans="1:33" s="77" customFormat="1" ht="3.75" customHeight="1">
      <c r="A2" s="2224"/>
      <c r="B2" s="2224"/>
      <c r="C2" s="2224"/>
      <c r="D2" s="2224"/>
      <c r="E2" s="2224"/>
      <c r="F2" s="2224"/>
      <c r="G2" s="2224"/>
      <c r="H2" s="2224"/>
      <c r="I2" s="2224"/>
      <c r="J2" s="2224"/>
      <c r="K2" s="2224"/>
      <c r="L2" s="2224"/>
      <c r="M2" s="2224"/>
      <c r="N2" s="2224"/>
      <c r="O2" s="2224"/>
      <c r="P2" s="2224"/>
      <c r="Q2" s="2224"/>
      <c r="R2" s="2224"/>
      <c r="S2" s="2224"/>
      <c r="T2" s="2225"/>
    </row>
    <row r="3" spans="1:33" s="134" customFormat="1" ht="31.5">
      <c r="A3" s="610" t="s">
        <v>239</v>
      </c>
      <c r="B3" s="501" t="s">
        <v>263</v>
      </c>
      <c r="C3" s="501" t="s">
        <v>262</v>
      </c>
      <c r="D3" s="501" t="s">
        <v>261</v>
      </c>
      <c r="E3" s="501" t="s">
        <v>260</v>
      </c>
      <c r="F3" s="501" t="s">
        <v>259</v>
      </c>
      <c r="G3" s="501" t="s">
        <v>258</v>
      </c>
      <c r="H3" s="501" t="s">
        <v>257</v>
      </c>
      <c r="I3" s="501" t="s">
        <v>256</v>
      </c>
      <c r="J3" s="501" t="s">
        <v>255</v>
      </c>
      <c r="K3" s="938" t="s">
        <v>254</v>
      </c>
      <c r="L3" s="501" t="s">
        <v>253</v>
      </c>
      <c r="M3" s="501" t="s">
        <v>252</v>
      </c>
      <c r="N3" s="501" t="s">
        <v>251</v>
      </c>
      <c r="O3" s="501" t="s">
        <v>250</v>
      </c>
      <c r="P3" s="501" t="s">
        <v>249</v>
      </c>
      <c r="Q3" s="501" t="s">
        <v>248</v>
      </c>
      <c r="R3" s="501" t="s">
        <v>247</v>
      </c>
      <c r="S3" s="501" t="s">
        <v>246</v>
      </c>
      <c r="T3" s="502" t="s">
        <v>245</v>
      </c>
      <c r="V3" s="77"/>
      <c r="W3" s="77"/>
      <c r="X3" s="77"/>
      <c r="Y3" s="77"/>
      <c r="Z3" s="77"/>
      <c r="AA3" s="77"/>
      <c r="AB3" s="77"/>
      <c r="AC3" s="77"/>
      <c r="AD3" s="77"/>
      <c r="AE3" s="77"/>
      <c r="AF3" s="77"/>
      <c r="AG3" s="77"/>
    </row>
    <row r="4" spans="1:33" s="77" customFormat="1" ht="15.75">
      <c r="A4" s="509">
        <v>2005</v>
      </c>
      <c r="B4" s="568">
        <v>3726</v>
      </c>
      <c r="C4" s="568">
        <v>1</v>
      </c>
      <c r="D4" s="568">
        <v>1</v>
      </c>
      <c r="E4" s="568">
        <v>0</v>
      </c>
      <c r="F4" s="568">
        <v>1</v>
      </c>
      <c r="G4" s="568">
        <v>2</v>
      </c>
      <c r="H4" s="568">
        <v>0</v>
      </c>
      <c r="I4" s="568">
        <v>0</v>
      </c>
      <c r="J4" s="568">
        <v>0</v>
      </c>
      <c r="K4" s="939">
        <f t="shared" ref="K4:K10" si="0">SUM(B4:J4)</f>
        <v>3731</v>
      </c>
      <c r="L4" s="615">
        <f t="shared" ref="L4:L10" si="1">B4/K4</f>
        <v>0.99865987670865719</v>
      </c>
      <c r="M4" s="615">
        <f t="shared" ref="M4:M16" si="2">C4/K4</f>
        <v>2.6802465826856071E-4</v>
      </c>
      <c r="N4" s="615">
        <f t="shared" ref="N4:N16" si="3">D4/K4</f>
        <v>2.6802465826856071E-4</v>
      </c>
      <c r="O4" s="615">
        <f t="shared" ref="O4:O16" si="4">E4/K4</f>
        <v>0</v>
      </c>
      <c r="P4" s="615">
        <f t="shared" ref="P4:P16" si="5">F4/K4</f>
        <v>2.6802465826856071E-4</v>
      </c>
      <c r="Q4" s="615">
        <f t="shared" ref="Q4:Q16" si="6">G4/K4</f>
        <v>5.3604931653712141E-4</v>
      </c>
      <c r="R4" s="615">
        <f t="shared" ref="R4:R16" si="7">H4/K4</f>
        <v>0</v>
      </c>
      <c r="S4" s="615">
        <f t="shared" ref="S4:S16" si="8">I4/K4</f>
        <v>0</v>
      </c>
      <c r="T4" s="616">
        <f t="shared" ref="T4:T16" si="9">J4/K4</f>
        <v>0</v>
      </c>
    </row>
    <row r="5" spans="1:33" s="77" customFormat="1" ht="15.75">
      <c r="A5" s="611">
        <v>2006</v>
      </c>
      <c r="B5" s="568">
        <v>5469</v>
      </c>
      <c r="C5" s="568">
        <v>10</v>
      </c>
      <c r="D5" s="568">
        <v>17</v>
      </c>
      <c r="E5" s="568">
        <v>2</v>
      </c>
      <c r="F5" s="568">
        <v>1</v>
      </c>
      <c r="G5" s="568">
        <v>23</v>
      </c>
      <c r="H5" s="568">
        <v>5</v>
      </c>
      <c r="I5" s="568">
        <v>8</v>
      </c>
      <c r="J5" s="568">
        <v>0</v>
      </c>
      <c r="K5" s="939">
        <f t="shared" si="0"/>
        <v>5535</v>
      </c>
      <c r="L5" s="615">
        <f t="shared" si="1"/>
        <v>0.98807588075880759</v>
      </c>
      <c r="M5" s="615">
        <f t="shared" si="2"/>
        <v>1.8066847335140017E-3</v>
      </c>
      <c r="N5" s="615">
        <f t="shared" si="3"/>
        <v>3.0713640469738029E-3</v>
      </c>
      <c r="O5" s="615">
        <f t="shared" si="4"/>
        <v>3.6133694670280038E-4</v>
      </c>
      <c r="P5" s="615">
        <f t="shared" si="5"/>
        <v>1.8066847335140019E-4</v>
      </c>
      <c r="Q5" s="615">
        <f t="shared" si="6"/>
        <v>4.1553748870822044E-3</v>
      </c>
      <c r="R5" s="615">
        <f t="shared" si="7"/>
        <v>9.0334236675700087E-4</v>
      </c>
      <c r="S5" s="615">
        <f t="shared" si="8"/>
        <v>1.4453477868112015E-3</v>
      </c>
      <c r="T5" s="616">
        <f t="shared" si="9"/>
        <v>0</v>
      </c>
    </row>
    <row r="6" spans="1:33" s="77" customFormat="1" ht="15.75">
      <c r="A6" s="509">
        <v>2007</v>
      </c>
      <c r="B6" s="568">
        <v>5248</v>
      </c>
      <c r="C6" s="568">
        <v>259</v>
      </c>
      <c r="D6" s="568">
        <v>1131</v>
      </c>
      <c r="E6" s="568">
        <v>112</v>
      </c>
      <c r="F6" s="568">
        <v>54</v>
      </c>
      <c r="G6" s="568">
        <v>1402</v>
      </c>
      <c r="H6" s="568">
        <v>67</v>
      </c>
      <c r="I6" s="568">
        <v>271</v>
      </c>
      <c r="J6" s="568">
        <v>0</v>
      </c>
      <c r="K6" s="939">
        <f t="shared" si="0"/>
        <v>8544</v>
      </c>
      <c r="L6" s="615">
        <f t="shared" si="1"/>
        <v>0.61423220973782766</v>
      </c>
      <c r="M6" s="615">
        <f t="shared" si="2"/>
        <v>3.031367041198502E-2</v>
      </c>
      <c r="N6" s="615">
        <f t="shared" si="3"/>
        <v>0.13237359550561797</v>
      </c>
      <c r="O6" s="615">
        <f t="shared" si="4"/>
        <v>1.3108614232209739E-2</v>
      </c>
      <c r="P6" s="615">
        <f t="shared" si="5"/>
        <v>6.3202247191011234E-3</v>
      </c>
      <c r="Q6" s="615">
        <f t="shared" si="6"/>
        <v>0.16409176029962547</v>
      </c>
      <c r="R6" s="615">
        <f t="shared" si="7"/>
        <v>7.8417602996254682E-3</v>
      </c>
      <c r="S6" s="615">
        <f t="shared" si="8"/>
        <v>3.1718164794007492E-2</v>
      </c>
      <c r="T6" s="616">
        <f t="shared" si="9"/>
        <v>0</v>
      </c>
    </row>
    <row r="7" spans="1:33" s="77" customFormat="1" ht="15.75">
      <c r="A7" s="611">
        <v>2008</v>
      </c>
      <c r="B7" s="568">
        <v>5249</v>
      </c>
      <c r="C7" s="568">
        <v>457</v>
      </c>
      <c r="D7" s="568">
        <v>2480</v>
      </c>
      <c r="E7" s="568">
        <v>167</v>
      </c>
      <c r="F7" s="568">
        <v>61</v>
      </c>
      <c r="G7" s="568">
        <v>2135</v>
      </c>
      <c r="H7" s="568">
        <v>47</v>
      </c>
      <c r="I7" s="568">
        <v>381</v>
      </c>
      <c r="J7" s="568">
        <v>0</v>
      </c>
      <c r="K7" s="939">
        <f t="shared" si="0"/>
        <v>10977</v>
      </c>
      <c r="L7" s="615">
        <f t="shared" si="1"/>
        <v>0.47818165254623302</v>
      </c>
      <c r="M7" s="615">
        <f t="shared" si="2"/>
        <v>4.1632504327229661E-2</v>
      </c>
      <c r="N7" s="615">
        <f t="shared" si="3"/>
        <v>0.22592693814339074</v>
      </c>
      <c r="O7" s="615">
        <f t="shared" si="4"/>
        <v>1.5213628495946069E-2</v>
      </c>
      <c r="P7" s="615">
        <f t="shared" si="5"/>
        <v>5.5570738817527559E-3</v>
      </c>
      <c r="Q7" s="615">
        <f t="shared" si="6"/>
        <v>0.19449758586134644</v>
      </c>
      <c r="R7" s="615">
        <f t="shared" si="7"/>
        <v>4.2816798761045822E-3</v>
      </c>
      <c r="S7" s="615">
        <f t="shared" si="8"/>
        <v>3.4708936867996719E-2</v>
      </c>
      <c r="T7" s="616">
        <f t="shared" si="9"/>
        <v>0</v>
      </c>
    </row>
    <row r="8" spans="1:33" s="77" customFormat="1" ht="15.75">
      <c r="A8" s="509">
        <v>2009</v>
      </c>
      <c r="B8" s="568">
        <v>5951</v>
      </c>
      <c r="C8" s="568">
        <v>466</v>
      </c>
      <c r="D8" s="568">
        <v>3922</v>
      </c>
      <c r="E8" s="568">
        <v>308</v>
      </c>
      <c r="F8" s="568">
        <v>128</v>
      </c>
      <c r="G8" s="568">
        <v>2899</v>
      </c>
      <c r="H8" s="568">
        <v>159</v>
      </c>
      <c r="I8" s="568">
        <v>850</v>
      </c>
      <c r="J8" s="568">
        <v>0</v>
      </c>
      <c r="K8" s="939">
        <f t="shared" si="0"/>
        <v>14683</v>
      </c>
      <c r="L8" s="615">
        <f t="shared" si="1"/>
        <v>0.40529864469113941</v>
      </c>
      <c r="M8" s="615">
        <f t="shared" si="2"/>
        <v>3.1737383368521423E-2</v>
      </c>
      <c r="N8" s="615">
        <f t="shared" si="3"/>
        <v>0.26711162568957297</v>
      </c>
      <c r="O8" s="615">
        <f t="shared" si="4"/>
        <v>2.0976639651297417E-2</v>
      </c>
      <c r="P8" s="615">
        <f t="shared" si="5"/>
        <v>8.7175645304093177E-3</v>
      </c>
      <c r="Q8" s="615">
        <f t="shared" si="6"/>
        <v>0.19743921541919227</v>
      </c>
      <c r="R8" s="615">
        <f t="shared" si="7"/>
        <v>1.0828849690117824E-2</v>
      </c>
      <c r="S8" s="615">
        <f t="shared" si="8"/>
        <v>5.7890076959749369E-2</v>
      </c>
      <c r="T8" s="616">
        <f t="shared" si="9"/>
        <v>0</v>
      </c>
    </row>
    <row r="9" spans="1:33" s="77" customFormat="1" ht="15.75">
      <c r="A9" s="611">
        <v>2010</v>
      </c>
      <c r="B9" s="568">
        <v>6247</v>
      </c>
      <c r="C9" s="568">
        <v>524</v>
      </c>
      <c r="D9" s="568">
        <v>4790</v>
      </c>
      <c r="E9" s="568">
        <v>428</v>
      </c>
      <c r="F9" s="568">
        <v>239</v>
      </c>
      <c r="G9" s="568">
        <v>3860</v>
      </c>
      <c r="H9" s="568">
        <v>234</v>
      </c>
      <c r="I9" s="568">
        <v>1134</v>
      </c>
      <c r="J9" s="568">
        <v>0</v>
      </c>
      <c r="K9" s="939">
        <f t="shared" si="0"/>
        <v>17456</v>
      </c>
      <c r="L9" s="615">
        <f t="shared" si="1"/>
        <v>0.35787121906507791</v>
      </c>
      <c r="M9" s="615">
        <f t="shared" si="2"/>
        <v>3.0018331805682859E-2</v>
      </c>
      <c r="N9" s="615">
        <f t="shared" si="3"/>
        <v>0.27440421631530704</v>
      </c>
      <c r="O9" s="615">
        <f t="shared" si="4"/>
        <v>2.451879010082493E-2</v>
      </c>
      <c r="P9" s="615">
        <f t="shared" si="5"/>
        <v>1.3691567369385885E-2</v>
      </c>
      <c r="Q9" s="615">
        <f t="shared" si="6"/>
        <v>0.22112740604949588</v>
      </c>
      <c r="R9" s="615">
        <f t="shared" si="7"/>
        <v>1.3405132905591201E-2</v>
      </c>
      <c r="S9" s="615">
        <f t="shared" si="8"/>
        <v>6.4963336388634274E-2</v>
      </c>
      <c r="T9" s="616">
        <f t="shared" si="9"/>
        <v>0</v>
      </c>
    </row>
    <row r="10" spans="1:33" s="77" customFormat="1" ht="15.75">
      <c r="A10" s="611">
        <v>2011</v>
      </c>
      <c r="B10" s="568">
        <v>7512</v>
      </c>
      <c r="C10" s="568">
        <v>818</v>
      </c>
      <c r="D10" s="568">
        <v>6018</v>
      </c>
      <c r="E10" s="568">
        <v>681</v>
      </c>
      <c r="F10" s="568">
        <v>471</v>
      </c>
      <c r="G10" s="568">
        <v>5158</v>
      </c>
      <c r="H10" s="568">
        <v>364</v>
      </c>
      <c r="I10" s="568">
        <v>1575</v>
      </c>
      <c r="J10" s="568">
        <v>0</v>
      </c>
      <c r="K10" s="939">
        <f t="shared" si="0"/>
        <v>22597</v>
      </c>
      <c r="L10" s="615">
        <f t="shared" si="1"/>
        <v>0.33243350887285922</v>
      </c>
      <c r="M10" s="615">
        <f t="shared" si="2"/>
        <v>3.6199495508253306E-2</v>
      </c>
      <c r="N10" s="615">
        <f t="shared" si="3"/>
        <v>0.26631853785900783</v>
      </c>
      <c r="O10" s="615">
        <f t="shared" si="4"/>
        <v>3.0136743815550735E-2</v>
      </c>
      <c r="P10" s="615">
        <f t="shared" si="5"/>
        <v>2.0843474797539497E-2</v>
      </c>
      <c r="Q10" s="615">
        <f t="shared" si="6"/>
        <v>0.22826038854715228</v>
      </c>
      <c r="R10" s="615">
        <f t="shared" si="7"/>
        <v>1.6108332964552816E-2</v>
      </c>
      <c r="S10" s="615">
        <f t="shared" si="8"/>
        <v>6.9699517635084307E-2</v>
      </c>
      <c r="T10" s="616">
        <f t="shared" si="9"/>
        <v>0</v>
      </c>
    </row>
    <row r="11" spans="1:33" s="77" customFormat="1" ht="15.75">
      <c r="A11" s="611" t="s">
        <v>457</v>
      </c>
      <c r="B11" s="568">
        <v>8554</v>
      </c>
      <c r="C11" s="568">
        <v>1073</v>
      </c>
      <c r="D11" s="568">
        <v>7266</v>
      </c>
      <c r="E11" s="568">
        <v>925</v>
      </c>
      <c r="F11" s="568">
        <v>535</v>
      </c>
      <c r="G11" s="568">
        <v>5902</v>
      </c>
      <c r="H11" s="568">
        <v>474</v>
      </c>
      <c r="I11" s="568">
        <v>1959</v>
      </c>
      <c r="J11" s="568">
        <v>0</v>
      </c>
      <c r="K11" s="939">
        <f>SUM(B11:J11)</f>
        <v>26688</v>
      </c>
      <c r="L11" s="615">
        <f t="shared" ref="L11:L16" si="10">B11/K11</f>
        <v>0.32051858513189446</v>
      </c>
      <c r="M11" s="615">
        <f>C11/K11</f>
        <v>4.0205335731414868E-2</v>
      </c>
      <c r="N11" s="615">
        <f>D11/K11</f>
        <v>0.27225719424460432</v>
      </c>
      <c r="O11" s="615">
        <f>E11/K11</f>
        <v>3.4659772182254196E-2</v>
      </c>
      <c r="P11" s="615">
        <f>F11/K11</f>
        <v>2.0046462829736211E-2</v>
      </c>
      <c r="Q11" s="615">
        <f>G11/K11</f>
        <v>0.2211480815347722</v>
      </c>
      <c r="R11" s="615">
        <f>H11/K11</f>
        <v>1.7760791366906475E-2</v>
      </c>
      <c r="S11" s="615">
        <f>I11/K11</f>
        <v>7.3403776978417268E-2</v>
      </c>
      <c r="T11" s="616">
        <f>J11/K11</f>
        <v>0</v>
      </c>
    </row>
    <row r="12" spans="1:33" s="134" customFormat="1" ht="15.75">
      <c r="A12" s="611" t="s">
        <v>534</v>
      </c>
      <c r="B12" s="568">
        <v>9093</v>
      </c>
      <c r="C12" s="568">
        <v>1147</v>
      </c>
      <c r="D12" s="568">
        <v>8256</v>
      </c>
      <c r="E12" s="568">
        <v>933</v>
      </c>
      <c r="F12" s="568">
        <v>584</v>
      </c>
      <c r="G12" s="568">
        <v>5913</v>
      </c>
      <c r="H12" s="568">
        <v>417</v>
      </c>
      <c r="I12" s="568">
        <v>2292</v>
      </c>
      <c r="J12" s="568">
        <v>0</v>
      </c>
      <c r="K12" s="939">
        <f>SUM(B12:J12)</f>
        <v>28635</v>
      </c>
      <c r="L12" s="615">
        <f t="shared" si="10"/>
        <v>0.31754845468831849</v>
      </c>
      <c r="M12" s="615">
        <f>C12/K12</f>
        <v>4.0055875676619522E-2</v>
      </c>
      <c r="N12" s="615">
        <f>D12/K12</f>
        <v>0.28831849135673127</v>
      </c>
      <c r="O12" s="615">
        <f>E12/K12</f>
        <v>3.2582503928758513E-2</v>
      </c>
      <c r="P12" s="615">
        <f>F12/K12</f>
        <v>2.0394621966125372E-2</v>
      </c>
      <c r="Q12" s="615">
        <f>G12/K12</f>
        <v>0.20649554740701939</v>
      </c>
      <c r="R12" s="615">
        <f>H12/K12</f>
        <v>1.4562598218962807E-2</v>
      </c>
      <c r="S12" s="615">
        <f>I12/K12</f>
        <v>8.0041906757464643E-2</v>
      </c>
      <c r="T12" s="616">
        <f>J12/K12</f>
        <v>0</v>
      </c>
      <c r="V12" s="77"/>
      <c r="W12" s="77"/>
      <c r="X12" s="77"/>
      <c r="Y12" s="77"/>
      <c r="Z12" s="77"/>
      <c r="AA12" s="77"/>
      <c r="AB12" s="77"/>
      <c r="AC12" s="77"/>
      <c r="AD12" s="77"/>
      <c r="AE12" s="77"/>
      <c r="AF12" s="77"/>
      <c r="AG12" s="77"/>
    </row>
    <row r="13" spans="1:33" s="134" customFormat="1" ht="15.75">
      <c r="A13" s="611" t="s">
        <v>541</v>
      </c>
      <c r="B13" s="568">
        <v>10098</v>
      </c>
      <c r="C13" s="568">
        <v>1346</v>
      </c>
      <c r="D13" s="568">
        <v>8494</v>
      </c>
      <c r="E13" s="568">
        <v>1003</v>
      </c>
      <c r="F13" s="568">
        <v>627</v>
      </c>
      <c r="G13" s="568">
        <v>6354</v>
      </c>
      <c r="H13" s="568">
        <v>518</v>
      </c>
      <c r="I13" s="568">
        <v>2592</v>
      </c>
      <c r="J13" s="568">
        <v>0</v>
      </c>
      <c r="K13" s="939">
        <f>SUM(B13:J13)</f>
        <v>31032</v>
      </c>
      <c r="L13" s="615">
        <f t="shared" si="10"/>
        <v>0.32540603248259858</v>
      </c>
      <c r="M13" s="615">
        <f>C13/K13</f>
        <v>4.337458107759732E-2</v>
      </c>
      <c r="N13" s="615">
        <f>D13/K13</f>
        <v>0.27371745295179167</v>
      </c>
      <c r="O13" s="615">
        <f>E13/K13</f>
        <v>3.2321474606857435E-2</v>
      </c>
      <c r="P13" s="615">
        <f>F13/K13</f>
        <v>2.0204949729311677E-2</v>
      </c>
      <c r="Q13" s="615">
        <f>G13/K13</f>
        <v>0.20475638051044084</v>
      </c>
      <c r="R13" s="615">
        <f>H13/K13</f>
        <v>1.6692446506831656E-2</v>
      </c>
      <c r="S13" s="615">
        <f>I13/K13</f>
        <v>8.3526682134570762E-2</v>
      </c>
      <c r="T13" s="616">
        <f>J13/K13</f>
        <v>0</v>
      </c>
      <c r="V13" s="77"/>
      <c r="W13" s="77"/>
      <c r="X13" s="77"/>
      <c r="Y13" s="77"/>
      <c r="Z13" s="77"/>
      <c r="AA13" s="77"/>
      <c r="AB13" s="77"/>
      <c r="AC13" s="77"/>
      <c r="AD13" s="77"/>
      <c r="AE13" s="77"/>
      <c r="AF13" s="77"/>
    </row>
    <row r="14" spans="1:33" s="134" customFormat="1" ht="15.75">
      <c r="A14" s="611" t="s">
        <v>900</v>
      </c>
      <c r="B14" s="568">
        <v>11104</v>
      </c>
      <c r="C14" s="568">
        <v>1417</v>
      </c>
      <c r="D14" s="568">
        <v>9714</v>
      </c>
      <c r="E14" s="568">
        <v>1229</v>
      </c>
      <c r="F14" s="568">
        <v>451</v>
      </c>
      <c r="G14" s="568">
        <v>7190</v>
      </c>
      <c r="H14" s="568">
        <v>574</v>
      </c>
      <c r="I14" s="568">
        <v>2870</v>
      </c>
      <c r="J14" s="568">
        <v>0</v>
      </c>
      <c r="K14" s="939">
        <f>SUM(B14:J14)</f>
        <v>34549</v>
      </c>
      <c r="L14" s="615">
        <f t="shared" si="10"/>
        <v>0.32139859330226633</v>
      </c>
      <c r="M14" s="615">
        <f>C14/K14</f>
        <v>4.1014211699325592E-2</v>
      </c>
      <c r="N14" s="615">
        <f>D14/K14</f>
        <v>0.28116588034385942</v>
      </c>
      <c r="O14" s="615">
        <f>E14/K14</f>
        <v>3.5572664910706535E-2</v>
      </c>
      <c r="P14" s="615">
        <f>F14/K14</f>
        <v>1.305392341312339E-2</v>
      </c>
      <c r="Q14" s="615">
        <f>G14/K14</f>
        <v>0.20811022026686735</v>
      </c>
      <c r="R14" s="615">
        <f>H14/K14</f>
        <v>1.6614084343975224E-2</v>
      </c>
      <c r="S14" s="615">
        <f>I14/K14</f>
        <v>8.3070421719876122E-2</v>
      </c>
      <c r="T14" s="616">
        <f>J14/K14</f>
        <v>0</v>
      </c>
      <c r="V14" s="77"/>
      <c r="W14" s="77"/>
      <c r="X14" s="77"/>
      <c r="Y14" s="77"/>
      <c r="Z14" s="77"/>
      <c r="AA14" s="77"/>
      <c r="AB14" s="77"/>
      <c r="AC14" s="77"/>
      <c r="AD14" s="77"/>
      <c r="AE14" s="77"/>
      <c r="AF14" s="77"/>
    </row>
    <row r="15" spans="1:33" s="879" customFormat="1" ht="15.75">
      <c r="A15" s="611" t="s">
        <v>1012</v>
      </c>
      <c r="B15" s="568">
        <f>739+1059+1218+1025</f>
        <v>4041</v>
      </c>
      <c r="C15" s="568">
        <f>88+159+164+175</f>
        <v>586</v>
      </c>
      <c r="D15" s="568">
        <f>619+831+934+877</f>
        <v>3261</v>
      </c>
      <c r="E15" s="568">
        <f>102+117+125+111</f>
        <v>455</v>
      </c>
      <c r="F15" s="568">
        <f>25+32+71+47</f>
        <v>175</v>
      </c>
      <c r="G15" s="568">
        <f>507+594+826+677</f>
        <v>2604</v>
      </c>
      <c r="H15" s="568">
        <f>38+62+55+68</f>
        <v>223</v>
      </c>
      <c r="I15" s="568">
        <f>190+271+271+328</f>
        <v>1060</v>
      </c>
      <c r="J15" s="568"/>
      <c r="K15" s="939">
        <f>SUM(B15:J15)</f>
        <v>12405</v>
      </c>
      <c r="L15" s="615">
        <f t="shared" si="10"/>
        <v>0.3257557436517533</v>
      </c>
      <c r="M15" s="615">
        <f>C15/K15</f>
        <v>4.7239016525594521E-2</v>
      </c>
      <c r="N15" s="615">
        <f>D15/K15</f>
        <v>0.26287787182587669</v>
      </c>
      <c r="O15" s="615">
        <f>E15/K15</f>
        <v>3.667875856509472E-2</v>
      </c>
      <c r="P15" s="615">
        <f>F15/K15</f>
        <v>1.4107214832728738E-2</v>
      </c>
      <c r="Q15" s="615">
        <f>G15/K15</f>
        <v>0.20991535671100361</v>
      </c>
      <c r="R15" s="615">
        <f>H15/K15</f>
        <v>1.7976622329705764E-2</v>
      </c>
      <c r="S15" s="615">
        <f>I15/K15</f>
        <v>8.5449415558242647E-2</v>
      </c>
      <c r="T15" s="616">
        <f>J15/K15</f>
        <v>0</v>
      </c>
      <c r="V15" s="1458"/>
      <c r="W15" s="1458"/>
      <c r="X15" s="1458"/>
      <c r="Y15" s="1458"/>
      <c r="Z15" s="1458"/>
      <c r="AA15" s="1458"/>
      <c r="AB15" s="1458"/>
      <c r="AC15" s="1458"/>
      <c r="AD15" s="1458"/>
      <c r="AE15" s="1458"/>
      <c r="AF15" s="1458"/>
    </row>
    <row r="16" spans="1:33" s="77" customFormat="1" ht="15.75">
      <c r="A16" s="610" t="s">
        <v>133</v>
      </c>
      <c r="B16" s="612">
        <f>SUM(B4:B15)</f>
        <v>82292</v>
      </c>
      <c r="C16" s="612">
        <f>SUM(C4:C15)</f>
        <v>8104</v>
      </c>
      <c r="D16" s="612">
        <f t="shared" ref="D16:J16" si="11">SUM(D4:D15)</f>
        <v>55350</v>
      </c>
      <c r="E16" s="612">
        <f t="shared" si="11"/>
        <v>6243</v>
      </c>
      <c r="F16" s="612">
        <f t="shared" si="11"/>
        <v>3327</v>
      </c>
      <c r="G16" s="612">
        <f t="shared" si="11"/>
        <v>43442</v>
      </c>
      <c r="H16" s="612">
        <f t="shared" si="11"/>
        <v>3082</v>
      </c>
      <c r="I16" s="612">
        <f t="shared" si="11"/>
        <v>14992</v>
      </c>
      <c r="J16" s="612">
        <f t="shared" si="11"/>
        <v>0</v>
      </c>
      <c r="K16" s="1991">
        <f>SUM(K4:K15)</f>
        <v>216832</v>
      </c>
      <c r="L16" s="613">
        <f t="shared" si="10"/>
        <v>0.37951962809917356</v>
      </c>
      <c r="M16" s="613">
        <f t="shared" si="2"/>
        <v>3.7374557260920899E-2</v>
      </c>
      <c r="N16" s="613">
        <f t="shared" si="3"/>
        <v>0.25526675029515938</v>
      </c>
      <c r="O16" s="613">
        <f t="shared" si="4"/>
        <v>2.8791875737898466E-2</v>
      </c>
      <c r="P16" s="613">
        <f t="shared" si="5"/>
        <v>1.5343676210153484E-2</v>
      </c>
      <c r="Q16" s="613">
        <f t="shared" si="6"/>
        <v>0.20034865702479338</v>
      </c>
      <c r="R16" s="613">
        <f t="shared" si="7"/>
        <v>1.4213769185360095E-2</v>
      </c>
      <c r="S16" s="613">
        <f t="shared" si="8"/>
        <v>6.9141086186540732E-2</v>
      </c>
      <c r="T16" s="614">
        <f t="shared" si="9"/>
        <v>0</v>
      </c>
      <c r="V16" s="167"/>
    </row>
    <row r="17" spans="8:12" s="77" customFormat="1">
      <c r="K17" s="39"/>
    </row>
    <row r="18" spans="8:12" s="77" customFormat="1" ht="15.75">
      <c r="H18" s="145"/>
      <c r="K18" s="207"/>
    </row>
    <row r="19" spans="8:12" s="77" customFormat="1">
      <c r="K19" s="207">
        <f t="shared" ref="K19:K25" si="12">+(K6-K5)/K5</f>
        <v>0.54363143631436317</v>
      </c>
    </row>
    <row r="20" spans="8:12" s="77" customFormat="1">
      <c r="K20" s="207">
        <f t="shared" si="12"/>
        <v>0.2847612359550562</v>
      </c>
    </row>
    <row r="21" spans="8:12" s="77" customFormat="1">
      <c r="K21" s="207">
        <f t="shared" si="12"/>
        <v>0.33761501320943793</v>
      </c>
      <c r="L21" s="23"/>
    </row>
    <row r="22" spans="8:12" s="77" customFormat="1">
      <c r="K22" s="207">
        <f t="shared" si="12"/>
        <v>0.18885786283457059</v>
      </c>
      <c r="L22" s="23"/>
    </row>
    <row r="23" spans="8:12" s="77" customFormat="1">
      <c r="K23" s="207">
        <f t="shared" si="12"/>
        <v>0.29451191567369384</v>
      </c>
      <c r="L23" s="23"/>
    </row>
    <row r="24" spans="8:12" s="77" customFormat="1">
      <c r="K24" s="207">
        <f t="shared" si="12"/>
        <v>0.18104173120325706</v>
      </c>
      <c r="L24" s="23"/>
    </row>
    <row r="25" spans="8:12" s="77" customFormat="1">
      <c r="K25" s="207">
        <f t="shared" si="12"/>
        <v>7.2954136690647486E-2</v>
      </c>
      <c r="L25" s="23"/>
    </row>
    <row r="26" spans="8:12" s="77" customFormat="1">
      <c r="K26" s="207">
        <f>+(K13-K12)/K12</f>
        <v>8.3708748035620742E-2</v>
      </c>
      <c r="L26" s="23"/>
    </row>
    <row r="27" spans="8:12" s="77" customFormat="1">
      <c r="K27" s="207"/>
      <c r="L27" s="23"/>
    </row>
    <row r="28" spans="8:12" s="77" customFormat="1">
      <c r="K28" s="207">
        <f>AVERAGE(K18:K27)</f>
        <v>0.24838525998958083</v>
      </c>
      <c r="L28" s="23"/>
    </row>
    <row r="29" spans="8:12" s="77" customFormat="1">
      <c r="K29" s="207"/>
      <c r="L29" s="23"/>
    </row>
    <row r="30" spans="8:12" s="77" customFormat="1">
      <c r="K30" s="23"/>
      <c r="L30" s="23"/>
    </row>
    <row r="31" spans="8:12" s="77" customFormat="1">
      <c r="K31" s="23"/>
      <c r="L31" s="23"/>
    </row>
    <row r="32" spans="8:12" s="77" customFormat="1">
      <c r="K32" s="23"/>
      <c r="L32" s="23"/>
    </row>
    <row r="33" spans="3:32" s="77" customFormat="1">
      <c r="K33" s="23"/>
      <c r="L33" s="23"/>
    </row>
    <row r="34" spans="3:32" s="77" customFormat="1">
      <c r="K34" s="23"/>
      <c r="L34" s="23"/>
    </row>
    <row r="35" spans="3:32" s="77" customFormat="1">
      <c r="K35" s="23"/>
      <c r="L35" s="23"/>
    </row>
    <row r="36" spans="3:32" s="77" customFormat="1">
      <c r="K36" s="23"/>
      <c r="L36" s="23"/>
    </row>
    <row r="37" spans="3:32" s="77" customFormat="1">
      <c r="V37" s="39"/>
      <c r="W37" s="39"/>
      <c r="X37" s="39"/>
      <c r="Y37" s="39"/>
      <c r="Z37" s="39"/>
      <c r="AA37" s="39"/>
      <c r="AB37" s="39"/>
      <c r="AC37" s="39"/>
      <c r="AD37" s="39"/>
      <c r="AE37" s="39"/>
      <c r="AF37" s="39"/>
    </row>
    <row r="38" spans="3:32" s="77" customFormat="1">
      <c r="V38" s="39"/>
      <c r="W38" s="39"/>
      <c r="X38" s="39"/>
      <c r="Y38" s="39"/>
      <c r="Z38" s="39"/>
      <c r="AA38" s="39"/>
      <c r="AB38" s="39"/>
      <c r="AC38" s="39"/>
      <c r="AD38" s="39"/>
      <c r="AE38" s="39"/>
      <c r="AF38" s="39"/>
    </row>
    <row r="39" spans="3:32" s="77" customFormat="1" ht="15.75">
      <c r="C39" s="135"/>
      <c r="V39" s="39"/>
      <c r="W39" s="39"/>
      <c r="X39" s="39"/>
      <c r="Y39" s="39"/>
      <c r="Z39" s="39"/>
      <c r="AA39" s="39"/>
      <c r="AB39" s="39"/>
      <c r="AC39" s="39"/>
      <c r="AD39" s="39"/>
      <c r="AE39" s="39"/>
      <c r="AF39" s="39"/>
    </row>
    <row r="40" spans="3:32" s="77" customFormat="1">
      <c r="V40" s="39"/>
      <c r="W40" s="39"/>
      <c r="X40" s="39"/>
      <c r="Y40" s="39"/>
      <c r="Z40" s="39"/>
      <c r="AA40" s="39"/>
      <c r="AB40" s="39"/>
      <c r="AC40" s="39"/>
      <c r="AD40" s="39"/>
      <c r="AE40" s="39"/>
      <c r="AF40" s="39"/>
    </row>
    <row r="41" spans="3:32" s="77" customFormat="1">
      <c r="V41" s="39"/>
      <c r="W41" s="39"/>
      <c r="X41" s="39"/>
      <c r="Y41" s="39"/>
      <c r="Z41" s="39"/>
      <c r="AA41" s="39"/>
      <c r="AB41" s="39"/>
      <c r="AC41" s="39"/>
      <c r="AD41" s="39"/>
      <c r="AE41" s="39"/>
      <c r="AF41" s="39"/>
    </row>
    <row r="42" spans="3:32" s="77" customFormat="1">
      <c r="V42" s="39"/>
      <c r="W42" s="39"/>
      <c r="X42" s="39"/>
      <c r="Y42" s="39"/>
      <c r="Z42" s="39"/>
      <c r="AA42" s="39"/>
      <c r="AB42" s="39"/>
      <c r="AC42" s="39"/>
      <c r="AD42" s="39"/>
      <c r="AE42" s="39"/>
      <c r="AF42" s="39"/>
    </row>
    <row r="43" spans="3:32" s="77" customFormat="1">
      <c r="V43" s="39"/>
      <c r="W43" s="39"/>
      <c r="X43" s="39"/>
      <c r="Y43" s="39"/>
      <c r="Z43" s="39"/>
      <c r="AA43" s="39"/>
      <c r="AB43" s="39"/>
      <c r="AC43" s="39"/>
      <c r="AD43" s="39"/>
      <c r="AE43" s="39"/>
      <c r="AF43" s="39"/>
    </row>
    <row r="44" spans="3:32" s="77" customFormat="1" ht="46.5" customHeight="1">
      <c r="V44" s="39"/>
      <c r="W44" s="39"/>
      <c r="X44" s="39"/>
      <c r="Y44" s="39"/>
      <c r="Z44" s="39"/>
      <c r="AA44" s="39"/>
      <c r="AB44" s="39"/>
      <c r="AC44" s="39"/>
      <c r="AD44" s="39"/>
      <c r="AE44" s="39"/>
      <c r="AF44" s="39"/>
    </row>
    <row r="45" spans="3:32" s="77" customFormat="1" ht="54.75" customHeight="1">
      <c r="V45" s="39"/>
      <c r="W45" s="39"/>
      <c r="X45" s="39"/>
      <c r="Y45" s="39"/>
      <c r="Z45" s="39"/>
      <c r="AA45" s="39"/>
      <c r="AB45" s="39"/>
      <c r="AC45" s="39"/>
      <c r="AD45" s="39"/>
      <c r="AE45" s="39"/>
      <c r="AF45" s="39"/>
    </row>
    <row r="46" spans="3:32" s="77" customFormat="1">
      <c r="V46" s="39"/>
      <c r="W46" s="39"/>
      <c r="X46" s="39"/>
      <c r="Y46" s="39"/>
      <c r="Z46" s="39"/>
      <c r="AA46" s="39"/>
      <c r="AB46" s="39"/>
      <c r="AC46" s="39"/>
      <c r="AD46" s="39"/>
      <c r="AE46" s="39"/>
      <c r="AF46" s="39"/>
    </row>
    <row r="47" spans="3:32" s="77" customFormat="1">
      <c r="V47" s="39"/>
      <c r="W47" s="39"/>
      <c r="X47" s="39"/>
      <c r="Y47" s="39"/>
      <c r="Z47" s="39"/>
      <c r="AA47" s="39"/>
      <c r="AB47" s="39"/>
      <c r="AC47" s="39"/>
      <c r="AD47" s="39"/>
      <c r="AE47" s="39"/>
      <c r="AF47" s="39"/>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S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T10" sqref="T10"/>
    </sheetView>
  </sheetViews>
  <sheetFormatPr baseColWidth="10" defaultColWidth="11.42578125" defaultRowHeight="15"/>
  <cols>
    <col min="1" max="1" width="27.28515625" style="39" customWidth="1"/>
    <col min="2" max="2" width="9.42578125" style="39" hidden="1" customWidth="1"/>
    <col min="3" max="13" width="9.5703125" style="39" customWidth="1"/>
    <col min="14" max="14" width="15.5703125" style="39" customWidth="1"/>
    <col min="15" max="15" width="13.28515625" style="39" customWidth="1"/>
    <col min="16" max="16" width="15" style="39" customWidth="1"/>
    <col min="17" max="17" width="11.42578125" style="39"/>
    <col min="18" max="18" width="3.85546875" style="39" customWidth="1"/>
    <col min="19" max="16384" width="11.42578125" style="39"/>
  </cols>
  <sheetData>
    <row r="1" spans="1:19" s="77" customFormat="1" ht="78.75" customHeight="1">
      <c r="A1" s="2226"/>
      <c r="B1" s="2226"/>
      <c r="C1" s="2226"/>
      <c r="D1" s="2226"/>
      <c r="E1" s="2226"/>
      <c r="F1" s="2226"/>
      <c r="G1" s="2226"/>
      <c r="H1" s="2226"/>
      <c r="I1" s="2226"/>
      <c r="J1" s="2226"/>
      <c r="K1" s="2226"/>
      <c r="L1" s="2226"/>
      <c r="M1" s="2226"/>
      <c r="N1" s="2226"/>
      <c r="O1" s="2226"/>
      <c r="P1" s="2226"/>
      <c r="Q1" s="2226"/>
    </row>
    <row r="2" spans="1:19" s="77" customFormat="1" ht="7.5" customHeight="1">
      <c r="A2" s="1194"/>
      <c r="B2" s="1195"/>
      <c r="C2" s="1195"/>
      <c r="D2" s="1195"/>
      <c r="E2" s="1195"/>
      <c r="F2" s="1195"/>
      <c r="G2" s="1195"/>
      <c r="H2" s="1195"/>
      <c r="I2" s="1195"/>
      <c r="J2" s="1195"/>
      <c r="K2" s="1195"/>
      <c r="L2" s="1195"/>
      <c r="M2" s="1458"/>
      <c r="N2" s="1458"/>
      <c r="O2" s="1458"/>
    </row>
    <row r="3" spans="1:19" s="879" customFormat="1" ht="33.75" customHeight="1">
      <c r="A3" s="582" t="s">
        <v>293</v>
      </c>
      <c r="B3" s="534" t="s">
        <v>242</v>
      </c>
      <c r="C3" s="534" t="s">
        <v>241</v>
      </c>
      <c r="D3" s="534" t="s">
        <v>240</v>
      </c>
      <c r="E3" s="534" t="s">
        <v>165</v>
      </c>
      <c r="F3" s="534" t="s">
        <v>214</v>
      </c>
      <c r="G3" s="534" t="s">
        <v>215</v>
      </c>
      <c r="H3" s="534" t="s">
        <v>184</v>
      </c>
      <c r="I3" s="534" t="s">
        <v>216</v>
      </c>
      <c r="J3" s="534" t="s">
        <v>457</v>
      </c>
      <c r="K3" s="534" t="s">
        <v>534</v>
      </c>
      <c r="L3" s="534" t="s">
        <v>541</v>
      </c>
      <c r="M3" s="534" t="s">
        <v>900</v>
      </c>
      <c r="N3" s="534" t="s">
        <v>1008</v>
      </c>
      <c r="O3" s="532" t="s">
        <v>133</v>
      </c>
      <c r="P3" s="1797" t="s">
        <v>292</v>
      </c>
    </row>
    <row r="4" spans="1:19" s="77" customFormat="1" ht="15.75">
      <c r="A4" s="1335" t="s">
        <v>436</v>
      </c>
      <c r="B4" s="272">
        <v>1</v>
      </c>
      <c r="C4" s="272">
        <v>2</v>
      </c>
      <c r="D4" s="272">
        <v>10</v>
      </c>
      <c r="E4" s="272">
        <v>636</v>
      </c>
      <c r="F4" s="272">
        <v>1044</v>
      </c>
      <c r="G4" s="272">
        <v>1446</v>
      </c>
      <c r="H4" s="272">
        <v>2079</v>
      </c>
      <c r="I4" s="272">
        <v>2640</v>
      </c>
      <c r="J4" s="272">
        <v>3181</v>
      </c>
      <c r="K4" s="272">
        <v>3142</v>
      </c>
      <c r="L4" s="272">
        <v>3337</v>
      </c>
      <c r="M4" s="272">
        <v>3824</v>
      </c>
      <c r="N4" s="272">
        <v>1437</v>
      </c>
      <c r="O4" s="1963">
        <f t="shared" ref="O4:O35" si="0">SUM(B4:N4)</f>
        <v>22779</v>
      </c>
      <c r="P4" s="1960">
        <f>+O4/$O$36</f>
        <v>0.10505368211334121</v>
      </c>
      <c r="Q4" s="173"/>
    </row>
    <row r="5" spans="1:19" s="77" customFormat="1" ht="16.5" customHeight="1">
      <c r="A5" s="1335" t="s">
        <v>291</v>
      </c>
      <c r="B5" s="272">
        <v>0</v>
      </c>
      <c r="C5" s="272">
        <v>0</v>
      </c>
      <c r="D5" s="272">
        <v>2</v>
      </c>
      <c r="E5" s="272">
        <v>29</v>
      </c>
      <c r="F5" s="272">
        <v>19</v>
      </c>
      <c r="G5" s="272">
        <v>63</v>
      </c>
      <c r="H5" s="272">
        <v>110</v>
      </c>
      <c r="I5" s="272">
        <v>126</v>
      </c>
      <c r="J5" s="272">
        <v>156</v>
      </c>
      <c r="K5" s="272">
        <v>132</v>
      </c>
      <c r="L5" s="272">
        <v>173</v>
      </c>
      <c r="M5" s="272">
        <v>208</v>
      </c>
      <c r="N5" s="272">
        <v>80</v>
      </c>
      <c r="O5" s="1963">
        <f t="shared" si="0"/>
        <v>1098</v>
      </c>
      <c r="P5" s="1961">
        <f t="shared" ref="P5:P35" si="1">+O5/$O$36</f>
        <v>5.0638282172373083E-3</v>
      </c>
      <c r="S5" s="1458"/>
    </row>
    <row r="6" spans="1:19" s="77" customFormat="1" ht="15.75">
      <c r="A6" s="1335" t="s">
        <v>290</v>
      </c>
      <c r="B6" s="272">
        <v>0</v>
      </c>
      <c r="C6" s="272">
        <v>0</v>
      </c>
      <c r="D6" s="272">
        <v>0</v>
      </c>
      <c r="E6" s="272">
        <v>2</v>
      </c>
      <c r="F6" s="272">
        <v>4</v>
      </c>
      <c r="G6" s="272">
        <v>8</v>
      </c>
      <c r="H6" s="272">
        <v>9</v>
      </c>
      <c r="I6" s="272">
        <v>24</v>
      </c>
      <c r="J6" s="272">
        <v>50</v>
      </c>
      <c r="K6" s="272">
        <v>53</v>
      </c>
      <c r="L6" s="272">
        <v>93</v>
      </c>
      <c r="M6" s="272">
        <v>86</v>
      </c>
      <c r="N6" s="272">
        <v>17</v>
      </c>
      <c r="O6" s="1963">
        <f t="shared" si="0"/>
        <v>346</v>
      </c>
      <c r="P6" s="1961">
        <f t="shared" si="1"/>
        <v>1.5957054309327036E-3</v>
      </c>
    </row>
    <row r="7" spans="1:19" s="77" customFormat="1" ht="15.75">
      <c r="A7" s="1335" t="s">
        <v>289</v>
      </c>
      <c r="B7" s="272">
        <v>0</v>
      </c>
      <c r="C7" s="272">
        <v>0</v>
      </c>
      <c r="D7" s="272">
        <v>0</v>
      </c>
      <c r="E7" s="272">
        <v>32</v>
      </c>
      <c r="F7" s="272">
        <v>44</v>
      </c>
      <c r="G7" s="272">
        <v>91</v>
      </c>
      <c r="H7" s="272">
        <v>158</v>
      </c>
      <c r="I7" s="272">
        <v>245</v>
      </c>
      <c r="J7" s="272">
        <v>293</v>
      </c>
      <c r="K7" s="272">
        <v>348</v>
      </c>
      <c r="L7" s="272">
        <v>309</v>
      </c>
      <c r="M7" s="272">
        <v>155</v>
      </c>
      <c r="N7" s="272">
        <v>115</v>
      </c>
      <c r="O7" s="1963">
        <f t="shared" si="0"/>
        <v>1790</v>
      </c>
      <c r="P7" s="1961">
        <f t="shared" si="1"/>
        <v>8.255239079102715E-3</v>
      </c>
      <c r="R7" s="879"/>
    </row>
    <row r="8" spans="1:19" s="77" customFormat="1" ht="15.75">
      <c r="A8" s="1335" t="s">
        <v>288</v>
      </c>
      <c r="B8" s="272">
        <v>0</v>
      </c>
      <c r="C8" s="272">
        <v>0</v>
      </c>
      <c r="D8" s="272">
        <v>0</v>
      </c>
      <c r="E8" s="272">
        <v>3</v>
      </c>
      <c r="F8" s="272">
        <v>1</v>
      </c>
      <c r="G8" s="272">
        <v>38</v>
      </c>
      <c r="H8" s="272">
        <v>52</v>
      </c>
      <c r="I8" s="272">
        <v>89</v>
      </c>
      <c r="J8" s="272">
        <v>103</v>
      </c>
      <c r="K8" s="272">
        <v>157</v>
      </c>
      <c r="L8" s="272">
        <v>134</v>
      </c>
      <c r="M8" s="272">
        <v>151</v>
      </c>
      <c r="N8" s="272">
        <v>60</v>
      </c>
      <c r="O8" s="1963">
        <f t="shared" si="0"/>
        <v>788</v>
      </c>
      <c r="P8" s="1961">
        <f t="shared" si="1"/>
        <v>3.6341499409681226E-3</v>
      </c>
    </row>
    <row r="9" spans="1:19" s="77" customFormat="1" ht="15.75">
      <c r="A9" s="1335" t="s">
        <v>131</v>
      </c>
      <c r="B9" s="272">
        <v>2643</v>
      </c>
      <c r="C9" s="272">
        <v>3722</v>
      </c>
      <c r="D9" s="272">
        <v>5459</v>
      </c>
      <c r="E9" s="272">
        <v>4339</v>
      </c>
      <c r="F9" s="272">
        <v>4630</v>
      </c>
      <c r="G9" s="272">
        <v>5594</v>
      </c>
      <c r="H9" s="272">
        <v>5468</v>
      </c>
      <c r="I9" s="272">
        <v>6340</v>
      </c>
      <c r="J9" s="272">
        <v>7066</v>
      </c>
      <c r="K9" s="272">
        <v>7848</v>
      </c>
      <c r="L9" s="272">
        <v>8452</v>
      </c>
      <c r="M9" s="272">
        <v>9325</v>
      </c>
      <c r="N9" s="272">
        <v>3459</v>
      </c>
      <c r="O9" s="1963">
        <f t="shared" si="0"/>
        <v>74345</v>
      </c>
      <c r="P9" s="1961">
        <f t="shared" si="1"/>
        <v>0.3428691337072019</v>
      </c>
    </row>
    <row r="10" spans="1:19" s="77" customFormat="1" ht="15.75">
      <c r="A10" s="1335" t="s">
        <v>287</v>
      </c>
      <c r="B10" s="272">
        <v>0</v>
      </c>
      <c r="C10" s="272">
        <v>0</v>
      </c>
      <c r="D10" s="272">
        <v>2</v>
      </c>
      <c r="E10" s="272">
        <v>81</v>
      </c>
      <c r="F10" s="272">
        <v>108</v>
      </c>
      <c r="G10" s="272">
        <v>152</v>
      </c>
      <c r="H10" s="272">
        <v>189</v>
      </c>
      <c r="I10" s="272">
        <v>337</v>
      </c>
      <c r="J10" s="272">
        <v>416</v>
      </c>
      <c r="K10" s="272">
        <v>423</v>
      </c>
      <c r="L10" s="272">
        <v>467</v>
      </c>
      <c r="M10" s="272">
        <v>592</v>
      </c>
      <c r="N10" s="272">
        <v>170</v>
      </c>
      <c r="O10" s="1963">
        <f t="shared" si="0"/>
        <v>2937</v>
      </c>
      <c r="P10" s="1961">
        <f t="shared" si="1"/>
        <v>1.3545048701298702E-2</v>
      </c>
    </row>
    <row r="11" spans="1:19" s="77" customFormat="1" ht="15.75">
      <c r="A11" s="1335" t="s">
        <v>286</v>
      </c>
      <c r="B11" s="272">
        <v>0</v>
      </c>
      <c r="C11" s="272">
        <v>0</v>
      </c>
      <c r="D11" s="272">
        <v>0</v>
      </c>
      <c r="E11" s="272">
        <v>13</v>
      </c>
      <c r="F11" s="272">
        <v>15</v>
      </c>
      <c r="G11" s="272">
        <v>14</v>
      </c>
      <c r="H11" s="272">
        <v>12</v>
      </c>
      <c r="I11" s="272">
        <v>29</v>
      </c>
      <c r="J11" s="272">
        <v>40</v>
      </c>
      <c r="K11" s="272">
        <v>35</v>
      </c>
      <c r="L11" s="272">
        <v>54</v>
      </c>
      <c r="M11" s="272">
        <v>64</v>
      </c>
      <c r="N11" s="272">
        <v>19</v>
      </c>
      <c r="O11" s="1963">
        <f t="shared" si="0"/>
        <v>295</v>
      </c>
      <c r="P11" s="1961">
        <f t="shared" si="1"/>
        <v>1.360500295159386E-3</v>
      </c>
    </row>
    <row r="12" spans="1:19" s="77" customFormat="1" ht="15.75">
      <c r="A12" s="1335" t="s">
        <v>404</v>
      </c>
      <c r="B12" s="272">
        <v>0</v>
      </c>
      <c r="C12" s="272">
        <v>0</v>
      </c>
      <c r="D12" s="272">
        <v>0</v>
      </c>
      <c r="E12" s="272">
        <v>0</v>
      </c>
      <c r="F12" s="272">
        <v>8</v>
      </c>
      <c r="G12" s="272">
        <v>12</v>
      </c>
      <c r="H12" s="272">
        <v>12</v>
      </c>
      <c r="I12" s="272">
        <v>47</v>
      </c>
      <c r="J12" s="272">
        <v>85</v>
      </c>
      <c r="K12" s="272">
        <v>84</v>
      </c>
      <c r="L12" s="272">
        <v>104</v>
      </c>
      <c r="M12" s="272">
        <v>123</v>
      </c>
      <c r="N12" s="272">
        <v>52</v>
      </c>
      <c r="O12" s="1963">
        <f t="shared" si="0"/>
        <v>527</v>
      </c>
      <c r="P12" s="1961">
        <f t="shared" si="1"/>
        <v>2.4304530696576151E-3</v>
      </c>
    </row>
    <row r="13" spans="1:19" s="77" customFormat="1" ht="15.75">
      <c r="A13" s="1335" t="s">
        <v>285</v>
      </c>
      <c r="B13" s="272">
        <v>0</v>
      </c>
      <c r="C13" s="272">
        <v>0</v>
      </c>
      <c r="D13" s="272">
        <v>1</v>
      </c>
      <c r="E13" s="272">
        <v>23</v>
      </c>
      <c r="F13" s="272">
        <v>38</v>
      </c>
      <c r="G13" s="272">
        <v>65</v>
      </c>
      <c r="H13" s="272">
        <v>123</v>
      </c>
      <c r="I13" s="272">
        <v>268</v>
      </c>
      <c r="J13" s="272">
        <v>441</v>
      </c>
      <c r="K13" s="272">
        <v>608</v>
      </c>
      <c r="L13" s="272">
        <v>672</v>
      </c>
      <c r="M13" s="272">
        <v>642</v>
      </c>
      <c r="N13" s="272">
        <v>224</v>
      </c>
      <c r="O13" s="1963">
        <f t="shared" si="0"/>
        <v>3105</v>
      </c>
      <c r="P13" s="1961">
        <f t="shared" si="1"/>
        <v>1.4319842089728453E-2</v>
      </c>
      <c r="S13" s="879"/>
    </row>
    <row r="14" spans="1:19" s="77" customFormat="1" ht="15.75">
      <c r="A14" s="1335" t="s">
        <v>284</v>
      </c>
      <c r="B14" s="272">
        <v>0</v>
      </c>
      <c r="C14" s="272">
        <v>0</v>
      </c>
      <c r="D14" s="272">
        <v>0</v>
      </c>
      <c r="E14" s="272">
        <v>67</v>
      </c>
      <c r="F14" s="272">
        <v>40</v>
      </c>
      <c r="G14" s="272">
        <v>69</v>
      </c>
      <c r="H14" s="272">
        <v>67</v>
      </c>
      <c r="I14" s="272">
        <v>110</v>
      </c>
      <c r="J14" s="272">
        <v>161</v>
      </c>
      <c r="K14" s="272">
        <v>200</v>
      </c>
      <c r="L14" s="272">
        <v>223</v>
      </c>
      <c r="M14" s="272">
        <v>229</v>
      </c>
      <c r="N14" s="272">
        <v>77</v>
      </c>
      <c r="O14" s="1963">
        <f t="shared" si="0"/>
        <v>1243</v>
      </c>
      <c r="P14" s="1961">
        <f t="shared" si="1"/>
        <v>5.732548701298701E-3</v>
      </c>
    </row>
    <row r="15" spans="1:19" s="77" customFormat="1" ht="15.75">
      <c r="A15" s="1335" t="s">
        <v>283</v>
      </c>
      <c r="B15" s="272">
        <v>0</v>
      </c>
      <c r="C15" s="272">
        <v>0</v>
      </c>
      <c r="D15" s="272">
        <v>0</v>
      </c>
      <c r="E15" s="272">
        <v>3</v>
      </c>
      <c r="F15" s="272">
        <v>2</v>
      </c>
      <c r="G15" s="272">
        <v>13</v>
      </c>
      <c r="H15" s="272">
        <v>29</v>
      </c>
      <c r="I15" s="272">
        <v>36</v>
      </c>
      <c r="J15" s="272">
        <v>51</v>
      </c>
      <c r="K15" s="272">
        <v>44</v>
      </c>
      <c r="L15" s="272">
        <v>73</v>
      </c>
      <c r="M15" s="272">
        <v>164</v>
      </c>
      <c r="N15" s="272">
        <v>24</v>
      </c>
      <c r="O15" s="1963">
        <f t="shared" si="0"/>
        <v>439</v>
      </c>
      <c r="P15" s="1961">
        <f t="shared" si="1"/>
        <v>2.0246089138134592E-3</v>
      </c>
    </row>
    <row r="16" spans="1:19" s="77" customFormat="1" ht="15.75">
      <c r="A16" s="1335" t="s">
        <v>282</v>
      </c>
      <c r="B16" s="272">
        <v>0</v>
      </c>
      <c r="C16" s="272">
        <v>1</v>
      </c>
      <c r="D16" s="272">
        <v>9</v>
      </c>
      <c r="E16" s="272">
        <v>512</v>
      </c>
      <c r="F16" s="272">
        <v>667</v>
      </c>
      <c r="G16" s="272">
        <v>854</v>
      </c>
      <c r="H16" s="272">
        <v>1224</v>
      </c>
      <c r="I16" s="272">
        <v>1579</v>
      </c>
      <c r="J16" s="272">
        <v>1879</v>
      </c>
      <c r="K16" s="272">
        <v>1757</v>
      </c>
      <c r="L16" s="272">
        <v>1808</v>
      </c>
      <c r="M16" s="272">
        <v>2065</v>
      </c>
      <c r="N16" s="272">
        <v>702</v>
      </c>
      <c r="O16" s="1963">
        <f t="shared" si="0"/>
        <v>13057</v>
      </c>
      <c r="P16" s="1961">
        <f t="shared" si="1"/>
        <v>6.0217126623376624E-2</v>
      </c>
    </row>
    <row r="17" spans="1:19" s="77" customFormat="1" ht="15.75">
      <c r="A17" s="1335" t="s">
        <v>281</v>
      </c>
      <c r="B17" s="272">
        <v>0</v>
      </c>
      <c r="C17" s="272">
        <v>0</v>
      </c>
      <c r="D17" s="272">
        <v>1</v>
      </c>
      <c r="E17" s="272">
        <v>124</v>
      </c>
      <c r="F17" s="272">
        <v>218</v>
      </c>
      <c r="G17" s="272">
        <v>320</v>
      </c>
      <c r="H17" s="272">
        <v>324</v>
      </c>
      <c r="I17" s="272">
        <v>467</v>
      </c>
      <c r="J17" s="272">
        <v>655</v>
      </c>
      <c r="K17" s="272">
        <v>716</v>
      </c>
      <c r="L17" s="272">
        <v>816</v>
      </c>
      <c r="M17" s="272">
        <v>879</v>
      </c>
      <c r="N17" s="272">
        <v>327</v>
      </c>
      <c r="O17" s="1963">
        <f t="shared" si="0"/>
        <v>4847</v>
      </c>
      <c r="P17" s="1961">
        <f t="shared" si="1"/>
        <v>2.2353711629279811E-2</v>
      </c>
    </row>
    <row r="18" spans="1:19" s="77" customFormat="1" ht="15.75">
      <c r="A18" s="1335" t="s">
        <v>280</v>
      </c>
      <c r="B18" s="272">
        <v>0</v>
      </c>
      <c r="C18" s="272">
        <v>0</v>
      </c>
      <c r="D18" s="272">
        <v>0</v>
      </c>
      <c r="E18" s="272">
        <v>13</v>
      </c>
      <c r="F18" s="272">
        <v>38</v>
      </c>
      <c r="G18" s="272">
        <v>131</v>
      </c>
      <c r="H18" s="272">
        <v>173</v>
      </c>
      <c r="I18" s="272">
        <v>155</v>
      </c>
      <c r="J18" s="272">
        <v>229</v>
      </c>
      <c r="K18" s="272">
        <v>180</v>
      </c>
      <c r="L18" s="272">
        <v>232</v>
      </c>
      <c r="M18" s="272">
        <v>274</v>
      </c>
      <c r="N18" s="272">
        <v>119</v>
      </c>
      <c r="O18" s="1963">
        <f t="shared" si="0"/>
        <v>1544</v>
      </c>
      <c r="P18" s="1961">
        <f t="shared" si="1"/>
        <v>7.1207201889020074E-3</v>
      </c>
    </row>
    <row r="19" spans="1:19" s="77" customFormat="1" ht="15.75">
      <c r="A19" s="1335" t="s">
        <v>279</v>
      </c>
      <c r="B19" s="272">
        <v>0</v>
      </c>
      <c r="C19" s="272">
        <v>0</v>
      </c>
      <c r="D19" s="272">
        <v>5</v>
      </c>
      <c r="E19" s="272">
        <v>63</v>
      </c>
      <c r="F19" s="272">
        <v>48</v>
      </c>
      <c r="G19" s="272">
        <v>187</v>
      </c>
      <c r="H19" s="272">
        <v>303</v>
      </c>
      <c r="I19" s="272">
        <v>303</v>
      </c>
      <c r="J19" s="272">
        <v>397</v>
      </c>
      <c r="K19" s="272">
        <v>370</v>
      </c>
      <c r="L19" s="272">
        <v>402</v>
      </c>
      <c r="M19" s="272">
        <v>388</v>
      </c>
      <c r="N19" s="272">
        <v>137</v>
      </c>
      <c r="O19" s="1963">
        <f t="shared" si="0"/>
        <v>2603</v>
      </c>
      <c r="P19" s="1961">
        <f t="shared" si="1"/>
        <v>1.2004685655253837E-2</v>
      </c>
    </row>
    <row r="20" spans="1:19" s="77" customFormat="1" ht="15.75">
      <c r="A20" s="1335" t="s">
        <v>278</v>
      </c>
      <c r="B20" s="272">
        <v>0</v>
      </c>
      <c r="C20" s="272">
        <v>1</v>
      </c>
      <c r="D20" s="272">
        <v>0</v>
      </c>
      <c r="E20" s="272">
        <v>11</v>
      </c>
      <c r="F20" s="272">
        <v>6</v>
      </c>
      <c r="G20" s="272">
        <v>15</v>
      </c>
      <c r="H20" s="272">
        <v>47</v>
      </c>
      <c r="I20" s="272">
        <v>54</v>
      </c>
      <c r="J20" s="272">
        <v>66</v>
      </c>
      <c r="K20" s="272">
        <v>77</v>
      </c>
      <c r="L20" s="272">
        <v>175</v>
      </c>
      <c r="M20" s="272">
        <v>282</v>
      </c>
      <c r="N20" s="272">
        <v>45</v>
      </c>
      <c r="O20" s="1963">
        <f t="shared" si="0"/>
        <v>779</v>
      </c>
      <c r="P20" s="1961">
        <f t="shared" si="1"/>
        <v>3.5926431523022433E-3</v>
      </c>
    </row>
    <row r="21" spans="1:19" s="77" customFormat="1" ht="15.75">
      <c r="A21" s="1335" t="s">
        <v>277</v>
      </c>
      <c r="B21" s="272">
        <v>0</v>
      </c>
      <c r="C21" s="272">
        <v>0</v>
      </c>
      <c r="D21" s="272">
        <v>0</v>
      </c>
      <c r="E21" s="272">
        <v>8</v>
      </c>
      <c r="F21" s="272">
        <v>9</v>
      </c>
      <c r="G21" s="272">
        <v>22</v>
      </c>
      <c r="H21" s="272">
        <v>66</v>
      </c>
      <c r="I21" s="272">
        <v>121</v>
      </c>
      <c r="J21" s="272">
        <v>133</v>
      </c>
      <c r="K21" s="272">
        <v>223</v>
      </c>
      <c r="L21" s="272">
        <v>266</v>
      </c>
      <c r="M21" s="272">
        <v>304</v>
      </c>
      <c r="N21" s="272">
        <v>102</v>
      </c>
      <c r="O21" s="1963">
        <f t="shared" si="0"/>
        <v>1254</v>
      </c>
      <c r="P21" s="1961">
        <f t="shared" si="1"/>
        <v>5.783279220779221E-3</v>
      </c>
    </row>
    <row r="22" spans="1:19" s="77" customFormat="1" ht="15.75">
      <c r="A22" s="1335" t="s">
        <v>276</v>
      </c>
      <c r="B22" s="272">
        <v>0</v>
      </c>
      <c r="C22" s="272">
        <v>1</v>
      </c>
      <c r="D22" s="272">
        <v>1</v>
      </c>
      <c r="E22" s="272">
        <v>17</v>
      </c>
      <c r="F22" s="272">
        <v>11</v>
      </c>
      <c r="G22" s="272">
        <v>16</v>
      </c>
      <c r="H22" s="272">
        <v>43</v>
      </c>
      <c r="I22" s="272">
        <v>166</v>
      </c>
      <c r="J22" s="272">
        <v>141</v>
      </c>
      <c r="K22" s="272">
        <v>139</v>
      </c>
      <c r="L22" s="272">
        <v>152</v>
      </c>
      <c r="M22" s="272">
        <v>46</v>
      </c>
      <c r="N22" s="272">
        <v>19</v>
      </c>
      <c r="O22" s="1963">
        <f t="shared" si="0"/>
        <v>752</v>
      </c>
      <c r="P22" s="1961">
        <f t="shared" si="1"/>
        <v>3.4681227863046045E-3</v>
      </c>
    </row>
    <row r="23" spans="1:19" s="77" customFormat="1" ht="15.75">
      <c r="A23" s="1335" t="s">
        <v>275</v>
      </c>
      <c r="B23" s="272">
        <v>0</v>
      </c>
      <c r="C23" s="272">
        <v>0</v>
      </c>
      <c r="D23" s="272">
        <v>1</v>
      </c>
      <c r="E23" s="272">
        <v>22</v>
      </c>
      <c r="F23" s="272">
        <v>30</v>
      </c>
      <c r="G23" s="272">
        <v>44</v>
      </c>
      <c r="H23" s="272">
        <v>82</v>
      </c>
      <c r="I23" s="272">
        <v>177</v>
      </c>
      <c r="J23" s="272">
        <v>260</v>
      </c>
      <c r="K23" s="272">
        <v>282</v>
      </c>
      <c r="L23" s="272">
        <v>342</v>
      </c>
      <c r="M23" s="272">
        <v>371</v>
      </c>
      <c r="N23" s="272">
        <v>176</v>
      </c>
      <c r="O23" s="1963">
        <f t="shared" si="0"/>
        <v>1787</v>
      </c>
      <c r="P23" s="1961">
        <f t="shared" si="1"/>
        <v>8.2414034828807558E-3</v>
      </c>
    </row>
    <row r="24" spans="1:19" s="77" customFormat="1" ht="15.75">
      <c r="A24" s="1335" t="s">
        <v>274</v>
      </c>
      <c r="B24" s="272">
        <v>0</v>
      </c>
      <c r="C24" s="272">
        <v>0</v>
      </c>
      <c r="D24" s="272">
        <v>4</v>
      </c>
      <c r="E24" s="272">
        <v>278</v>
      </c>
      <c r="F24" s="272">
        <v>496</v>
      </c>
      <c r="G24" s="272">
        <v>725</v>
      </c>
      <c r="H24" s="272">
        <v>943</v>
      </c>
      <c r="I24" s="272">
        <v>992</v>
      </c>
      <c r="J24" s="272">
        <v>1013</v>
      </c>
      <c r="K24" s="272">
        <v>1085</v>
      </c>
      <c r="L24" s="272">
        <v>1043</v>
      </c>
      <c r="M24" s="272">
        <v>1196</v>
      </c>
      <c r="N24" s="272">
        <v>471</v>
      </c>
      <c r="O24" s="1963">
        <f t="shared" si="0"/>
        <v>8246</v>
      </c>
      <c r="P24" s="1961">
        <f t="shared" si="1"/>
        <v>3.8029442148760334E-2</v>
      </c>
    </row>
    <row r="25" spans="1:19" s="77" customFormat="1" ht="15.75">
      <c r="A25" s="1335" t="s">
        <v>273</v>
      </c>
      <c r="B25" s="272">
        <v>0</v>
      </c>
      <c r="C25" s="272">
        <v>0</v>
      </c>
      <c r="D25" s="272">
        <v>0</v>
      </c>
      <c r="E25" s="272">
        <v>2</v>
      </c>
      <c r="F25" s="272">
        <v>9</v>
      </c>
      <c r="G25" s="272">
        <v>19</v>
      </c>
      <c r="H25" s="272">
        <v>33</v>
      </c>
      <c r="I25" s="272">
        <v>83</v>
      </c>
      <c r="J25" s="272">
        <v>128</v>
      </c>
      <c r="K25" s="272">
        <v>180</v>
      </c>
      <c r="L25" s="272">
        <v>177</v>
      </c>
      <c r="M25" s="272">
        <v>186</v>
      </c>
      <c r="N25" s="272">
        <v>84</v>
      </c>
      <c r="O25" s="1963">
        <f t="shared" si="0"/>
        <v>901</v>
      </c>
      <c r="P25" s="1961">
        <f t="shared" si="1"/>
        <v>4.1552907319952776E-3</v>
      </c>
      <c r="S25" s="173"/>
    </row>
    <row r="26" spans="1:19" s="77" customFormat="1" ht="15.75">
      <c r="A26" s="1335" t="s">
        <v>272</v>
      </c>
      <c r="B26" s="272">
        <v>0</v>
      </c>
      <c r="C26" s="272">
        <v>0</v>
      </c>
      <c r="D26" s="272">
        <v>0</v>
      </c>
      <c r="E26" s="272">
        <v>17</v>
      </c>
      <c r="F26" s="272">
        <v>12</v>
      </c>
      <c r="G26" s="272">
        <v>6</v>
      </c>
      <c r="H26" s="272">
        <v>33</v>
      </c>
      <c r="I26" s="272">
        <v>106</v>
      </c>
      <c r="J26" s="272">
        <v>152</v>
      </c>
      <c r="K26" s="272">
        <v>150</v>
      </c>
      <c r="L26" s="272">
        <v>127</v>
      </c>
      <c r="M26" s="272">
        <v>174</v>
      </c>
      <c r="N26" s="272">
        <v>82</v>
      </c>
      <c r="O26" s="1963">
        <f t="shared" si="0"/>
        <v>859</v>
      </c>
      <c r="P26" s="1961">
        <f t="shared" si="1"/>
        <v>3.9615923848878394E-3</v>
      </c>
    </row>
    <row r="27" spans="1:19" s="77" customFormat="1" ht="15.75">
      <c r="A27" s="1335" t="s">
        <v>271</v>
      </c>
      <c r="B27" s="272">
        <v>1</v>
      </c>
      <c r="C27" s="272">
        <v>1</v>
      </c>
      <c r="D27" s="272">
        <v>9</v>
      </c>
      <c r="E27" s="272">
        <v>234</v>
      </c>
      <c r="F27" s="272">
        <v>426</v>
      </c>
      <c r="G27" s="272">
        <v>422</v>
      </c>
      <c r="H27" s="272">
        <v>441</v>
      </c>
      <c r="I27" s="272">
        <v>639</v>
      </c>
      <c r="J27" s="272">
        <v>812</v>
      </c>
      <c r="K27" s="272">
        <v>865</v>
      </c>
      <c r="L27" s="272">
        <v>1003</v>
      </c>
      <c r="M27" s="272">
        <v>1045</v>
      </c>
      <c r="N27" s="272">
        <v>410</v>
      </c>
      <c r="O27" s="1963">
        <f t="shared" si="0"/>
        <v>6308</v>
      </c>
      <c r="P27" s="1961">
        <f t="shared" si="1"/>
        <v>2.9091646989374262E-2</v>
      </c>
    </row>
    <row r="28" spans="1:19" s="77" customFormat="1" ht="15.75">
      <c r="A28" s="1335" t="s">
        <v>270</v>
      </c>
      <c r="B28" s="272">
        <v>0</v>
      </c>
      <c r="C28" s="272">
        <v>0</v>
      </c>
      <c r="D28" s="272">
        <v>0</v>
      </c>
      <c r="E28" s="272">
        <v>4</v>
      </c>
      <c r="F28" s="272">
        <v>1</v>
      </c>
      <c r="G28" s="272">
        <v>0</v>
      </c>
      <c r="H28" s="272">
        <v>1</v>
      </c>
      <c r="I28" s="272">
        <v>2</v>
      </c>
      <c r="J28" s="272">
        <v>1</v>
      </c>
      <c r="K28" s="272">
        <v>0</v>
      </c>
      <c r="L28" s="272">
        <v>2</v>
      </c>
      <c r="M28" s="272">
        <v>1</v>
      </c>
      <c r="N28" s="272">
        <v>0</v>
      </c>
      <c r="O28" s="1963">
        <f t="shared" si="0"/>
        <v>12</v>
      </c>
      <c r="P28" s="1961">
        <f t="shared" si="1"/>
        <v>5.5342384887839434E-5</v>
      </c>
    </row>
    <row r="29" spans="1:19" s="77" customFormat="1" ht="15.75">
      <c r="A29" s="1335" t="s">
        <v>269</v>
      </c>
      <c r="B29" s="272">
        <v>0</v>
      </c>
      <c r="C29" s="272">
        <v>0</v>
      </c>
      <c r="D29" s="272">
        <v>3</v>
      </c>
      <c r="E29" s="272">
        <v>39</v>
      </c>
      <c r="F29" s="272">
        <v>21</v>
      </c>
      <c r="G29" s="272">
        <v>84</v>
      </c>
      <c r="H29" s="272">
        <v>112</v>
      </c>
      <c r="I29" s="272">
        <v>191</v>
      </c>
      <c r="J29" s="272">
        <v>233</v>
      </c>
      <c r="K29" s="272">
        <v>201</v>
      </c>
      <c r="L29" s="272">
        <v>241</v>
      </c>
      <c r="M29" s="272">
        <v>260</v>
      </c>
      <c r="N29" s="272">
        <v>91</v>
      </c>
      <c r="O29" s="1963">
        <f t="shared" si="0"/>
        <v>1476</v>
      </c>
      <c r="P29" s="1961">
        <f t="shared" si="1"/>
        <v>6.8071133412042507E-3</v>
      </c>
      <c r="R29" s="879"/>
    </row>
    <row r="30" spans="1:19" s="77" customFormat="1" ht="15.75">
      <c r="A30" s="1335" t="s">
        <v>268</v>
      </c>
      <c r="B30" s="272">
        <v>0</v>
      </c>
      <c r="C30" s="272">
        <v>0</v>
      </c>
      <c r="D30" s="272">
        <v>3</v>
      </c>
      <c r="E30" s="272">
        <v>175</v>
      </c>
      <c r="F30" s="272">
        <v>369</v>
      </c>
      <c r="G30" s="272">
        <v>516</v>
      </c>
      <c r="H30" s="272">
        <v>478</v>
      </c>
      <c r="I30" s="272">
        <v>801</v>
      </c>
      <c r="J30" s="272">
        <v>641</v>
      </c>
      <c r="K30" s="272">
        <v>779</v>
      </c>
      <c r="L30" s="272">
        <v>932</v>
      </c>
      <c r="M30" s="272">
        <v>1008</v>
      </c>
      <c r="N30" s="272">
        <v>369</v>
      </c>
      <c r="O30" s="1963">
        <f t="shared" si="0"/>
        <v>6071</v>
      </c>
      <c r="P30" s="1961">
        <f t="shared" si="1"/>
        <v>2.7998634887839432E-2</v>
      </c>
    </row>
    <row r="31" spans="1:19" s="77" customFormat="1" ht="15.75">
      <c r="A31" s="1335" t="s">
        <v>267</v>
      </c>
      <c r="B31" s="272">
        <v>0</v>
      </c>
      <c r="C31" s="272">
        <v>0</v>
      </c>
      <c r="D31" s="272">
        <v>1</v>
      </c>
      <c r="E31" s="272">
        <v>21</v>
      </c>
      <c r="F31" s="272">
        <v>26</v>
      </c>
      <c r="G31" s="272">
        <v>71</v>
      </c>
      <c r="H31" s="272">
        <v>90</v>
      </c>
      <c r="I31" s="272">
        <v>191</v>
      </c>
      <c r="J31" s="272">
        <v>177</v>
      </c>
      <c r="K31" s="272">
        <v>230</v>
      </c>
      <c r="L31" s="272">
        <v>227</v>
      </c>
      <c r="M31" s="272">
        <v>265</v>
      </c>
      <c r="N31" s="272">
        <v>100</v>
      </c>
      <c r="O31" s="1963">
        <f t="shared" si="0"/>
        <v>1399</v>
      </c>
      <c r="P31" s="1961">
        <f t="shared" si="1"/>
        <v>6.4519997048406138E-3</v>
      </c>
    </row>
    <row r="32" spans="1:19" s="77" customFormat="1" ht="15.75">
      <c r="A32" s="1335" t="s">
        <v>266</v>
      </c>
      <c r="B32" s="272">
        <v>1</v>
      </c>
      <c r="C32" s="272">
        <v>1</v>
      </c>
      <c r="D32" s="272">
        <v>11</v>
      </c>
      <c r="E32" s="272">
        <v>831</v>
      </c>
      <c r="F32" s="272">
        <v>1946</v>
      </c>
      <c r="G32" s="272">
        <v>3132</v>
      </c>
      <c r="H32" s="272">
        <v>3724</v>
      </c>
      <c r="I32" s="272">
        <v>4758</v>
      </c>
      <c r="J32" s="272">
        <v>5812</v>
      </c>
      <c r="K32" s="272">
        <v>6563</v>
      </c>
      <c r="L32" s="272">
        <v>6779</v>
      </c>
      <c r="M32" s="272">
        <v>7876</v>
      </c>
      <c r="N32" s="272">
        <v>2566</v>
      </c>
      <c r="O32" s="1963">
        <f t="shared" si="0"/>
        <v>44000</v>
      </c>
      <c r="P32" s="1961">
        <f t="shared" si="1"/>
        <v>0.20292207792207792</v>
      </c>
    </row>
    <row r="33" spans="1:19" s="77" customFormat="1" ht="15.75">
      <c r="A33" s="1335" t="s">
        <v>265</v>
      </c>
      <c r="B33" s="272">
        <v>0</v>
      </c>
      <c r="C33" s="272">
        <v>0</v>
      </c>
      <c r="D33" s="272">
        <v>1</v>
      </c>
      <c r="E33" s="272">
        <v>18</v>
      </c>
      <c r="F33" s="272">
        <v>26</v>
      </c>
      <c r="G33" s="272">
        <v>63</v>
      </c>
      <c r="H33" s="272">
        <v>84</v>
      </c>
      <c r="I33" s="272">
        <v>122</v>
      </c>
      <c r="J33" s="272">
        <v>134</v>
      </c>
      <c r="K33" s="272">
        <v>149</v>
      </c>
      <c r="L33" s="272">
        <v>131</v>
      </c>
      <c r="M33" s="272">
        <v>169</v>
      </c>
      <c r="N33" s="272">
        <v>42</v>
      </c>
      <c r="O33" s="1963">
        <f t="shared" si="0"/>
        <v>939</v>
      </c>
      <c r="P33" s="1961">
        <f t="shared" si="1"/>
        <v>4.3305416174734355E-3</v>
      </c>
    </row>
    <row r="34" spans="1:19" s="879" customFormat="1" ht="15.75">
      <c r="A34" s="1335" t="s">
        <v>132</v>
      </c>
      <c r="B34" s="272">
        <v>1</v>
      </c>
      <c r="C34" s="272">
        <v>2</v>
      </c>
      <c r="D34" s="272">
        <v>12</v>
      </c>
      <c r="E34" s="272">
        <v>891</v>
      </c>
      <c r="F34" s="272">
        <v>611</v>
      </c>
      <c r="G34" s="272">
        <v>342</v>
      </c>
      <c r="H34" s="272">
        <v>732</v>
      </c>
      <c r="I34" s="272">
        <v>1119</v>
      </c>
      <c r="J34" s="272">
        <v>1422</v>
      </c>
      <c r="K34" s="272">
        <v>1168</v>
      </c>
      <c r="L34" s="272">
        <v>1470</v>
      </c>
      <c r="M34" s="272">
        <v>1505</v>
      </c>
      <c r="N34" s="272">
        <v>537</v>
      </c>
      <c r="O34" s="1963">
        <f t="shared" si="0"/>
        <v>9812</v>
      </c>
      <c r="P34" s="1961">
        <f t="shared" si="1"/>
        <v>4.5251623376623376E-2</v>
      </c>
      <c r="R34" s="77"/>
      <c r="S34" s="1458"/>
    </row>
    <row r="35" spans="1:19" s="879" customFormat="1" ht="15.75">
      <c r="A35" s="1336" t="s">
        <v>264</v>
      </c>
      <c r="B35" s="533">
        <v>0</v>
      </c>
      <c r="C35" s="533">
        <v>0</v>
      </c>
      <c r="D35" s="533">
        <v>0</v>
      </c>
      <c r="E35" s="533">
        <v>36</v>
      </c>
      <c r="F35" s="533">
        <v>54</v>
      </c>
      <c r="G35" s="533">
        <v>149</v>
      </c>
      <c r="H35" s="533">
        <v>215</v>
      </c>
      <c r="I35" s="533">
        <v>280</v>
      </c>
      <c r="J35" s="272">
        <v>360</v>
      </c>
      <c r="K35" s="272">
        <v>447</v>
      </c>
      <c r="L35" s="272">
        <v>616</v>
      </c>
      <c r="M35" s="272">
        <v>692</v>
      </c>
      <c r="N35" s="272">
        <v>292</v>
      </c>
      <c r="O35" s="1963">
        <f t="shared" si="0"/>
        <v>3141</v>
      </c>
      <c r="P35" s="1962">
        <f t="shared" si="1"/>
        <v>1.4485869244391972E-2</v>
      </c>
      <c r="R35" s="77"/>
    </row>
    <row r="36" spans="1:19" s="77" customFormat="1" ht="15.75">
      <c r="A36" s="537" t="s">
        <v>23</v>
      </c>
      <c r="B36" s="536">
        <f>SUM(B1:B2)</f>
        <v>0</v>
      </c>
      <c r="C36" s="536">
        <f>SUM(C3:C35)</f>
        <v>3731</v>
      </c>
      <c r="D36" s="536">
        <f t="shared" ref="D36:N36" si="2">SUM(D3:D35)</f>
        <v>5535</v>
      </c>
      <c r="E36" s="536">
        <f t="shared" si="2"/>
        <v>8544</v>
      </c>
      <c r="F36" s="536">
        <f t="shared" si="2"/>
        <v>10977</v>
      </c>
      <c r="G36" s="536">
        <f t="shared" si="2"/>
        <v>14683</v>
      </c>
      <c r="H36" s="536">
        <f t="shared" si="2"/>
        <v>17456</v>
      </c>
      <c r="I36" s="536">
        <f t="shared" si="2"/>
        <v>22597</v>
      </c>
      <c r="J36" s="536">
        <f t="shared" si="2"/>
        <v>26688</v>
      </c>
      <c r="K36" s="536">
        <f t="shared" si="2"/>
        <v>28635</v>
      </c>
      <c r="L36" s="536">
        <f t="shared" si="2"/>
        <v>31032</v>
      </c>
      <c r="M36" s="536">
        <f t="shared" si="2"/>
        <v>34549</v>
      </c>
      <c r="N36" s="536">
        <f t="shared" si="2"/>
        <v>12405</v>
      </c>
      <c r="O36" s="1993">
        <f>SUM(C36:N36)</f>
        <v>216832</v>
      </c>
      <c r="P36" s="1962">
        <f>SUM(P4:P35)</f>
        <v>1.0122076077331759</v>
      </c>
    </row>
    <row r="37" spans="1:19" s="77" customFormat="1">
      <c r="N37" s="1458"/>
      <c r="Q37" s="879"/>
    </row>
    <row r="38" spans="1:19" s="77" customFormat="1" ht="21" customHeight="1">
      <c r="N38" s="1458"/>
    </row>
    <row r="39" spans="1:19" s="77" customFormat="1">
      <c r="N39" s="1458"/>
    </row>
    <row r="40" spans="1:19" s="77" customFormat="1">
      <c r="N40" s="1458"/>
    </row>
    <row r="41" spans="1:19" s="77" customFormat="1" ht="21" customHeight="1">
      <c r="N41" s="1458"/>
    </row>
    <row r="42" spans="1:19" s="77" customFormat="1">
      <c r="N42" s="1458"/>
    </row>
    <row r="43" spans="1:19" s="77" customFormat="1">
      <c r="N43" s="1458"/>
    </row>
    <row r="44" spans="1:19" s="77" customFormat="1" ht="21" customHeight="1">
      <c r="N44" s="1458"/>
    </row>
    <row r="45" spans="1:19" s="77" customFormat="1" ht="31.5" customHeight="1">
      <c r="N45" s="1458"/>
    </row>
    <row r="46" spans="1:19" s="77" customFormat="1">
      <c r="A46" s="39"/>
      <c r="B46" s="39"/>
      <c r="C46" s="39"/>
      <c r="D46" s="39"/>
      <c r="E46" s="39"/>
      <c r="F46" s="39"/>
      <c r="G46" s="39"/>
      <c r="H46" s="39"/>
      <c r="I46" s="39"/>
      <c r="J46" s="39"/>
      <c r="K46" s="39"/>
      <c r="L46" s="39"/>
      <c r="M46" s="39"/>
      <c r="N46" s="39"/>
      <c r="O46" s="39"/>
      <c r="P46" s="39"/>
    </row>
    <row r="47" spans="1:19" ht="21" customHeight="1">
      <c r="Q47" s="77"/>
    </row>
    <row r="48" spans="1:19">
      <c r="Q48" s="77"/>
    </row>
  </sheetData>
  <mergeCells count="1">
    <mergeCell ref="A1:Q1"/>
  </mergeCells>
  <printOptions horizontalCentered="1"/>
  <pageMargins left="0.39370078740157483" right="0.39370078740157483" top="0.23622047244094491" bottom="0.23622047244094491" header="0.31496062992125984" footer="0.31496062992125984"/>
  <pageSetup scale="53" orientation="landscape" r:id="rId1"/>
  <rowBreaks count="1" manualBreakCount="1">
    <brk id="17" max="1638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M27"/>
  <sheetViews>
    <sheetView showGridLines="0" view="pageBreakPreview" zoomScale="70" zoomScaleNormal="100" zoomScaleSheetLayoutView="70" workbookViewId="0">
      <selection activeCell="N39" sqref="N39"/>
    </sheetView>
  </sheetViews>
  <sheetFormatPr baseColWidth="10" defaultColWidth="11.42578125" defaultRowHeight="15"/>
  <cols>
    <col min="1" max="1" width="19.5703125" style="39" customWidth="1"/>
    <col min="2" max="2" width="12.7109375" style="39" customWidth="1"/>
    <col min="3" max="3" width="13.140625" style="39" customWidth="1"/>
    <col min="4" max="4" width="13.85546875" style="39" customWidth="1"/>
    <col min="5" max="5" width="11.5703125" style="39" customWidth="1"/>
    <col min="6" max="6" width="13.85546875" style="39" customWidth="1"/>
    <col min="7" max="7" width="14" style="39" customWidth="1"/>
    <col min="8" max="8" width="16.7109375" style="39" customWidth="1"/>
    <col min="9" max="9" width="20.28515625" style="39" customWidth="1"/>
    <col min="10" max="10" width="21.42578125" style="39" customWidth="1"/>
    <col min="11" max="11" width="16.7109375" style="39" customWidth="1"/>
    <col min="12" max="12" width="18.42578125" style="39" customWidth="1"/>
    <col min="13" max="16384" width="11.42578125" style="39"/>
  </cols>
  <sheetData>
    <row r="1" spans="1:13" s="77" customFormat="1" ht="69" customHeight="1">
      <c r="A1" s="2227"/>
      <c r="B1" s="2227"/>
      <c r="C1" s="2227"/>
      <c r="D1" s="2227"/>
      <c r="E1" s="2227"/>
      <c r="F1" s="2227"/>
      <c r="G1" s="2227"/>
      <c r="H1" s="2227"/>
      <c r="I1" s="2227"/>
      <c r="J1" s="2227"/>
      <c r="K1" s="2227"/>
      <c r="L1" s="2227"/>
    </row>
    <row r="2" spans="1:13" s="77" customFormat="1" ht="12" customHeight="1">
      <c r="A2" s="134"/>
      <c r="B2" s="134"/>
      <c r="C2" s="134"/>
      <c r="D2" s="134"/>
      <c r="E2" s="134"/>
      <c r="F2" s="134"/>
      <c r="G2" s="134"/>
      <c r="H2" s="134"/>
      <c r="I2" s="134"/>
      <c r="J2" s="134"/>
      <c r="K2" s="134"/>
      <c r="L2" s="134"/>
    </row>
    <row r="3" spans="1:13" s="134" customFormat="1" ht="34.5" customHeight="1">
      <c r="A3" s="604" t="s">
        <v>0</v>
      </c>
      <c r="B3" s="602" t="s">
        <v>299</v>
      </c>
      <c r="C3" s="602" t="s">
        <v>298</v>
      </c>
      <c r="D3" s="602" t="s">
        <v>297</v>
      </c>
      <c r="E3" s="558" t="s">
        <v>133</v>
      </c>
      <c r="F3" s="602" t="s">
        <v>296</v>
      </c>
      <c r="G3" s="602" t="s">
        <v>295</v>
      </c>
      <c r="H3" s="603" t="s">
        <v>294</v>
      </c>
    </row>
    <row r="4" spans="1:13" s="77" customFormat="1" ht="15.75">
      <c r="A4" s="605">
        <v>2005</v>
      </c>
      <c r="B4" s="567">
        <v>215</v>
      </c>
      <c r="C4" s="567">
        <v>3135</v>
      </c>
      <c r="D4" s="567">
        <v>381</v>
      </c>
      <c r="E4" s="1917">
        <f t="shared" ref="E4:E10" si="0">SUM(B4:D4)</f>
        <v>3731</v>
      </c>
      <c r="F4" s="601">
        <f t="shared" ref="F4:F16" si="1">B4/E4</f>
        <v>5.7625301527740549E-2</v>
      </c>
      <c r="G4" s="601">
        <f t="shared" ref="G4:G16" si="2">C4/E4</f>
        <v>0.84025730367193785</v>
      </c>
      <c r="H4" s="606">
        <f t="shared" ref="H4:H16" si="3">D4/E4</f>
        <v>0.10211739480032163</v>
      </c>
    </row>
    <row r="5" spans="1:13" s="77" customFormat="1" ht="15.75">
      <c r="A5" s="605" t="s">
        <v>240</v>
      </c>
      <c r="B5" s="567">
        <v>530</v>
      </c>
      <c r="C5" s="567">
        <v>4514</v>
      </c>
      <c r="D5" s="567">
        <v>491</v>
      </c>
      <c r="E5" s="1917">
        <f t="shared" si="0"/>
        <v>5535</v>
      </c>
      <c r="F5" s="601">
        <f t="shared" si="1"/>
        <v>9.5754290876242099E-2</v>
      </c>
      <c r="G5" s="601">
        <f t="shared" si="2"/>
        <v>0.8155374887082204</v>
      </c>
      <c r="H5" s="606">
        <f t="shared" si="3"/>
        <v>8.8708220415537484E-2</v>
      </c>
    </row>
    <row r="6" spans="1:13" s="77" customFormat="1" ht="15.75">
      <c r="A6" s="605" t="s">
        <v>165</v>
      </c>
      <c r="B6" s="567">
        <v>973</v>
      </c>
      <c r="C6" s="567">
        <v>7357</v>
      </c>
      <c r="D6" s="567">
        <v>214</v>
      </c>
      <c r="E6" s="1917">
        <f t="shared" si="0"/>
        <v>8544</v>
      </c>
      <c r="F6" s="601">
        <f t="shared" si="1"/>
        <v>0.11388108614232209</v>
      </c>
      <c r="G6" s="601">
        <f t="shared" si="2"/>
        <v>0.86107209737827717</v>
      </c>
      <c r="H6" s="606">
        <f t="shared" si="3"/>
        <v>2.5046816479400748E-2</v>
      </c>
    </row>
    <row r="7" spans="1:13" s="77" customFormat="1" ht="15.75">
      <c r="A7" s="605" t="s">
        <v>214</v>
      </c>
      <c r="B7" s="567">
        <v>1313</v>
      </c>
      <c r="C7" s="567">
        <v>9407</v>
      </c>
      <c r="D7" s="567">
        <v>257</v>
      </c>
      <c r="E7" s="1917">
        <f t="shared" si="0"/>
        <v>10977</v>
      </c>
      <c r="F7" s="601">
        <f t="shared" si="1"/>
        <v>0.11961373781543226</v>
      </c>
      <c r="G7" s="601">
        <f t="shared" si="2"/>
        <v>0.85697367222374055</v>
      </c>
      <c r="H7" s="606">
        <f t="shared" si="3"/>
        <v>2.3412589960827183E-2</v>
      </c>
    </row>
    <row r="8" spans="1:13" s="77" customFormat="1" ht="15.75">
      <c r="A8" s="605" t="s">
        <v>215</v>
      </c>
      <c r="B8" s="567">
        <v>1953</v>
      </c>
      <c r="C8" s="567">
        <v>12523</v>
      </c>
      <c r="D8" s="567">
        <v>207</v>
      </c>
      <c r="E8" s="1917">
        <f t="shared" si="0"/>
        <v>14683</v>
      </c>
      <c r="F8" s="601">
        <f t="shared" si="1"/>
        <v>0.1330109650616359</v>
      </c>
      <c r="G8" s="601">
        <f t="shared" si="2"/>
        <v>0.85289109854934275</v>
      </c>
      <c r="H8" s="606">
        <f t="shared" si="3"/>
        <v>1.4097936389021317E-2</v>
      </c>
    </row>
    <row r="9" spans="1:13" s="77" customFormat="1" ht="15.75">
      <c r="A9" s="605" t="s">
        <v>184</v>
      </c>
      <c r="B9" s="567">
        <v>2519</v>
      </c>
      <c r="C9" s="567">
        <v>14493</v>
      </c>
      <c r="D9" s="567">
        <v>444</v>
      </c>
      <c r="E9" s="1917">
        <f t="shared" si="0"/>
        <v>17456</v>
      </c>
      <c r="F9" s="601">
        <f t="shared" si="1"/>
        <v>0.1443056828597617</v>
      </c>
      <c r="G9" s="601">
        <f t="shared" si="2"/>
        <v>0.8302589367552704</v>
      </c>
      <c r="H9" s="606">
        <f t="shared" si="3"/>
        <v>2.5435380384967919E-2</v>
      </c>
    </row>
    <row r="10" spans="1:13" s="77" customFormat="1" ht="15.75">
      <c r="A10" s="605" t="s">
        <v>216</v>
      </c>
      <c r="B10" s="567">
        <v>3191</v>
      </c>
      <c r="C10" s="567">
        <v>18636</v>
      </c>
      <c r="D10" s="567">
        <v>770</v>
      </c>
      <c r="E10" s="1917">
        <f t="shared" si="0"/>
        <v>22597</v>
      </c>
      <c r="F10" s="601">
        <f t="shared" si="1"/>
        <v>0.14121343541178033</v>
      </c>
      <c r="G10" s="601">
        <f t="shared" si="2"/>
        <v>0.82471124485551184</v>
      </c>
      <c r="H10" s="606">
        <f t="shared" si="3"/>
        <v>3.407531973270788E-2</v>
      </c>
    </row>
    <row r="11" spans="1:13" s="77" customFormat="1" ht="15.75">
      <c r="A11" s="605" t="s">
        <v>457</v>
      </c>
      <c r="B11" s="567">
        <v>3646</v>
      </c>
      <c r="C11" s="567">
        <v>23042</v>
      </c>
      <c r="D11" s="567">
        <v>0</v>
      </c>
      <c r="E11" s="1917">
        <f>SUM(B11:D11)</f>
        <v>26688</v>
      </c>
      <c r="F11" s="601">
        <f>B11/E11</f>
        <v>0.13661570743405277</v>
      </c>
      <c r="G11" s="601">
        <f>C11/E11</f>
        <v>0.86338429256594729</v>
      </c>
      <c r="H11" s="606">
        <f>D11/E11</f>
        <v>0</v>
      </c>
    </row>
    <row r="12" spans="1:13" s="77" customFormat="1" ht="15.75">
      <c r="A12" s="605" t="s">
        <v>534</v>
      </c>
      <c r="B12" s="567">
        <v>4605</v>
      </c>
      <c r="C12" s="567">
        <v>24027</v>
      </c>
      <c r="D12" s="567">
        <v>3</v>
      </c>
      <c r="E12" s="1917">
        <f>SUM(B12:D12)</f>
        <v>28635</v>
      </c>
      <c r="F12" s="601">
        <f>B12/E12</f>
        <v>0.16081718177056051</v>
      </c>
      <c r="G12" s="601">
        <f>C12/E12</f>
        <v>0.83907805133577784</v>
      </c>
      <c r="H12" s="606">
        <f>D12/E12</f>
        <v>1.0476689366160294E-4</v>
      </c>
    </row>
    <row r="13" spans="1:13" s="77" customFormat="1" ht="15.75">
      <c r="A13" s="605" t="s">
        <v>541</v>
      </c>
      <c r="B13" s="567">
        <v>4791</v>
      </c>
      <c r="C13" s="567">
        <v>26240</v>
      </c>
      <c r="D13" s="567">
        <v>1</v>
      </c>
      <c r="E13" s="1917">
        <f>SUM(B13:D13)</f>
        <v>31032</v>
      </c>
      <c r="F13" s="601">
        <f>B13/E13</f>
        <v>0.15438901778808972</v>
      </c>
      <c r="G13" s="601">
        <f>C13/E13</f>
        <v>0.84557875741170407</v>
      </c>
      <c r="H13" s="606">
        <f>D13/E13</f>
        <v>3.2224800206238723E-5</v>
      </c>
    </row>
    <row r="14" spans="1:13" s="77" customFormat="1" ht="15.75">
      <c r="A14" s="605" t="s">
        <v>900</v>
      </c>
      <c r="B14" s="567">
        <v>4653</v>
      </c>
      <c r="C14" s="567">
        <v>29895</v>
      </c>
      <c r="D14" s="567">
        <v>1</v>
      </c>
      <c r="E14" s="1917">
        <f>SUM(B14:D14)</f>
        <v>34549</v>
      </c>
      <c r="F14" s="601">
        <f>B14/E14</f>
        <v>0.1346782830183218</v>
      </c>
      <c r="G14" s="601">
        <f>C14/E14</f>
        <v>0.86529277258386639</v>
      </c>
      <c r="H14" s="606">
        <f>D14/E14</f>
        <v>2.8944397811803524E-5</v>
      </c>
    </row>
    <row r="15" spans="1:13" s="77" customFormat="1" ht="15.75">
      <c r="A15" s="605" t="s">
        <v>1012</v>
      </c>
      <c r="B15" s="567">
        <f>312+448+527+482</f>
        <v>1769</v>
      </c>
      <c r="C15" s="567">
        <f>1996+2676+3137+2826</f>
        <v>10635</v>
      </c>
      <c r="D15" s="567">
        <v>1</v>
      </c>
      <c r="E15" s="1917">
        <f>SUM(B15:D15)</f>
        <v>12405</v>
      </c>
      <c r="F15" s="601">
        <f>B15/E15</f>
        <v>0.14260378879484079</v>
      </c>
      <c r="G15" s="601">
        <f>C15/E15</f>
        <v>0.85731559854897221</v>
      </c>
      <c r="H15" s="606">
        <f>D15/E15</f>
        <v>8.0612656187021366E-5</v>
      </c>
    </row>
    <row r="16" spans="1:13" s="77" customFormat="1" ht="15.75">
      <c r="A16" s="558" t="s">
        <v>23</v>
      </c>
      <c r="B16" s="607">
        <f>SUM(B4:B15)</f>
        <v>30158</v>
      </c>
      <c r="C16" s="607">
        <f>SUM(C4:C15)</f>
        <v>183904</v>
      </c>
      <c r="D16" s="607">
        <f>SUM(D4:D15)</f>
        <v>2770</v>
      </c>
      <c r="E16" s="1918">
        <f>SUM(E4:E15)</f>
        <v>216832</v>
      </c>
      <c r="F16" s="608">
        <f t="shared" si="1"/>
        <v>0.13908463695395515</v>
      </c>
      <c r="G16" s="608">
        <f t="shared" si="2"/>
        <v>0.84814049586776863</v>
      </c>
      <c r="H16" s="609">
        <f t="shared" si="3"/>
        <v>1.2774867178276269E-2</v>
      </c>
      <c r="L16" s="39"/>
      <c r="M16" s="1458"/>
    </row>
    <row r="17" spans="1:13" s="77" customFormat="1">
      <c r="A17" s="142"/>
      <c r="B17" s="141"/>
      <c r="C17" s="141"/>
      <c r="D17" s="141"/>
      <c r="L17" s="39"/>
    </row>
    <row r="18" spans="1:13" s="77" customFormat="1">
      <c r="A18" s="142"/>
      <c r="B18" s="141"/>
      <c r="C18" s="141"/>
      <c r="D18" s="141"/>
      <c r="M18" s="1458"/>
    </row>
    <row r="19" spans="1:13" s="77" customFormat="1">
      <c r="A19" s="142"/>
      <c r="B19" s="141"/>
      <c r="C19" s="141"/>
      <c r="D19" s="141"/>
    </row>
    <row r="20" spans="1:13" s="77" customFormat="1">
      <c r="A20" s="142"/>
      <c r="B20" s="141"/>
      <c r="C20" s="141"/>
      <c r="D20" s="141"/>
    </row>
    <row r="21" spans="1:13" s="77" customFormat="1"/>
    <row r="22" spans="1:13" s="77" customFormat="1"/>
    <row r="23" spans="1:13" s="77" customFormat="1"/>
    <row r="24" spans="1:13" s="77" customFormat="1"/>
    <row r="25" spans="1:13" s="77" customFormat="1"/>
    <row r="26" spans="1:13">
      <c r="A26" s="77"/>
      <c r="B26" s="77"/>
      <c r="C26" s="77"/>
      <c r="D26" s="77"/>
      <c r="E26" s="77"/>
      <c r="F26" s="77"/>
      <c r="G26" s="77"/>
      <c r="H26" s="77"/>
    </row>
    <row r="27" spans="1:13">
      <c r="A27" s="77"/>
      <c r="B27" s="77"/>
      <c r="C27" s="77"/>
      <c r="D27" s="77"/>
      <c r="E27" s="77"/>
      <c r="F27" s="77"/>
      <c r="G27" s="77"/>
      <c r="H27" s="77"/>
      <c r="L27" s="140"/>
    </row>
  </sheetData>
  <mergeCells count="1">
    <mergeCell ref="A1:L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N27"/>
  <sheetViews>
    <sheetView showGridLines="0" view="pageBreakPreview" zoomScaleNormal="100" zoomScaleSheetLayoutView="100" workbookViewId="0">
      <selection activeCell="H11" sqref="H11"/>
    </sheetView>
  </sheetViews>
  <sheetFormatPr baseColWidth="10" defaultColWidth="11.42578125" defaultRowHeight="15"/>
  <cols>
    <col min="1" max="1" width="19" style="39" customWidth="1"/>
    <col min="2" max="2" width="12.28515625" style="39" customWidth="1"/>
    <col min="3" max="3" width="14.42578125" style="39" customWidth="1"/>
    <col min="4" max="4" width="14.42578125" style="39" hidden="1" customWidth="1"/>
    <col min="5" max="5" width="12.7109375" style="39" customWidth="1"/>
    <col min="6" max="6" width="14.5703125" style="39" customWidth="1"/>
    <col min="7" max="7" width="13.7109375" style="39" customWidth="1"/>
    <col min="8" max="8" width="20.28515625" style="39" customWidth="1"/>
    <col min="9" max="9" width="18.85546875" style="39" customWidth="1"/>
    <col min="10" max="10" width="21" style="39" customWidth="1"/>
    <col min="11" max="11" width="16.28515625" style="39" customWidth="1"/>
    <col min="12" max="12" width="18.85546875" style="39" customWidth="1"/>
    <col min="13" max="13" width="15.42578125" style="39" customWidth="1"/>
    <col min="14" max="16384" width="11.42578125" style="39"/>
  </cols>
  <sheetData>
    <row r="1" spans="1:14" s="77" customFormat="1" ht="70.5" customHeight="1">
      <c r="A1" s="2227"/>
      <c r="B1" s="2227"/>
      <c r="C1" s="2227"/>
      <c r="D1" s="2227"/>
      <c r="E1" s="2227"/>
      <c r="F1" s="2227"/>
      <c r="G1" s="2227"/>
      <c r="H1" s="2227"/>
      <c r="I1" s="2227"/>
      <c r="J1" s="2227"/>
      <c r="K1" s="2227"/>
      <c r="L1" s="2227"/>
    </row>
    <row r="2" spans="1:14" s="38" customFormat="1" ht="12" customHeight="1">
      <c r="A2" s="559"/>
      <c r="B2" s="176"/>
      <c r="C2" s="176"/>
      <c r="D2" s="176"/>
      <c r="E2" s="176"/>
      <c r="F2" s="176"/>
      <c r="G2" s="176"/>
      <c r="H2" s="176"/>
      <c r="I2" s="176"/>
      <c r="J2" s="176"/>
      <c r="K2" s="176"/>
      <c r="L2" s="176"/>
    </row>
    <row r="3" spans="1:14" s="77" customFormat="1" ht="31.5">
      <c r="A3" s="530" t="s">
        <v>0</v>
      </c>
      <c r="B3" s="541" t="s">
        <v>303</v>
      </c>
      <c r="C3" s="541" t="s">
        <v>302</v>
      </c>
      <c r="D3" s="541" t="s">
        <v>389</v>
      </c>
      <c r="E3" s="557" t="s">
        <v>133</v>
      </c>
      <c r="F3" s="541" t="s">
        <v>301</v>
      </c>
      <c r="G3" s="542" t="s">
        <v>300</v>
      </c>
    </row>
    <row r="4" spans="1:14" s="77" customFormat="1" ht="15.75">
      <c r="A4" s="543">
        <v>2005</v>
      </c>
      <c r="B4" s="975">
        <v>90</v>
      </c>
      <c r="C4" s="975">
        <v>3641</v>
      </c>
      <c r="D4" s="975"/>
      <c r="E4" s="1102">
        <f t="shared" ref="E4:E10" si="0">SUM(B4:C4)</f>
        <v>3731</v>
      </c>
      <c r="F4" s="1104">
        <f t="shared" ref="F4:F11" si="1">B4/E4</f>
        <v>2.4122219244170465E-2</v>
      </c>
      <c r="G4" s="1105">
        <f t="shared" ref="G4:G11" si="2">C4/E4</f>
        <v>0.97587778075582954</v>
      </c>
    </row>
    <row r="5" spans="1:14" s="77" customFormat="1" ht="15.75">
      <c r="A5" s="543" t="s">
        <v>240</v>
      </c>
      <c r="B5" s="975">
        <v>253</v>
      </c>
      <c r="C5" s="975">
        <v>5282</v>
      </c>
      <c r="D5" s="975"/>
      <c r="E5" s="1102">
        <f t="shared" si="0"/>
        <v>5535</v>
      </c>
      <c r="F5" s="1104">
        <f t="shared" si="1"/>
        <v>4.5709123757904244E-2</v>
      </c>
      <c r="G5" s="1105">
        <f t="shared" si="2"/>
        <v>0.95429087624209574</v>
      </c>
    </row>
    <row r="6" spans="1:14" s="77" customFormat="1" ht="15.75">
      <c r="A6" s="543" t="s">
        <v>165</v>
      </c>
      <c r="B6" s="975">
        <v>445</v>
      </c>
      <c r="C6" s="975">
        <v>8099</v>
      </c>
      <c r="D6" s="975"/>
      <c r="E6" s="1102">
        <f t="shared" si="0"/>
        <v>8544</v>
      </c>
      <c r="F6" s="1104">
        <f t="shared" si="1"/>
        <v>5.2083333333333336E-2</v>
      </c>
      <c r="G6" s="1105">
        <f t="shared" si="2"/>
        <v>0.94791666666666663</v>
      </c>
    </row>
    <row r="7" spans="1:14" s="77" customFormat="1" ht="15.75">
      <c r="A7" s="543" t="s">
        <v>214</v>
      </c>
      <c r="B7" s="975">
        <v>660</v>
      </c>
      <c r="C7" s="975">
        <v>10317</v>
      </c>
      <c r="D7" s="975"/>
      <c r="E7" s="1102">
        <f t="shared" si="0"/>
        <v>10977</v>
      </c>
      <c r="F7" s="1104">
        <f t="shared" si="1"/>
        <v>6.0125717409128178E-2</v>
      </c>
      <c r="G7" s="1105">
        <f t="shared" si="2"/>
        <v>0.9398742825908718</v>
      </c>
    </row>
    <row r="8" spans="1:14" s="77" customFormat="1" ht="15.75">
      <c r="A8" s="543" t="s">
        <v>215</v>
      </c>
      <c r="B8" s="975">
        <v>986</v>
      </c>
      <c r="C8" s="975">
        <v>13697</v>
      </c>
      <c r="D8" s="975"/>
      <c r="E8" s="1102">
        <f t="shared" si="0"/>
        <v>14683</v>
      </c>
      <c r="F8" s="1104">
        <f t="shared" si="1"/>
        <v>6.7152489273309274E-2</v>
      </c>
      <c r="G8" s="1105">
        <f t="shared" si="2"/>
        <v>0.9328475107266907</v>
      </c>
    </row>
    <row r="9" spans="1:14" s="77" customFormat="1" ht="15.75">
      <c r="A9" s="543" t="s">
        <v>184</v>
      </c>
      <c r="B9" s="975">
        <v>1477</v>
      </c>
      <c r="C9" s="975">
        <v>15979</v>
      </c>
      <c r="D9" s="975"/>
      <c r="E9" s="1102">
        <f t="shared" si="0"/>
        <v>17456</v>
      </c>
      <c r="F9" s="1104">
        <f t="shared" si="1"/>
        <v>8.4612740604949582E-2</v>
      </c>
      <c r="G9" s="1105">
        <f t="shared" si="2"/>
        <v>0.91538725939505039</v>
      </c>
      <c r="M9" s="39"/>
    </row>
    <row r="10" spans="1:14" s="77" customFormat="1" ht="15.75">
      <c r="A10" s="543">
        <v>2011</v>
      </c>
      <c r="B10" s="975">
        <v>2094</v>
      </c>
      <c r="C10" s="975">
        <v>20503</v>
      </c>
      <c r="D10" s="975"/>
      <c r="E10" s="1102">
        <f t="shared" si="0"/>
        <v>22597</v>
      </c>
      <c r="F10" s="1104">
        <f t="shared" si="1"/>
        <v>9.2667168208169226E-2</v>
      </c>
      <c r="G10" s="1105">
        <f t="shared" si="2"/>
        <v>0.90733283179183077</v>
      </c>
      <c r="M10" s="39"/>
    </row>
    <row r="11" spans="1:14" s="77" customFormat="1" ht="15.75">
      <c r="A11" s="543" t="s">
        <v>457</v>
      </c>
      <c r="B11" s="975">
        <v>3858</v>
      </c>
      <c r="C11" s="975">
        <v>22830</v>
      </c>
      <c r="D11" s="975"/>
      <c r="E11" s="1102">
        <f>SUM(B11:D11)</f>
        <v>26688</v>
      </c>
      <c r="F11" s="1104">
        <f t="shared" si="1"/>
        <v>0.1445593525179856</v>
      </c>
      <c r="G11" s="1105">
        <f t="shared" si="2"/>
        <v>0.85544064748201443</v>
      </c>
      <c r="M11" s="159"/>
    </row>
    <row r="12" spans="1:14" s="77" customFormat="1" ht="15.75">
      <c r="A12" s="543" t="s">
        <v>534</v>
      </c>
      <c r="B12" s="975">
        <v>4451</v>
      </c>
      <c r="C12" s="975">
        <v>24184</v>
      </c>
      <c r="D12" s="975"/>
      <c r="E12" s="1102">
        <f>SUM(B12:D12)</f>
        <v>28635</v>
      </c>
      <c r="F12" s="1104">
        <f>B12/E12</f>
        <v>0.15543914789593155</v>
      </c>
      <c r="G12" s="1105">
        <f>C12/E12</f>
        <v>0.84456085210406839</v>
      </c>
      <c r="M12" s="159"/>
    </row>
    <row r="13" spans="1:14" s="77" customFormat="1" ht="15.75">
      <c r="A13" s="543" t="s">
        <v>541</v>
      </c>
      <c r="B13" s="975">
        <v>5112</v>
      </c>
      <c r="C13" s="975">
        <v>25920</v>
      </c>
      <c r="D13" s="975"/>
      <c r="E13" s="1102">
        <f>SUM(B13:D13)</f>
        <v>31032</v>
      </c>
      <c r="F13" s="1104">
        <f>B13/E13</f>
        <v>0.16473317865429235</v>
      </c>
      <c r="G13" s="1105">
        <f>C13/E13</f>
        <v>0.83526682134570762</v>
      </c>
      <c r="M13" s="159"/>
    </row>
    <row r="14" spans="1:14" s="77" customFormat="1" ht="15.75">
      <c r="A14" s="543" t="s">
        <v>900</v>
      </c>
      <c r="B14" s="975">
        <v>5396</v>
      </c>
      <c r="C14" s="975">
        <v>29153</v>
      </c>
      <c r="D14" s="975"/>
      <c r="E14" s="1102">
        <f>SUM(B14:D14)</f>
        <v>34549</v>
      </c>
      <c r="F14" s="1104">
        <f>B14/E14</f>
        <v>0.15618397059249181</v>
      </c>
      <c r="G14" s="1105">
        <f>C14/E14</f>
        <v>0.84381602940750822</v>
      </c>
      <c r="M14" s="39"/>
    </row>
    <row r="15" spans="1:14" s="77" customFormat="1" ht="15.75">
      <c r="A15" s="543" t="s">
        <v>1008</v>
      </c>
      <c r="B15" s="975">
        <f>362+570+666+548</f>
        <v>2146</v>
      </c>
      <c r="C15" s="975">
        <f>1946+2555+2998+2760</f>
        <v>10259</v>
      </c>
      <c r="D15" s="975"/>
      <c r="E15" s="1102">
        <f>SUM(B15:D15)</f>
        <v>12405</v>
      </c>
      <c r="F15" s="1104">
        <f>B15/E15</f>
        <v>0.17299476017734786</v>
      </c>
      <c r="G15" s="1105">
        <f>C15/E15</f>
        <v>0.82700523982265217</v>
      </c>
      <c r="L15" s="39"/>
      <c r="M15" s="156"/>
      <c r="N15" s="156"/>
    </row>
    <row r="16" spans="1:14" s="77" customFormat="1" ht="15.75">
      <c r="A16" s="538" t="s">
        <v>23</v>
      </c>
      <c r="B16" s="544">
        <f>SUM(B4:B15)</f>
        <v>26968</v>
      </c>
      <c r="C16" s="544">
        <f t="shared" ref="C16:D16" si="3">SUM(C4:C15)</f>
        <v>189864</v>
      </c>
      <c r="D16" s="544">
        <f t="shared" si="3"/>
        <v>0</v>
      </c>
      <c r="E16" s="1103">
        <f>SUM(E4:E15)</f>
        <v>216832</v>
      </c>
      <c r="F16" s="1106">
        <f>B16/E16</f>
        <v>0.12437278630460448</v>
      </c>
      <c r="G16" s="1107">
        <f>C16/E16</f>
        <v>0.87562721369539553</v>
      </c>
      <c r="K16" s="39"/>
      <c r="L16" s="39"/>
      <c r="M16" s="156"/>
      <c r="N16" s="156"/>
    </row>
    <row r="17" spans="1:13" s="77" customFormat="1">
      <c r="K17" s="39"/>
      <c r="L17" s="39"/>
    </row>
    <row r="18" spans="1:13" s="77" customFormat="1"/>
    <row r="19" spans="1:13" s="77" customFormat="1">
      <c r="M19" s="156"/>
    </row>
    <row r="20" spans="1:13" s="77" customFormat="1">
      <c r="M20" s="156"/>
    </row>
    <row r="21" spans="1:13" s="77" customFormat="1"/>
    <row r="22" spans="1:13" s="77" customFormat="1"/>
    <row r="23" spans="1:13" s="77" customFormat="1"/>
    <row r="24" spans="1:13" s="77" customFormat="1"/>
    <row r="25" spans="1:13" s="77" customFormat="1"/>
    <row r="26" spans="1:13">
      <c r="A26" s="77"/>
      <c r="B26" s="77"/>
      <c r="C26" s="77"/>
      <c r="D26" s="77"/>
      <c r="E26" s="77"/>
      <c r="F26" s="77"/>
      <c r="G26" s="77"/>
    </row>
    <row r="27" spans="1:13">
      <c r="A27" s="77"/>
      <c r="B27" s="77"/>
      <c r="C27" s="77"/>
      <c r="D27" s="77"/>
      <c r="E27" s="77"/>
      <c r="F27" s="77"/>
      <c r="G27" s="77"/>
      <c r="K27" s="140"/>
    </row>
  </sheetData>
  <mergeCells count="1">
    <mergeCell ref="A1:L1"/>
  </mergeCells>
  <printOptions horizontalCentered="1"/>
  <pageMargins left="0.39370078740157483" right="0.39370078740157483" top="0.23622047244094491" bottom="0.23622047244094491" header="0.31496062992125984" footer="0.31496062992125984"/>
  <pageSetup scale="7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6"/>
  <sheetViews>
    <sheetView showGridLines="0" view="pageBreakPreview" zoomScale="55" zoomScaleNormal="85" zoomScaleSheetLayoutView="55" workbookViewId="0">
      <selection activeCell="F10" sqref="F10"/>
    </sheetView>
  </sheetViews>
  <sheetFormatPr baseColWidth="10" defaultColWidth="11.42578125" defaultRowHeight="11.25" customHeight="1"/>
  <cols>
    <col min="1" max="1" width="22.5703125" style="74" customWidth="1"/>
    <col min="2" max="2" width="22" style="74" customWidth="1"/>
    <col min="3" max="3" width="22.140625" style="74" customWidth="1"/>
    <col min="4" max="4" width="25.5703125" style="74" customWidth="1"/>
    <col min="5" max="5" width="20" style="74" customWidth="1"/>
    <col min="6" max="7" width="11.42578125" style="74"/>
    <col min="8" max="8" width="12.5703125" style="74" bestFit="1" customWidth="1"/>
    <col min="9" max="9" width="13.5703125" style="74" bestFit="1" customWidth="1"/>
    <col min="10" max="10" width="12" style="74" customWidth="1"/>
    <col min="11" max="11" width="13.85546875" style="74" customWidth="1"/>
    <col min="12" max="12" width="15.140625" style="74" customWidth="1"/>
    <col min="13" max="13" width="19.140625" style="74" customWidth="1"/>
    <col min="14" max="14" width="24.28515625" style="74" customWidth="1"/>
    <col min="15" max="18" width="11.42578125" style="74"/>
    <col min="19" max="19" width="10" style="74" customWidth="1"/>
    <col min="20" max="16384" width="11.42578125" style="74"/>
  </cols>
  <sheetData>
    <row r="1" spans="1:20" ht="105" customHeight="1">
      <c r="A1" s="2063"/>
      <c r="B1" s="2063"/>
      <c r="C1" s="2063"/>
      <c r="D1" s="2063"/>
      <c r="E1" s="2063"/>
      <c r="F1" s="2063"/>
      <c r="G1" s="2063"/>
      <c r="H1" s="2063"/>
      <c r="I1" s="2063"/>
      <c r="J1" s="2063"/>
      <c r="K1" s="2063"/>
      <c r="L1" s="2063"/>
      <c r="M1" s="2063"/>
      <c r="N1" s="2063"/>
    </row>
    <row r="2" spans="1:20" s="70" customFormat="1" ht="2.25" customHeight="1">
      <c r="A2" s="75"/>
      <c r="B2" s="75"/>
      <c r="C2" s="75"/>
      <c r="D2" s="75"/>
      <c r="E2" s="75"/>
    </row>
    <row r="3" spans="1:20" s="70" customFormat="1" ht="48.75" customHeight="1">
      <c r="A3" s="291" t="s">
        <v>40</v>
      </c>
      <c r="B3" s="881" t="s">
        <v>155</v>
      </c>
      <c r="C3" s="882" t="s">
        <v>156</v>
      </c>
      <c r="D3" s="883" t="s">
        <v>157</v>
      </c>
      <c r="E3" s="75"/>
      <c r="F3" s="71"/>
      <c r="J3" s="240"/>
      <c r="M3" s="161"/>
    </row>
    <row r="4" spans="1:20" s="70" customFormat="1" ht="19.5" customHeight="1">
      <c r="A4" s="292" t="s">
        <v>458</v>
      </c>
      <c r="B4" s="1181">
        <v>12759.99</v>
      </c>
      <c r="C4" s="1182">
        <v>15836.19</v>
      </c>
      <c r="D4" s="1183">
        <v>14748.51</v>
      </c>
      <c r="E4" s="75"/>
      <c r="F4" s="71"/>
      <c r="O4" s="181"/>
      <c r="P4" s="181"/>
      <c r="Q4" s="181"/>
      <c r="R4" s="181"/>
      <c r="S4" s="248"/>
      <c r="T4" s="248"/>
    </row>
    <row r="5" spans="1:20" s="70" customFormat="1" ht="21.75" customHeight="1">
      <c r="A5" s="292" t="s">
        <v>409</v>
      </c>
      <c r="B5" s="1184">
        <v>13453</v>
      </c>
      <c r="C5" s="1185">
        <v>14653.84</v>
      </c>
      <c r="D5" s="1186">
        <v>15155.74</v>
      </c>
      <c r="E5" s="75"/>
      <c r="F5" s="71"/>
      <c r="O5" s="181"/>
      <c r="P5" s="181"/>
      <c r="Q5" s="181"/>
      <c r="R5" s="181"/>
      <c r="S5" s="248"/>
      <c r="T5" s="248"/>
    </row>
    <row r="6" spans="1:20" s="70" customFormat="1" ht="20.25" customHeight="1">
      <c r="A6" s="292" t="s">
        <v>410</v>
      </c>
      <c r="B6" s="1184">
        <v>13943.45</v>
      </c>
      <c r="C6" s="1185">
        <v>16719.03</v>
      </c>
      <c r="D6" s="1186">
        <v>15971.57</v>
      </c>
      <c r="E6" s="75"/>
      <c r="F6" s="71"/>
      <c r="O6" s="181"/>
      <c r="P6" s="181"/>
      <c r="Q6" s="181"/>
      <c r="R6" s="181"/>
      <c r="S6" s="248"/>
      <c r="T6" s="248"/>
    </row>
    <row r="7" spans="1:20" s="70" customFormat="1" ht="18" customHeight="1">
      <c r="A7" s="292" t="s">
        <v>411</v>
      </c>
      <c r="B7" s="1184">
        <v>15132</v>
      </c>
      <c r="C7" s="1185">
        <v>17464</v>
      </c>
      <c r="D7" s="1186">
        <v>17399</v>
      </c>
      <c r="E7" s="75"/>
      <c r="F7" s="71"/>
      <c r="G7" s="71"/>
      <c r="H7" s="71"/>
      <c r="I7" s="71"/>
      <c r="J7" s="71"/>
      <c r="K7" s="71"/>
      <c r="N7" s="181"/>
      <c r="O7" s="181"/>
      <c r="P7" s="181"/>
      <c r="Q7" s="181"/>
      <c r="R7" s="181"/>
      <c r="S7" s="248"/>
      <c r="T7" s="248"/>
    </row>
    <row r="8" spans="1:20" ht="18.75" customHeight="1">
      <c r="A8" s="292" t="s">
        <v>459</v>
      </c>
      <c r="B8" s="1184">
        <v>15533</v>
      </c>
      <c r="C8" s="1185">
        <v>18675</v>
      </c>
      <c r="D8" s="1186">
        <v>17851</v>
      </c>
      <c r="E8" s="75"/>
      <c r="F8" s="75"/>
      <c r="G8" s="71"/>
      <c r="H8" s="71"/>
      <c r="I8" s="71"/>
      <c r="K8" s="70"/>
      <c r="L8" s="70"/>
      <c r="M8" s="70"/>
      <c r="N8" s="181"/>
      <c r="O8" s="181"/>
      <c r="P8" s="181"/>
      <c r="Q8" s="181"/>
      <c r="R8" s="181"/>
      <c r="S8" s="248"/>
      <c r="T8" s="248"/>
    </row>
    <row r="9" spans="1:20" ht="18.75">
      <c r="A9" s="292" t="s">
        <v>515</v>
      </c>
      <c r="B9" s="1184">
        <v>16191</v>
      </c>
      <c r="C9" s="1185">
        <v>19327</v>
      </c>
      <c r="D9" s="1186">
        <v>20747</v>
      </c>
      <c r="E9" s="75"/>
      <c r="F9" s="75"/>
      <c r="G9" s="71"/>
      <c r="H9" s="71"/>
      <c r="I9" s="71"/>
      <c r="K9" s="70"/>
      <c r="L9" s="70"/>
      <c r="M9" s="70"/>
      <c r="N9" s="181"/>
      <c r="O9" s="181"/>
      <c r="P9" s="181"/>
      <c r="Q9" s="181"/>
      <c r="R9" s="181"/>
      <c r="S9" s="249"/>
    </row>
    <row r="10" spans="1:20" ht="18.75">
      <c r="A10" s="1125" t="s">
        <v>546</v>
      </c>
      <c r="B10" s="1187">
        <v>16415</v>
      </c>
      <c r="C10" s="1188">
        <v>20545</v>
      </c>
      <c r="D10" s="1189">
        <v>22507</v>
      </c>
      <c r="E10" s="75"/>
      <c r="F10" s="75"/>
      <c r="G10" s="71"/>
      <c r="H10" s="71"/>
      <c r="I10" s="71"/>
      <c r="K10" s="70"/>
      <c r="L10" s="70"/>
      <c r="M10" s="70"/>
      <c r="N10" s="181"/>
      <c r="O10" s="181"/>
      <c r="P10" s="181"/>
      <c r="Q10" s="181"/>
      <c r="R10" s="181"/>
      <c r="S10" s="249"/>
    </row>
    <row r="11" spans="1:20" ht="18.75">
      <c r="A11" s="1125" t="s">
        <v>952</v>
      </c>
      <c r="B11" s="1187">
        <v>17417</v>
      </c>
      <c r="C11" s="1188">
        <v>21911</v>
      </c>
      <c r="D11" s="1189">
        <v>24421</v>
      </c>
      <c r="E11" s="75"/>
      <c r="F11" s="75"/>
      <c r="G11" s="71"/>
      <c r="H11" s="71"/>
      <c r="I11" s="71"/>
      <c r="K11" s="70"/>
      <c r="L11" s="70"/>
      <c r="M11" s="70"/>
      <c r="N11" s="181"/>
      <c r="O11" s="181"/>
      <c r="P11" s="181"/>
      <c r="Q11" s="181"/>
      <c r="R11" s="181"/>
      <c r="S11" s="249"/>
    </row>
    <row r="12" spans="1:20" ht="18.75">
      <c r="A12" s="1126" t="s">
        <v>1001</v>
      </c>
      <c r="B12" s="1380">
        <v>17455</v>
      </c>
      <c r="C12" s="1381">
        <v>22160</v>
      </c>
      <c r="D12" s="1382">
        <v>24718</v>
      </c>
      <c r="E12" s="75"/>
      <c r="F12" s="75"/>
      <c r="G12" s="75"/>
      <c r="H12" s="75"/>
      <c r="I12" s="75"/>
      <c r="J12" s="75"/>
      <c r="N12" s="181"/>
      <c r="O12" s="181"/>
      <c r="P12" s="181"/>
      <c r="Q12" s="181"/>
      <c r="R12" s="181"/>
    </row>
    <row r="13" spans="1:20" ht="11.25" customHeight="1">
      <c r="A13" s="250"/>
      <c r="B13" s="72"/>
      <c r="C13" s="75"/>
      <c r="D13" s="75"/>
      <c r="E13" s="75"/>
      <c r="F13" s="75"/>
      <c r="G13" s="75"/>
      <c r="H13" s="75"/>
      <c r="I13" s="75"/>
      <c r="J13" s="75"/>
      <c r="N13" s="181"/>
      <c r="O13" s="181"/>
      <c r="P13" s="181"/>
      <c r="Q13" s="181"/>
      <c r="R13" s="181"/>
    </row>
    <row r="14" spans="1:20" ht="11.25" customHeight="1">
      <c r="B14" s="72"/>
      <c r="C14" s="75"/>
      <c r="D14" s="75"/>
      <c r="E14" s="75"/>
      <c r="F14" s="75"/>
      <c r="G14" s="75"/>
      <c r="H14" s="75"/>
      <c r="I14" s="75"/>
      <c r="J14" s="75"/>
      <c r="N14" s="181"/>
      <c r="O14" s="181"/>
      <c r="P14" s="181"/>
      <c r="Q14" s="181"/>
      <c r="R14" s="181"/>
    </row>
    <row r="15" spans="1:20" ht="11.25" customHeight="1">
      <c r="B15" s="72"/>
      <c r="C15" s="75"/>
      <c r="D15" s="75"/>
      <c r="E15" s="75"/>
      <c r="F15" s="75"/>
      <c r="G15" s="75"/>
      <c r="H15" s="75"/>
      <c r="I15" s="75"/>
      <c r="J15" s="75"/>
      <c r="N15" s="181"/>
      <c r="O15" s="181"/>
      <c r="P15" s="181"/>
      <c r="Q15" s="181"/>
      <c r="R15" s="181"/>
    </row>
    <row r="16" spans="1:20" ht="11.25" customHeight="1">
      <c r="B16" s="72"/>
      <c r="C16" s="75"/>
      <c r="D16" s="75"/>
      <c r="E16" s="75"/>
      <c r="F16" s="75"/>
      <c r="G16" s="75"/>
      <c r="H16" s="75"/>
      <c r="I16" s="75"/>
      <c r="J16" s="75"/>
      <c r="N16" s="181"/>
      <c r="O16" s="181"/>
      <c r="P16" s="181"/>
      <c r="Q16" s="181"/>
      <c r="R16" s="181"/>
    </row>
    <row r="17" spans="14:18" ht="11.25" customHeight="1">
      <c r="N17" s="181"/>
      <c r="O17" s="181"/>
      <c r="P17" s="181"/>
      <c r="Q17" s="181"/>
      <c r="R17" s="181"/>
    </row>
    <row r="18" spans="14:18" ht="11.25" customHeight="1">
      <c r="N18" s="181"/>
      <c r="O18" s="181"/>
      <c r="P18" s="181"/>
      <c r="Q18" s="181"/>
      <c r="R18" s="181"/>
    </row>
    <row r="19" spans="14:18" ht="11.25" customHeight="1">
      <c r="N19" s="181"/>
      <c r="O19" s="181"/>
      <c r="P19" s="181"/>
      <c r="Q19" s="181"/>
      <c r="R19" s="181"/>
    </row>
    <row r="20" spans="14:18" ht="11.25" customHeight="1">
      <c r="N20" s="181"/>
      <c r="O20" s="181"/>
      <c r="P20" s="181"/>
      <c r="Q20" s="181"/>
      <c r="R20" s="181"/>
    </row>
    <row r="21" spans="14:18" ht="11.25" customHeight="1">
      <c r="N21" s="181"/>
      <c r="O21" s="181"/>
      <c r="P21" s="181"/>
      <c r="Q21" s="181"/>
      <c r="R21" s="181"/>
    </row>
    <row r="22" spans="14:18" ht="11.25" customHeight="1">
      <c r="N22" s="181"/>
      <c r="O22" s="181"/>
      <c r="P22" s="181"/>
      <c r="Q22" s="181"/>
      <c r="R22" s="181"/>
    </row>
    <row r="23" spans="14:18" ht="11.25" customHeight="1">
      <c r="N23" s="181"/>
      <c r="O23" s="181"/>
      <c r="P23" s="181"/>
      <c r="Q23" s="181"/>
      <c r="R23" s="181"/>
    </row>
    <row r="24" spans="14:18" ht="11.25" customHeight="1">
      <c r="N24" s="181"/>
      <c r="O24" s="181"/>
      <c r="P24" s="181"/>
      <c r="Q24" s="181"/>
      <c r="R24" s="181"/>
    </row>
    <row r="25" spans="14:18" ht="11.25" customHeight="1">
      <c r="N25" s="181"/>
      <c r="O25" s="181"/>
      <c r="P25" s="181"/>
      <c r="Q25" s="181"/>
      <c r="R25" s="181"/>
    </row>
    <row r="26" spans="14:18" ht="11.25" customHeight="1">
      <c r="N26" s="181"/>
      <c r="O26" s="181"/>
      <c r="P26" s="181"/>
      <c r="Q26" s="181"/>
      <c r="R26" s="181"/>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K51"/>
  <sheetViews>
    <sheetView showGridLines="0" view="pageBreakPreview" zoomScaleNormal="100" zoomScaleSheetLayoutView="100" workbookViewId="0">
      <selection activeCell="A3" sqref="A3"/>
    </sheetView>
  </sheetViews>
  <sheetFormatPr baseColWidth="10" defaultColWidth="11.42578125" defaultRowHeight="15"/>
  <cols>
    <col min="1" max="1" width="16.28515625" style="39" customWidth="1"/>
    <col min="2" max="2" width="17.140625" style="39" customWidth="1"/>
    <col min="3" max="3" width="15.5703125" style="39" customWidth="1"/>
    <col min="4" max="4" width="13.85546875" style="39" customWidth="1"/>
    <col min="5" max="5" width="15" style="39" customWidth="1"/>
    <col min="6" max="6" width="14.28515625" style="39" customWidth="1"/>
    <col min="7" max="7" width="23.7109375" style="39" customWidth="1"/>
    <col min="8" max="8" width="21.85546875" style="39" customWidth="1"/>
    <col min="9" max="9" width="17.42578125" style="39" customWidth="1"/>
    <col min="10" max="10" width="19.28515625" style="39" customWidth="1"/>
    <col min="11" max="11" width="14.42578125" style="39" customWidth="1"/>
    <col min="12" max="12" width="9.42578125" style="39" customWidth="1"/>
    <col min="13" max="16384" width="11.42578125" style="39"/>
  </cols>
  <sheetData>
    <row r="1" spans="1:11" s="77" customFormat="1" ht="69" customHeight="1">
      <c r="A1" s="2116"/>
      <c r="B1" s="2116"/>
      <c r="C1" s="2116"/>
      <c r="D1" s="2116"/>
      <c r="E1" s="2116"/>
      <c r="F1" s="2116"/>
      <c r="G1" s="2116"/>
      <c r="H1" s="2116"/>
      <c r="I1" s="2116"/>
      <c r="J1" s="2116"/>
    </row>
    <row r="2" spans="1:11" s="38" customFormat="1" ht="6.75" customHeight="1">
      <c r="A2" s="134"/>
      <c r="B2" s="134"/>
      <c r="C2" s="134"/>
      <c r="D2" s="134"/>
      <c r="E2" s="134"/>
      <c r="F2" s="134"/>
      <c r="G2" s="134"/>
      <c r="H2" s="134"/>
      <c r="I2" s="134"/>
      <c r="J2" s="134"/>
    </row>
    <row r="3" spans="1:11" s="134" customFormat="1" ht="23.25" customHeight="1">
      <c r="A3" s="531" t="s">
        <v>239</v>
      </c>
      <c r="B3" s="451" t="s">
        <v>42</v>
      </c>
      <c r="C3" s="451" t="s">
        <v>41</v>
      </c>
      <c r="D3" s="531" t="s">
        <v>130</v>
      </c>
      <c r="E3" s="451" t="s">
        <v>212</v>
      </c>
      <c r="F3" s="452" t="s">
        <v>211</v>
      </c>
      <c r="K3" s="154"/>
    </row>
    <row r="4" spans="1:11" s="77" customFormat="1" ht="15.75">
      <c r="A4" s="481">
        <v>2005</v>
      </c>
      <c r="B4" s="272">
        <v>484</v>
      </c>
      <c r="C4" s="272">
        <v>3247</v>
      </c>
      <c r="D4" s="1108">
        <f t="shared" ref="D4:D10" si="0">B4+C4</f>
        <v>3731</v>
      </c>
      <c r="E4" s="269">
        <f t="shared" ref="E4:E10" si="1">B4/D4</f>
        <v>0.12972393460198339</v>
      </c>
      <c r="F4" s="444">
        <f t="shared" ref="F4:F10" si="2">C4/D4</f>
        <v>0.87027606539801661</v>
      </c>
    </row>
    <row r="5" spans="1:11" s="77" customFormat="1" ht="15.75">
      <c r="A5" s="481">
        <v>2006</v>
      </c>
      <c r="B5" s="272">
        <v>960</v>
      </c>
      <c r="C5" s="272">
        <v>4575</v>
      </c>
      <c r="D5" s="1108">
        <f t="shared" si="0"/>
        <v>5535</v>
      </c>
      <c r="E5" s="269">
        <f t="shared" si="1"/>
        <v>0.17344173441734417</v>
      </c>
      <c r="F5" s="444">
        <f t="shared" si="2"/>
        <v>0.82655826558265577</v>
      </c>
    </row>
    <row r="6" spans="1:11" s="77" customFormat="1" ht="15.75">
      <c r="A6" s="481">
        <v>2007</v>
      </c>
      <c r="B6" s="272">
        <v>1468</v>
      </c>
      <c r="C6" s="272">
        <v>7076</v>
      </c>
      <c r="D6" s="1108">
        <f t="shared" si="0"/>
        <v>8544</v>
      </c>
      <c r="E6" s="269">
        <f t="shared" si="1"/>
        <v>0.17181647940074907</v>
      </c>
      <c r="F6" s="444">
        <f t="shared" si="2"/>
        <v>0.82818352059925093</v>
      </c>
    </row>
    <row r="7" spans="1:11" s="77" customFormat="1" ht="15.75">
      <c r="A7" s="481">
        <v>2008</v>
      </c>
      <c r="B7" s="272">
        <v>2080</v>
      </c>
      <c r="C7" s="272">
        <v>8897</v>
      </c>
      <c r="D7" s="1108">
        <f t="shared" si="0"/>
        <v>10977</v>
      </c>
      <c r="E7" s="269">
        <f t="shared" si="1"/>
        <v>0.18948710941058577</v>
      </c>
      <c r="F7" s="444">
        <f t="shared" si="2"/>
        <v>0.81051289058941423</v>
      </c>
    </row>
    <row r="8" spans="1:11" s="77" customFormat="1" ht="15.75">
      <c r="A8" s="481">
        <v>2009</v>
      </c>
      <c r="B8" s="272">
        <v>3076</v>
      </c>
      <c r="C8" s="272">
        <v>11607</v>
      </c>
      <c r="D8" s="1108">
        <f t="shared" si="0"/>
        <v>14683</v>
      </c>
      <c r="E8" s="269">
        <f t="shared" si="1"/>
        <v>0.20949397262139891</v>
      </c>
      <c r="F8" s="444">
        <f t="shared" si="2"/>
        <v>0.79050602737860109</v>
      </c>
    </row>
    <row r="9" spans="1:11" s="77" customFormat="1" ht="15.75">
      <c r="A9" s="481">
        <v>2010</v>
      </c>
      <c r="B9" s="272">
        <v>3940</v>
      </c>
      <c r="C9" s="272">
        <v>13516</v>
      </c>
      <c r="D9" s="1108">
        <f t="shared" si="0"/>
        <v>17456</v>
      </c>
      <c r="E9" s="269">
        <f t="shared" si="1"/>
        <v>0.22571035747021082</v>
      </c>
      <c r="F9" s="444">
        <f t="shared" si="2"/>
        <v>0.77428964252978916</v>
      </c>
    </row>
    <row r="10" spans="1:11" s="77" customFormat="1" ht="15.75">
      <c r="A10" s="481">
        <v>2011</v>
      </c>
      <c r="B10" s="272">
        <v>5648</v>
      </c>
      <c r="C10" s="272">
        <v>16949</v>
      </c>
      <c r="D10" s="1108">
        <f t="shared" si="0"/>
        <v>22597</v>
      </c>
      <c r="E10" s="269">
        <f t="shared" si="1"/>
        <v>0.24994468292251185</v>
      </c>
      <c r="F10" s="444">
        <f t="shared" si="2"/>
        <v>0.75005531707748818</v>
      </c>
      <c r="K10" s="23"/>
    </row>
    <row r="11" spans="1:11" s="77" customFormat="1" ht="15.75">
      <c r="A11" s="481">
        <v>2012</v>
      </c>
      <c r="B11" s="272">
        <v>7023</v>
      </c>
      <c r="C11" s="272">
        <v>19665</v>
      </c>
      <c r="D11" s="1108">
        <f>B11+C11</f>
        <v>26688</v>
      </c>
      <c r="E11" s="269">
        <f>B11/D11</f>
        <v>0.26315197841726617</v>
      </c>
      <c r="F11" s="444">
        <f>C11/D11</f>
        <v>0.73684802158273377</v>
      </c>
      <c r="K11" s="23"/>
    </row>
    <row r="12" spans="1:11" s="77" customFormat="1" ht="15.75">
      <c r="A12" s="481">
        <v>2013</v>
      </c>
      <c r="B12" s="272">
        <v>7836</v>
      </c>
      <c r="C12" s="272">
        <v>20799</v>
      </c>
      <c r="D12" s="1108">
        <f>B12+C12</f>
        <v>28635</v>
      </c>
      <c r="E12" s="269">
        <f>B12/D12</f>
        <v>0.27365112624410687</v>
      </c>
      <c r="F12" s="444">
        <f>C12/D12</f>
        <v>0.72634887375589319</v>
      </c>
      <c r="K12" s="23"/>
    </row>
    <row r="13" spans="1:11" s="77" customFormat="1" ht="15.75">
      <c r="A13" s="481">
        <v>2014</v>
      </c>
      <c r="B13" s="272">
        <v>8866</v>
      </c>
      <c r="C13" s="272">
        <v>22166</v>
      </c>
      <c r="D13" s="1108">
        <f>B13+C13</f>
        <v>31032</v>
      </c>
      <c r="E13" s="269">
        <f>B13/D13</f>
        <v>0.28570507862851252</v>
      </c>
      <c r="F13" s="444">
        <f>C13/D13</f>
        <v>0.71429492137148753</v>
      </c>
      <c r="K13" s="23"/>
    </row>
    <row r="14" spans="1:11" s="77" customFormat="1" ht="15.75">
      <c r="A14" s="481">
        <v>2015</v>
      </c>
      <c r="B14" s="272">
        <v>10124</v>
      </c>
      <c r="C14" s="272">
        <v>24425</v>
      </c>
      <c r="D14" s="1108">
        <f>B14+C14</f>
        <v>34549</v>
      </c>
      <c r="E14" s="269">
        <f>B14/D14</f>
        <v>0.29303308344669887</v>
      </c>
      <c r="F14" s="444">
        <f>C14/D14</f>
        <v>0.70696691655330113</v>
      </c>
      <c r="K14" s="23"/>
    </row>
    <row r="15" spans="1:11" s="77" customFormat="1" ht="15.75">
      <c r="A15" s="481" t="s">
        <v>1012</v>
      </c>
      <c r="B15" s="272">
        <f>692+1055+1275+1105</f>
        <v>4127</v>
      </c>
      <c r="C15" s="272">
        <f>1616+2069+2388+2205</f>
        <v>8278</v>
      </c>
      <c r="D15" s="1108">
        <f>B15+C15</f>
        <v>12405</v>
      </c>
      <c r="E15" s="269">
        <f>B15/D15</f>
        <v>0.33268843208383714</v>
      </c>
      <c r="F15" s="444">
        <f>C15/D15</f>
        <v>0.66731156791616286</v>
      </c>
      <c r="K15" s="39"/>
    </row>
    <row r="16" spans="1:11" s="77" customFormat="1" ht="15.75">
      <c r="A16" s="531" t="s">
        <v>23</v>
      </c>
      <c r="B16" s="453">
        <f>SUM(B4:B15)</f>
        <v>55632</v>
      </c>
      <c r="C16" s="453">
        <f>SUM(C4:C15)</f>
        <v>161200</v>
      </c>
      <c r="D16" s="1109">
        <f>SUM(D4:D15)</f>
        <v>216832</v>
      </c>
      <c r="E16" s="547">
        <f>+B16/D16</f>
        <v>0.25656729634002362</v>
      </c>
      <c r="F16" s="548">
        <f>+C16/D16</f>
        <v>0.74343270365997638</v>
      </c>
      <c r="H16" s="145"/>
      <c r="K16" s="39"/>
    </row>
    <row r="17" spans="11:11" s="77" customFormat="1">
      <c r="K17" s="92"/>
    </row>
    <row r="18" spans="11:11" s="77" customFormat="1">
      <c r="K18" s="23"/>
    </row>
    <row r="19" spans="11:11" s="77" customFormat="1">
      <c r="K19" s="23"/>
    </row>
    <row r="20" spans="11:11" s="77" customFormat="1">
      <c r="K20" s="23"/>
    </row>
    <row r="21" spans="11:11" s="77" customFormat="1">
      <c r="K21" s="23"/>
    </row>
    <row r="22" spans="11:11" s="77" customFormat="1">
      <c r="K22" s="23"/>
    </row>
    <row r="23" spans="11:11" s="77" customFormat="1">
      <c r="K23" s="23"/>
    </row>
    <row r="24" spans="11:11" s="77" customFormat="1">
      <c r="K24" s="23"/>
    </row>
    <row r="25" spans="11:11" s="77" customFormat="1">
      <c r="K25" s="23"/>
    </row>
    <row r="26" spans="11:11" s="77" customFormat="1">
      <c r="K26" s="23"/>
    </row>
    <row r="27" spans="11:11" s="77" customFormat="1">
      <c r="K27" s="23"/>
    </row>
    <row r="28" spans="11:11" s="77" customFormat="1">
      <c r="K28" s="23"/>
    </row>
    <row r="29" spans="11:11" s="77" customFormat="1">
      <c r="K29" s="23"/>
    </row>
    <row r="30" spans="11:11" s="77" customFormat="1">
      <c r="K30" s="23"/>
    </row>
    <row r="31" spans="11:11" s="77" customFormat="1">
      <c r="K31" s="23"/>
    </row>
    <row r="32" spans="11:11" s="77" customFormat="1">
      <c r="K32" s="23"/>
    </row>
    <row r="33" spans="3:11" s="77" customFormat="1">
      <c r="K33" s="23"/>
    </row>
    <row r="34" spans="3:11" s="77" customFormat="1">
      <c r="K34" s="23"/>
    </row>
    <row r="35" spans="3:11" s="77" customFormat="1"/>
    <row r="36" spans="3:11" s="77" customFormat="1"/>
    <row r="37" spans="3:11" s="77" customFormat="1"/>
    <row r="38" spans="3:11" s="77" customFormat="1"/>
    <row r="39" spans="3:11" s="77" customFormat="1" ht="15.75">
      <c r="C39" s="135"/>
    </row>
    <row r="40" spans="3:11" s="77" customFormat="1"/>
    <row r="41" spans="3:11" s="77" customFormat="1"/>
    <row r="42" spans="3:11" s="77" customFormat="1"/>
    <row r="43" spans="3:11" s="77" customFormat="1"/>
    <row r="44" spans="3:11" s="77" customFormat="1"/>
    <row r="45" spans="3:11" s="77" customFormat="1"/>
    <row r="46" spans="3:11" s="77" customFormat="1"/>
    <row r="47" spans="3:11" s="77" customFormat="1"/>
    <row r="48" spans="3:11" s="77" customFormat="1"/>
    <row r="49" spans="1:6" s="77" customFormat="1"/>
    <row r="50" spans="1:6">
      <c r="A50" s="77"/>
      <c r="B50" s="77"/>
      <c r="C50" s="77"/>
      <c r="D50" s="77"/>
      <c r="E50" s="77"/>
      <c r="F50" s="77"/>
    </row>
    <row r="51" spans="1:6">
      <c r="A51" s="77"/>
      <c r="B51" s="77"/>
      <c r="C51" s="77"/>
      <c r="D51" s="77"/>
      <c r="E51" s="77"/>
      <c r="F51" s="77"/>
    </row>
  </sheetData>
  <mergeCells count="1">
    <mergeCell ref="A1:J1"/>
  </mergeCells>
  <printOptions horizontalCentered="1"/>
  <pageMargins left="0.39370078740157483" right="0.39370078740157483" top="0.23622047244094491" bottom="0.23622047244094491" header="0.31496062992125984" footer="0.31496062992125984"/>
  <pageSetup scale="75"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O27"/>
  <sheetViews>
    <sheetView showGridLines="0" view="pageBreakPreview" zoomScale="85" zoomScaleNormal="100" zoomScaleSheetLayoutView="85" workbookViewId="0">
      <selection activeCell="A3" sqref="A3"/>
    </sheetView>
  </sheetViews>
  <sheetFormatPr baseColWidth="10" defaultColWidth="11.42578125" defaultRowHeight="15"/>
  <cols>
    <col min="1" max="1" width="15.5703125" style="39" customWidth="1"/>
    <col min="2" max="2" width="10.7109375" style="39" customWidth="1"/>
    <col min="3" max="6" width="11" style="39" customWidth="1"/>
    <col min="7" max="7" width="13.5703125" style="39" customWidth="1"/>
    <col min="8" max="8" width="13.28515625" style="39" customWidth="1"/>
    <col min="9" max="9" width="17.5703125" style="39" customWidth="1"/>
    <col min="10" max="10" width="16.28515625" style="39" customWidth="1"/>
    <col min="11" max="11" width="16" style="39" customWidth="1"/>
    <col min="12" max="12" width="16.42578125" style="39" customWidth="1"/>
    <col min="13" max="13" width="16.28515625" style="39" customWidth="1"/>
    <col min="14" max="14" width="16.42578125" style="39" customWidth="1"/>
    <col min="15" max="16384" width="11.42578125" style="39"/>
  </cols>
  <sheetData>
    <row r="1" spans="1:15" s="77" customFormat="1" ht="78" customHeight="1">
      <c r="A1" s="2116"/>
      <c r="B1" s="2116"/>
      <c r="C1" s="2116"/>
      <c r="D1" s="2116"/>
      <c r="E1" s="2116"/>
      <c r="F1" s="2116"/>
      <c r="G1" s="2116"/>
      <c r="H1" s="2116"/>
      <c r="I1" s="2116"/>
      <c r="J1" s="2116"/>
      <c r="K1" s="2116"/>
      <c r="L1" s="2116"/>
      <c r="M1" s="2116"/>
      <c r="N1" s="2116"/>
    </row>
    <row r="2" spans="1:15" s="77" customFormat="1" ht="6" customHeight="1">
      <c r="A2" s="699"/>
      <c r="B2" s="693"/>
      <c r="C2" s="693"/>
      <c r="D2" s="693"/>
      <c r="E2" s="693"/>
      <c r="F2" s="693"/>
      <c r="G2" s="693"/>
      <c r="H2" s="693"/>
      <c r="I2" s="693"/>
      <c r="J2" s="693"/>
      <c r="K2" s="693"/>
      <c r="L2" s="693"/>
      <c r="M2" s="693"/>
      <c r="N2" s="700"/>
    </row>
    <row r="3" spans="1:15" s="134" customFormat="1" ht="61.5" customHeight="1">
      <c r="A3" s="530" t="s">
        <v>0</v>
      </c>
      <c r="B3" s="541" t="s">
        <v>324</v>
      </c>
      <c r="C3" s="541" t="s">
        <v>323</v>
      </c>
      <c r="D3" s="541" t="s">
        <v>322</v>
      </c>
      <c r="E3" s="541" t="s">
        <v>321</v>
      </c>
      <c r="F3" s="541" t="s">
        <v>320</v>
      </c>
      <c r="G3" s="541" t="s">
        <v>694</v>
      </c>
      <c r="H3" s="557" t="s">
        <v>133</v>
      </c>
      <c r="I3" s="541" t="s">
        <v>318</v>
      </c>
      <c r="J3" s="541" t="s">
        <v>420</v>
      </c>
      <c r="K3" s="541" t="s">
        <v>421</v>
      </c>
      <c r="L3" s="541" t="s">
        <v>317</v>
      </c>
      <c r="M3" s="541" t="s">
        <v>316</v>
      </c>
      <c r="N3" s="542" t="s">
        <v>315</v>
      </c>
    </row>
    <row r="4" spans="1:15" s="77" customFormat="1" ht="15.75">
      <c r="A4" s="543">
        <v>2005</v>
      </c>
      <c r="B4" s="585">
        <v>145</v>
      </c>
      <c r="C4" s="585">
        <v>345</v>
      </c>
      <c r="D4" s="585">
        <v>1445</v>
      </c>
      <c r="E4" s="585">
        <v>1013</v>
      </c>
      <c r="F4" s="585">
        <v>511</v>
      </c>
      <c r="G4" s="585">
        <f>275-3</f>
        <v>272</v>
      </c>
      <c r="H4" s="940">
        <f t="shared" ref="H4:H10" si="0">SUM(B4:G4)</f>
        <v>3731</v>
      </c>
      <c r="I4" s="596">
        <f t="shared" ref="I4:I10" si="1">B4/H4</f>
        <v>3.8863575448941305E-2</v>
      </c>
      <c r="J4" s="596">
        <f t="shared" ref="J4:J10" si="2">C4/H4</f>
        <v>9.2468507102653447E-2</v>
      </c>
      <c r="K4" s="596">
        <f t="shared" ref="K4:K16" si="3">D4/H4</f>
        <v>0.3872956311980702</v>
      </c>
      <c r="L4" s="596">
        <f t="shared" ref="L4:L16" si="4">E4/H4</f>
        <v>0.27150897882605202</v>
      </c>
      <c r="M4" s="596">
        <f t="shared" ref="M4:M16" si="5">F4/H4</f>
        <v>0.13696060037523453</v>
      </c>
      <c r="N4" s="600">
        <f t="shared" ref="N4:N16" si="6">G4/H4</f>
        <v>7.2902707049048512E-2</v>
      </c>
    </row>
    <row r="5" spans="1:15" s="77" customFormat="1" ht="15.75">
      <c r="A5" s="543" t="s">
        <v>240</v>
      </c>
      <c r="B5" s="585">
        <v>37</v>
      </c>
      <c r="C5" s="585">
        <v>740</v>
      </c>
      <c r="D5" s="585">
        <v>2043</v>
      </c>
      <c r="E5" s="585">
        <v>1536</v>
      </c>
      <c r="F5" s="585">
        <v>808</v>
      </c>
      <c r="G5" s="585">
        <v>371</v>
      </c>
      <c r="H5" s="940">
        <f t="shared" si="0"/>
        <v>5535</v>
      </c>
      <c r="I5" s="596">
        <f t="shared" si="1"/>
        <v>6.6847335140018064E-3</v>
      </c>
      <c r="J5" s="596">
        <f t="shared" si="2"/>
        <v>0.13369467028003612</v>
      </c>
      <c r="K5" s="596">
        <f t="shared" si="3"/>
        <v>0.36910569105691055</v>
      </c>
      <c r="L5" s="596">
        <f t="shared" si="4"/>
        <v>0.27750677506775068</v>
      </c>
      <c r="M5" s="596">
        <f t="shared" si="5"/>
        <v>0.14598012646793135</v>
      </c>
      <c r="N5" s="600">
        <f t="shared" si="6"/>
        <v>6.7028003613369469E-2</v>
      </c>
    </row>
    <row r="6" spans="1:15" s="77" customFormat="1" ht="15.75">
      <c r="A6" s="543" t="s">
        <v>165</v>
      </c>
      <c r="B6" s="585">
        <v>9</v>
      </c>
      <c r="C6" s="585">
        <v>1413</v>
      </c>
      <c r="D6" s="585">
        <v>3274</v>
      </c>
      <c r="E6" s="585">
        <v>2149</v>
      </c>
      <c r="F6" s="585">
        <v>1123</v>
      </c>
      <c r="G6" s="585">
        <f>571+5</f>
        <v>576</v>
      </c>
      <c r="H6" s="940">
        <f t="shared" si="0"/>
        <v>8544</v>
      </c>
      <c r="I6" s="596">
        <f t="shared" si="1"/>
        <v>1.0533707865168539E-3</v>
      </c>
      <c r="J6" s="596">
        <f t="shared" si="2"/>
        <v>0.16537921348314608</v>
      </c>
      <c r="K6" s="596">
        <f t="shared" si="3"/>
        <v>0.38319288389513106</v>
      </c>
      <c r="L6" s="596">
        <f t="shared" si="4"/>
        <v>0.25152153558052437</v>
      </c>
      <c r="M6" s="596">
        <f t="shared" si="5"/>
        <v>0.13143726591760299</v>
      </c>
      <c r="N6" s="600">
        <f t="shared" si="6"/>
        <v>6.741573033707865E-2</v>
      </c>
    </row>
    <row r="7" spans="1:15" s="77" customFormat="1" ht="15.75">
      <c r="A7" s="543" t="s">
        <v>214</v>
      </c>
      <c r="B7" s="585">
        <v>7</v>
      </c>
      <c r="C7" s="585">
        <v>1031</v>
      </c>
      <c r="D7" s="585">
        <v>4066</v>
      </c>
      <c r="E7" s="585">
        <v>3112</v>
      </c>
      <c r="F7" s="585">
        <v>1708</v>
      </c>
      <c r="G7" s="585">
        <v>1053</v>
      </c>
      <c r="H7" s="940">
        <f t="shared" si="0"/>
        <v>10977</v>
      </c>
      <c r="I7" s="596">
        <f t="shared" si="1"/>
        <v>6.3769700282408678E-4</v>
      </c>
      <c r="J7" s="596">
        <f t="shared" si="2"/>
        <v>9.3923658558804773E-2</v>
      </c>
      <c r="K7" s="596">
        <f t="shared" si="3"/>
        <v>0.37041085906896237</v>
      </c>
      <c r="L7" s="596">
        <f t="shared" si="4"/>
        <v>0.28350186754122253</v>
      </c>
      <c r="M7" s="596">
        <f t="shared" si="5"/>
        <v>0.15559806868907716</v>
      </c>
      <c r="N7" s="600">
        <f t="shared" si="6"/>
        <v>9.5927849139109039E-2</v>
      </c>
    </row>
    <row r="8" spans="1:15" s="77" customFormat="1" ht="15.75">
      <c r="A8" s="543" t="s">
        <v>215</v>
      </c>
      <c r="B8" s="585">
        <v>2</v>
      </c>
      <c r="C8" s="585">
        <v>2024</v>
      </c>
      <c r="D8" s="585">
        <v>5530</v>
      </c>
      <c r="E8" s="585">
        <v>3839</v>
      </c>
      <c r="F8" s="585">
        <v>2108</v>
      </c>
      <c r="G8" s="585">
        <v>1180</v>
      </c>
      <c r="H8" s="940">
        <f t="shared" si="0"/>
        <v>14683</v>
      </c>
      <c r="I8" s="596">
        <f t="shared" si="1"/>
        <v>1.3621194578764559E-4</v>
      </c>
      <c r="J8" s="596">
        <f t="shared" si="2"/>
        <v>0.13784648913709732</v>
      </c>
      <c r="K8" s="596">
        <f t="shared" si="3"/>
        <v>0.37662603010284001</v>
      </c>
      <c r="L8" s="596">
        <f t="shared" si="4"/>
        <v>0.26145882993938568</v>
      </c>
      <c r="M8" s="596">
        <f t="shared" si="5"/>
        <v>0.14356739086017845</v>
      </c>
      <c r="N8" s="600">
        <f t="shared" si="6"/>
        <v>8.0365048014710894E-2</v>
      </c>
    </row>
    <row r="9" spans="1:15" s="77" customFormat="1" ht="15.75">
      <c r="A9" s="543" t="s">
        <v>184</v>
      </c>
      <c r="B9" s="585">
        <v>0</v>
      </c>
      <c r="C9" s="585">
        <v>3154</v>
      </c>
      <c r="D9" s="585">
        <v>6350</v>
      </c>
      <c r="E9" s="585">
        <v>4256</v>
      </c>
      <c r="F9" s="585">
        <v>2407</v>
      </c>
      <c r="G9" s="585">
        <v>1289</v>
      </c>
      <c r="H9" s="940">
        <f t="shared" si="0"/>
        <v>17456</v>
      </c>
      <c r="I9" s="596">
        <f t="shared" si="1"/>
        <v>0</v>
      </c>
      <c r="J9" s="596">
        <f t="shared" si="2"/>
        <v>0.18068285976168652</v>
      </c>
      <c r="K9" s="596">
        <f t="shared" si="3"/>
        <v>0.3637717690192484</v>
      </c>
      <c r="L9" s="596">
        <f t="shared" si="4"/>
        <v>0.24381301558203483</v>
      </c>
      <c r="M9" s="596">
        <f t="shared" si="5"/>
        <v>0.13788955087076077</v>
      </c>
      <c r="N9" s="600">
        <f t="shared" si="6"/>
        <v>7.3842804766269476E-2</v>
      </c>
    </row>
    <row r="10" spans="1:15" s="77" customFormat="1" ht="15.75">
      <c r="A10" s="543">
        <v>2011</v>
      </c>
      <c r="B10" s="585">
        <v>6</v>
      </c>
      <c r="C10" s="585">
        <v>4931</v>
      </c>
      <c r="D10" s="585">
        <v>7715</v>
      </c>
      <c r="E10" s="585">
        <v>5319</v>
      </c>
      <c r="F10" s="585">
        <v>3017</v>
      </c>
      <c r="G10" s="585">
        <v>1609</v>
      </c>
      <c r="H10" s="940">
        <f t="shared" si="0"/>
        <v>22597</v>
      </c>
      <c r="I10" s="596">
        <f t="shared" si="1"/>
        <v>2.6552197194317829E-4</v>
      </c>
      <c r="J10" s="596">
        <f t="shared" si="2"/>
        <v>0.21821480727530204</v>
      </c>
      <c r="K10" s="596">
        <f t="shared" si="3"/>
        <v>0.34141700225693677</v>
      </c>
      <c r="L10" s="596">
        <f t="shared" si="4"/>
        <v>0.23538522812762755</v>
      </c>
      <c r="M10" s="596">
        <f t="shared" si="5"/>
        <v>0.13351329822542815</v>
      </c>
      <c r="N10" s="600">
        <f t="shared" si="6"/>
        <v>7.1204142142762314E-2</v>
      </c>
    </row>
    <row r="11" spans="1:15" s="77" customFormat="1" ht="15.75">
      <c r="A11" s="543" t="s">
        <v>457</v>
      </c>
      <c r="B11" s="585">
        <v>18</v>
      </c>
      <c r="C11" s="585">
        <v>6875</v>
      </c>
      <c r="D11" s="585">
        <v>8611</v>
      </c>
      <c r="E11" s="585">
        <v>5883</v>
      </c>
      <c r="F11" s="585">
        <v>3457</v>
      </c>
      <c r="G11" s="585">
        <v>1844</v>
      </c>
      <c r="H11" s="940">
        <f>SUM(B11:G11)</f>
        <v>26688</v>
      </c>
      <c r="I11" s="596">
        <f t="shared" ref="I11:I16" si="7">B11/H11</f>
        <v>6.7446043165467629E-4</v>
      </c>
      <c r="J11" s="596">
        <f t="shared" ref="J11:J16" si="8">C11/H11</f>
        <v>0.25760641486810554</v>
      </c>
      <c r="K11" s="596">
        <f>D11/H11</f>
        <v>0.32265437649880097</v>
      </c>
      <c r="L11" s="596">
        <f>E11/H11</f>
        <v>0.22043615107913669</v>
      </c>
      <c r="M11" s="596">
        <f>F11/H11</f>
        <v>0.12953387290167867</v>
      </c>
      <c r="N11" s="600">
        <f>G11/H11</f>
        <v>6.9094724220623502E-2</v>
      </c>
    </row>
    <row r="12" spans="1:15" s="77" customFormat="1" ht="15.75">
      <c r="A12" s="543" t="s">
        <v>534</v>
      </c>
      <c r="B12" s="585">
        <v>34</v>
      </c>
      <c r="C12" s="585">
        <v>8429</v>
      </c>
      <c r="D12" s="585">
        <v>8946</v>
      </c>
      <c r="E12" s="585">
        <v>5876</v>
      </c>
      <c r="F12" s="585">
        <v>3510</v>
      </c>
      <c r="G12" s="585">
        <v>1840</v>
      </c>
      <c r="H12" s="940">
        <f>SUM(B12:G12)</f>
        <v>28635</v>
      </c>
      <c r="I12" s="596">
        <f t="shared" si="7"/>
        <v>1.1873581281648332E-3</v>
      </c>
      <c r="J12" s="596">
        <f t="shared" si="8"/>
        <v>0.29436004889121703</v>
      </c>
      <c r="K12" s="596">
        <f>D12/H12</f>
        <v>0.31241487689889996</v>
      </c>
      <c r="L12" s="596">
        <f>E12/H12</f>
        <v>0.20520342238519296</v>
      </c>
      <c r="M12" s="596">
        <f>F12/H12</f>
        <v>0.12257726558407543</v>
      </c>
      <c r="N12" s="600">
        <f>G12/H12</f>
        <v>6.4257028112449793E-2</v>
      </c>
    </row>
    <row r="13" spans="1:15" s="77" customFormat="1" ht="15.75">
      <c r="A13" s="543" t="s">
        <v>541</v>
      </c>
      <c r="B13" s="585">
        <v>80</v>
      </c>
      <c r="C13" s="585">
        <v>9624</v>
      </c>
      <c r="D13" s="585">
        <v>8806</v>
      </c>
      <c r="E13" s="585">
        <v>6269</v>
      </c>
      <c r="F13" s="585">
        <v>3876</v>
      </c>
      <c r="G13" s="585">
        <v>2377</v>
      </c>
      <c r="H13" s="940">
        <f>SUM(B13:G13)</f>
        <v>31032</v>
      </c>
      <c r="I13" s="596">
        <f t="shared" si="7"/>
        <v>2.5779840164990978E-3</v>
      </c>
      <c r="J13" s="596">
        <f t="shared" si="8"/>
        <v>0.31013147718484146</v>
      </c>
      <c r="K13" s="596">
        <f>D13/H13</f>
        <v>0.28377159061613816</v>
      </c>
      <c r="L13" s="596">
        <f>E13/H13</f>
        <v>0.20201727249291054</v>
      </c>
      <c r="M13" s="596">
        <f>F13/H13</f>
        <v>0.12490332559938129</v>
      </c>
      <c r="N13" s="600">
        <f>G13/H13</f>
        <v>7.6598350090229445E-2</v>
      </c>
    </row>
    <row r="14" spans="1:15" s="77" customFormat="1" ht="15.75">
      <c r="A14" s="543" t="s">
        <v>900</v>
      </c>
      <c r="B14" s="585">
        <v>165</v>
      </c>
      <c r="C14" s="585">
        <v>12019</v>
      </c>
      <c r="D14" s="585">
        <v>10377</v>
      </c>
      <c r="E14" s="585">
        <v>6571</v>
      </c>
      <c r="F14" s="585">
        <v>3782</v>
      </c>
      <c r="G14" s="585">
        <v>1635</v>
      </c>
      <c r="H14" s="940">
        <f>SUM(B14:G14)</f>
        <v>34549</v>
      </c>
      <c r="I14" s="596">
        <f t="shared" si="7"/>
        <v>4.7758256389475815E-3</v>
      </c>
      <c r="J14" s="596">
        <f t="shared" si="8"/>
        <v>0.34788271730006659</v>
      </c>
      <c r="K14" s="596">
        <f>D14/H14</f>
        <v>0.30035601609308521</v>
      </c>
      <c r="L14" s="596">
        <f>E14/H14</f>
        <v>0.19019363802136097</v>
      </c>
      <c r="M14" s="596">
        <f>F14/H14</f>
        <v>0.10946771252424094</v>
      </c>
      <c r="N14" s="600">
        <f>G14/H14</f>
        <v>4.7324090422298765E-2</v>
      </c>
    </row>
    <row r="15" spans="1:15" s="77" customFormat="1" ht="15.75">
      <c r="A15" s="543" t="s">
        <v>1008</v>
      </c>
      <c r="B15" s="585">
        <f>24+33+41+64</f>
        <v>162</v>
      </c>
      <c r="C15" s="585">
        <f>860+1118+1346+1234</f>
        <v>4558</v>
      </c>
      <c r="D15" s="585">
        <f>661+931+1095+934</f>
        <v>3621</v>
      </c>
      <c r="E15" s="585">
        <f>421+594+677+615</f>
        <v>2307</v>
      </c>
      <c r="F15" s="585">
        <f>245+316+384+334</f>
        <v>1279</v>
      </c>
      <c r="G15" s="585">
        <f>97+133+121+127</f>
        <v>478</v>
      </c>
      <c r="H15" s="940">
        <f>SUM(B15:G15)</f>
        <v>12405</v>
      </c>
      <c r="I15" s="596">
        <f t="shared" si="7"/>
        <v>1.3059250302297461E-2</v>
      </c>
      <c r="J15" s="596">
        <f t="shared" si="8"/>
        <v>0.36743248690044339</v>
      </c>
      <c r="K15" s="596">
        <f>D15/H15</f>
        <v>0.29189842805320437</v>
      </c>
      <c r="L15" s="596">
        <f>E15/H15</f>
        <v>0.18597339782345829</v>
      </c>
      <c r="M15" s="596">
        <f>F15/H15</f>
        <v>0.10310358726320032</v>
      </c>
      <c r="N15" s="600">
        <f>G15/H15</f>
        <v>3.8532849657396208E-2</v>
      </c>
    </row>
    <row r="16" spans="1:15" s="77" customFormat="1" ht="15.75">
      <c r="A16" s="538" t="s">
        <v>23</v>
      </c>
      <c r="B16" s="597">
        <f t="shared" ref="B16:H16" si="9">SUM(B4:B15)</f>
        <v>665</v>
      </c>
      <c r="C16" s="597">
        <f t="shared" si="9"/>
        <v>55143</v>
      </c>
      <c r="D16" s="597">
        <f t="shared" si="9"/>
        <v>70784</v>
      </c>
      <c r="E16" s="597">
        <f t="shared" si="9"/>
        <v>48130</v>
      </c>
      <c r="F16" s="597">
        <f t="shared" si="9"/>
        <v>27586</v>
      </c>
      <c r="G16" s="597">
        <f t="shared" si="9"/>
        <v>14524</v>
      </c>
      <c r="H16" s="941">
        <f t="shared" si="9"/>
        <v>216832</v>
      </c>
      <c r="I16" s="598">
        <f t="shared" si="7"/>
        <v>3.0668904958677688E-3</v>
      </c>
      <c r="J16" s="598">
        <f t="shared" si="8"/>
        <v>0.25431209415584416</v>
      </c>
      <c r="K16" s="598">
        <f t="shared" si="3"/>
        <v>0.32644628099173556</v>
      </c>
      <c r="L16" s="598">
        <f t="shared" si="4"/>
        <v>0.22196908205430932</v>
      </c>
      <c r="M16" s="598">
        <f t="shared" si="5"/>
        <v>0.12722291912632822</v>
      </c>
      <c r="N16" s="599">
        <f t="shared" si="6"/>
        <v>6.6982733175914994E-2</v>
      </c>
      <c r="O16" s="156"/>
    </row>
    <row r="17" spans="1:14" s="77" customFormat="1" ht="15.75">
      <c r="A17" s="2228" t="s">
        <v>682</v>
      </c>
      <c r="B17" s="2229"/>
      <c r="C17" s="2229"/>
      <c r="D17" s="2229"/>
      <c r="E17" s="2229"/>
      <c r="F17" s="2229"/>
    </row>
    <row r="18" spans="1:14" s="77" customFormat="1">
      <c r="J18" s="211"/>
    </row>
    <row r="19" spans="1:14" s="77" customFormat="1"/>
    <row r="20" spans="1:14" s="77" customFormat="1"/>
    <row r="21" spans="1:14" s="77" customFormat="1"/>
    <row r="22" spans="1:14" s="77" customFormat="1"/>
    <row r="23" spans="1:14" s="77" customFormat="1"/>
    <row r="24" spans="1:14" s="77" customFormat="1"/>
    <row r="25" spans="1:14" s="77" customFormat="1"/>
    <row r="26" spans="1:14" s="77" customFormat="1"/>
    <row r="27" spans="1:14">
      <c r="A27" s="77"/>
      <c r="B27" s="77"/>
      <c r="C27" s="77"/>
      <c r="D27" s="77"/>
      <c r="E27" s="77"/>
      <c r="F27" s="77"/>
      <c r="G27" s="77"/>
      <c r="H27" s="77"/>
      <c r="I27" s="77"/>
      <c r="J27" s="77"/>
      <c r="K27" s="77"/>
      <c r="L27" s="77"/>
      <c r="M27" s="77"/>
      <c r="N27" s="77"/>
    </row>
  </sheetData>
  <mergeCells count="2">
    <mergeCell ref="A1:N1"/>
    <mergeCell ref="A17:F17"/>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30"/>
  <sheetViews>
    <sheetView showGridLines="0" view="pageBreakPreview" zoomScaleNormal="100" zoomScaleSheetLayoutView="100" workbookViewId="0">
      <selection activeCell="A3" sqref="A3"/>
    </sheetView>
  </sheetViews>
  <sheetFormatPr baseColWidth="10" defaultColWidth="11.42578125" defaultRowHeight="15"/>
  <cols>
    <col min="1" max="1" width="15.42578125" style="39" customWidth="1"/>
    <col min="2" max="2" width="12.140625" style="39" customWidth="1"/>
    <col min="3" max="3" width="11.7109375" style="39" customWidth="1"/>
    <col min="4" max="4" width="11.42578125" style="39" customWidth="1"/>
    <col min="5" max="5" width="12" style="39" customWidth="1"/>
    <col min="6" max="6" width="14.85546875" style="39" customWidth="1"/>
    <col min="7" max="7" width="12.140625" style="39" customWidth="1"/>
    <col min="8" max="8" width="13.7109375" style="39" customWidth="1"/>
    <col min="9" max="9" width="14.7109375" style="39" customWidth="1"/>
    <col min="10" max="10" width="15" style="39" customWidth="1"/>
    <col min="11" max="11" width="14.42578125" style="39" customWidth="1"/>
    <col min="12" max="12" width="16.7109375" style="39" customWidth="1"/>
    <col min="13" max="13" width="13.42578125" style="39" customWidth="1"/>
    <col min="14" max="14" width="3.5703125" style="39" customWidth="1"/>
    <col min="15" max="16384" width="11.42578125" style="39"/>
  </cols>
  <sheetData>
    <row r="1" spans="1:15" s="77" customFormat="1" ht="67.5" customHeight="1">
      <c r="A1" s="2116"/>
      <c r="B1" s="2116"/>
      <c r="C1" s="2116"/>
      <c r="D1" s="2116"/>
      <c r="E1" s="2116"/>
      <c r="F1" s="2116"/>
      <c r="G1" s="2116"/>
      <c r="H1" s="2116"/>
      <c r="I1" s="2116"/>
      <c r="J1" s="2116"/>
      <c r="K1" s="2116"/>
      <c r="L1" s="2116"/>
      <c r="M1" s="2116"/>
    </row>
    <row r="2" spans="1:15" s="77" customFormat="1" ht="3.75" customHeight="1">
      <c r="A2" s="134"/>
      <c r="B2" s="134"/>
      <c r="C2" s="134"/>
      <c r="D2" s="134"/>
      <c r="E2" s="134"/>
      <c r="F2" s="134"/>
      <c r="G2" s="134"/>
      <c r="H2" s="134"/>
      <c r="I2" s="134"/>
      <c r="J2" s="134"/>
      <c r="K2" s="134"/>
      <c r="L2" s="134"/>
      <c r="M2" s="134"/>
    </row>
    <row r="3" spans="1:15" s="134" customFormat="1" ht="31.5">
      <c r="A3" s="531" t="s">
        <v>0</v>
      </c>
      <c r="B3" s="534" t="s">
        <v>342</v>
      </c>
      <c r="C3" s="534" t="s">
        <v>341</v>
      </c>
      <c r="D3" s="534" t="s">
        <v>340</v>
      </c>
      <c r="E3" s="534" t="s">
        <v>339</v>
      </c>
      <c r="F3" s="534" t="s">
        <v>233</v>
      </c>
      <c r="G3" s="532" t="s">
        <v>133</v>
      </c>
      <c r="H3" s="534" t="s">
        <v>338</v>
      </c>
      <c r="I3" s="534" t="s">
        <v>337</v>
      </c>
      <c r="J3" s="534" t="s">
        <v>336</v>
      </c>
      <c r="K3" s="534" t="s">
        <v>335</v>
      </c>
      <c r="L3" s="535" t="s">
        <v>294</v>
      </c>
    </row>
    <row r="4" spans="1:15" s="77" customFormat="1" ht="15.75">
      <c r="A4" s="435">
        <v>2005</v>
      </c>
      <c r="B4" s="551">
        <v>15</v>
      </c>
      <c r="C4" s="551">
        <v>174</v>
      </c>
      <c r="D4" s="551">
        <v>220</v>
      </c>
      <c r="E4" s="551">
        <v>27</v>
      </c>
      <c r="F4" s="551">
        <v>3295</v>
      </c>
      <c r="G4" s="556">
        <f t="shared" ref="G4:G10" si="0">SUM(B4:F4)</f>
        <v>3731</v>
      </c>
      <c r="H4" s="511">
        <f t="shared" ref="H4:H16" si="1">B4/G4</f>
        <v>4.0203698740284106E-3</v>
      </c>
      <c r="I4" s="511">
        <f t="shared" ref="I4:I16" si="2">C4/G4</f>
        <v>4.6636290538729565E-2</v>
      </c>
      <c r="J4" s="511">
        <f t="shared" ref="J4:J16" si="3">D4/G4</f>
        <v>5.8965424819083359E-2</v>
      </c>
      <c r="K4" s="511">
        <f t="shared" ref="K4:K16" si="4">E4/G4</f>
        <v>7.2366657732511391E-3</v>
      </c>
      <c r="L4" s="555">
        <f t="shared" ref="L4:L16" si="5">F4/G4</f>
        <v>0.88314124899490754</v>
      </c>
    </row>
    <row r="5" spans="1:15" s="77" customFormat="1" ht="15.75">
      <c r="A5" s="435" t="s">
        <v>240</v>
      </c>
      <c r="B5" s="551">
        <v>25</v>
      </c>
      <c r="C5" s="551">
        <v>306</v>
      </c>
      <c r="D5" s="551">
        <v>376</v>
      </c>
      <c r="E5" s="551">
        <v>49</v>
      </c>
      <c r="F5" s="551">
        <v>4779</v>
      </c>
      <c r="G5" s="556">
        <f t="shared" si="0"/>
        <v>5535</v>
      </c>
      <c r="H5" s="511">
        <f t="shared" si="1"/>
        <v>4.5167118337850042E-3</v>
      </c>
      <c r="I5" s="511">
        <f t="shared" si="2"/>
        <v>5.5284552845528454E-2</v>
      </c>
      <c r="J5" s="511">
        <f t="shared" si="3"/>
        <v>6.793134598012647E-2</v>
      </c>
      <c r="K5" s="511">
        <f t="shared" si="4"/>
        <v>8.8527551942186086E-3</v>
      </c>
      <c r="L5" s="555">
        <f t="shared" si="5"/>
        <v>0.86341463414634145</v>
      </c>
    </row>
    <row r="6" spans="1:15" s="77" customFormat="1" ht="15.75">
      <c r="A6" s="435" t="s">
        <v>165</v>
      </c>
      <c r="B6" s="551">
        <v>155</v>
      </c>
      <c r="C6" s="551">
        <v>823</v>
      </c>
      <c r="D6" s="551">
        <v>951</v>
      </c>
      <c r="E6" s="551">
        <v>190</v>
      </c>
      <c r="F6" s="551">
        <v>6425</v>
      </c>
      <c r="G6" s="556">
        <f t="shared" si="0"/>
        <v>8544</v>
      </c>
      <c r="H6" s="511">
        <f t="shared" si="1"/>
        <v>1.8141385767790261E-2</v>
      </c>
      <c r="I6" s="511">
        <f t="shared" si="2"/>
        <v>9.6324906367041205E-2</v>
      </c>
      <c r="J6" s="511">
        <f t="shared" si="3"/>
        <v>0.1113061797752809</v>
      </c>
      <c r="K6" s="511">
        <f t="shared" si="4"/>
        <v>2.2237827715355804E-2</v>
      </c>
      <c r="L6" s="555">
        <f t="shared" si="5"/>
        <v>0.75198970037453183</v>
      </c>
    </row>
    <row r="7" spans="1:15" s="77" customFormat="1" ht="15.75">
      <c r="A7" s="435" t="s">
        <v>214</v>
      </c>
      <c r="B7" s="551">
        <v>429</v>
      </c>
      <c r="C7" s="551">
        <v>3165</v>
      </c>
      <c r="D7" s="551">
        <v>4060</v>
      </c>
      <c r="E7" s="551">
        <v>874</v>
      </c>
      <c r="F7" s="551">
        <v>2449</v>
      </c>
      <c r="G7" s="556">
        <f t="shared" si="0"/>
        <v>10977</v>
      </c>
      <c r="H7" s="511">
        <f t="shared" si="1"/>
        <v>3.9081716315933317E-2</v>
      </c>
      <c r="I7" s="511">
        <f t="shared" si="2"/>
        <v>0.2883301448483192</v>
      </c>
      <c r="J7" s="511">
        <f t="shared" si="3"/>
        <v>0.36986426163797032</v>
      </c>
      <c r="K7" s="511">
        <f t="shared" si="4"/>
        <v>7.9621025781178828E-2</v>
      </c>
      <c r="L7" s="555">
        <f t="shared" si="5"/>
        <v>0.22310285141659833</v>
      </c>
    </row>
    <row r="8" spans="1:15" s="77" customFormat="1" ht="15.75">
      <c r="A8" s="435" t="s">
        <v>215</v>
      </c>
      <c r="B8" s="551">
        <v>480</v>
      </c>
      <c r="C8" s="551">
        <v>5693</v>
      </c>
      <c r="D8" s="551">
        <v>7010</v>
      </c>
      <c r="E8" s="551">
        <v>1500</v>
      </c>
      <c r="F8" s="551">
        <v>0</v>
      </c>
      <c r="G8" s="556">
        <f t="shared" si="0"/>
        <v>14683</v>
      </c>
      <c r="H8" s="511">
        <f t="shared" si="1"/>
        <v>3.2690866989034936E-2</v>
      </c>
      <c r="I8" s="511">
        <f t="shared" si="2"/>
        <v>0.38772730368453312</v>
      </c>
      <c r="J8" s="511">
        <f t="shared" si="3"/>
        <v>0.47742286998569777</v>
      </c>
      <c r="K8" s="511">
        <f t="shared" si="4"/>
        <v>0.10215895934073418</v>
      </c>
      <c r="L8" s="555">
        <f t="shared" si="5"/>
        <v>0</v>
      </c>
    </row>
    <row r="9" spans="1:15" s="77" customFormat="1" ht="15.75">
      <c r="A9" s="435" t="s">
        <v>184</v>
      </c>
      <c r="B9" s="551">
        <v>467</v>
      </c>
      <c r="C9" s="551">
        <v>6918</v>
      </c>
      <c r="D9" s="551">
        <v>8285</v>
      </c>
      <c r="E9" s="551">
        <v>1785</v>
      </c>
      <c r="F9" s="551">
        <v>1</v>
      </c>
      <c r="G9" s="556">
        <f t="shared" si="0"/>
        <v>17456</v>
      </c>
      <c r="H9" s="511">
        <f t="shared" si="1"/>
        <v>2.6752978918423466E-2</v>
      </c>
      <c r="I9" s="511">
        <f t="shared" si="2"/>
        <v>0.39631072410632445</v>
      </c>
      <c r="J9" s="511">
        <f t="shared" si="3"/>
        <v>0.47462190650779101</v>
      </c>
      <c r="K9" s="511">
        <f t="shared" si="4"/>
        <v>0.10225710357470211</v>
      </c>
      <c r="L9" s="555">
        <f t="shared" si="5"/>
        <v>5.7286892758936757E-5</v>
      </c>
    </row>
    <row r="10" spans="1:15" s="77" customFormat="1" ht="15.75">
      <c r="A10" s="435">
        <v>2011</v>
      </c>
      <c r="B10" s="551">
        <v>628</v>
      </c>
      <c r="C10" s="551">
        <v>8566</v>
      </c>
      <c r="D10" s="551">
        <v>11097</v>
      </c>
      <c r="E10" s="551">
        <v>2299</v>
      </c>
      <c r="F10" s="551">
        <v>7</v>
      </c>
      <c r="G10" s="556">
        <f t="shared" si="0"/>
        <v>22597</v>
      </c>
      <c r="H10" s="511">
        <f t="shared" si="1"/>
        <v>2.7791299730052663E-2</v>
      </c>
      <c r="I10" s="511">
        <f t="shared" si="2"/>
        <v>0.37907686861087753</v>
      </c>
      <c r="J10" s="511">
        <f t="shared" si="3"/>
        <v>0.49108288710890824</v>
      </c>
      <c r="K10" s="511">
        <f t="shared" si="4"/>
        <v>0.10173916891622782</v>
      </c>
      <c r="L10" s="555">
        <f t="shared" si="5"/>
        <v>3.0977563393370803E-4</v>
      </c>
    </row>
    <row r="11" spans="1:15" s="77" customFormat="1" ht="16.5" customHeight="1">
      <c r="A11" s="435" t="s">
        <v>457</v>
      </c>
      <c r="B11" s="551">
        <v>938</v>
      </c>
      <c r="C11" s="551">
        <v>9676</v>
      </c>
      <c r="D11" s="551">
        <v>13383</v>
      </c>
      <c r="E11" s="551">
        <v>2656</v>
      </c>
      <c r="F11" s="551">
        <v>35</v>
      </c>
      <c r="G11" s="556">
        <f>SUM(B11:F11)</f>
        <v>26688</v>
      </c>
      <c r="H11" s="511">
        <f>B11/G11</f>
        <v>3.5146882494004793E-2</v>
      </c>
      <c r="I11" s="511">
        <f>C11/G11</f>
        <v>0.36255995203836933</v>
      </c>
      <c r="J11" s="511">
        <f>D11/G11</f>
        <v>0.5014613309352518</v>
      </c>
      <c r="K11" s="511">
        <f>E11/G11</f>
        <v>9.9520383693045569E-2</v>
      </c>
      <c r="L11" s="555">
        <f>F11/G11</f>
        <v>1.3114508393285373E-3</v>
      </c>
    </row>
    <row r="12" spans="1:15" s="77" customFormat="1" ht="15.75">
      <c r="A12" s="435" t="s">
        <v>534</v>
      </c>
      <c r="B12" s="551">
        <v>1292</v>
      </c>
      <c r="C12" s="551">
        <v>9365</v>
      </c>
      <c r="D12" s="551">
        <v>15118</v>
      </c>
      <c r="E12" s="551">
        <v>2851</v>
      </c>
      <c r="F12" s="551">
        <v>9</v>
      </c>
      <c r="G12" s="556">
        <f>SUM(B12:F12)</f>
        <v>28635</v>
      </c>
      <c r="H12" s="511">
        <f>B12/G12</f>
        <v>4.5119608870263665E-2</v>
      </c>
      <c r="I12" s="511">
        <f>C12/G12</f>
        <v>0.32704731971363715</v>
      </c>
      <c r="J12" s="511">
        <f>D12/G12</f>
        <v>0.52795529945870434</v>
      </c>
      <c r="K12" s="511">
        <f>E12/G12</f>
        <v>9.9563471276409993E-2</v>
      </c>
      <c r="L12" s="555">
        <f>F12/G12</f>
        <v>3.143006809848088E-4</v>
      </c>
    </row>
    <row r="13" spans="1:15" s="77" customFormat="1" ht="15.75">
      <c r="A13" s="435" t="s">
        <v>541</v>
      </c>
      <c r="B13" s="551">
        <v>817</v>
      </c>
      <c r="C13" s="551">
        <v>10565</v>
      </c>
      <c r="D13" s="551">
        <v>16396</v>
      </c>
      <c r="E13" s="551">
        <v>3252</v>
      </c>
      <c r="F13" s="551">
        <v>2</v>
      </c>
      <c r="G13" s="556">
        <f>SUM(B13:F13)</f>
        <v>31032</v>
      </c>
      <c r="H13" s="511">
        <f>B13/G13</f>
        <v>2.6327661768497036E-2</v>
      </c>
      <c r="I13" s="511">
        <f>C13/G13</f>
        <v>0.34045501417891211</v>
      </c>
      <c r="J13" s="511">
        <f>D13/G13</f>
        <v>0.52835782418149002</v>
      </c>
      <c r="K13" s="511">
        <f>E13/G13</f>
        <v>0.10479505027068832</v>
      </c>
      <c r="L13" s="555">
        <f>F13/G13</f>
        <v>6.4449600412477446E-5</v>
      </c>
    </row>
    <row r="14" spans="1:15" s="77" customFormat="1" ht="15.75">
      <c r="A14" s="435" t="s">
        <v>900</v>
      </c>
      <c r="B14" s="551">
        <v>1295</v>
      </c>
      <c r="C14" s="551">
        <v>10407</v>
      </c>
      <c r="D14" s="551">
        <v>19289</v>
      </c>
      <c r="E14" s="551">
        <v>3557</v>
      </c>
      <c r="F14" s="551">
        <v>1</v>
      </c>
      <c r="G14" s="556">
        <f t="shared" ref="G14:G15" si="6">SUM(B14:F14)</f>
        <v>34549</v>
      </c>
      <c r="H14" s="511">
        <f>B14/G14</f>
        <v>3.7482995166285567E-2</v>
      </c>
      <c r="I14" s="511">
        <f>C14/G14</f>
        <v>0.3012243480274393</v>
      </c>
      <c r="J14" s="511">
        <f>D14/G14</f>
        <v>0.55830848939187816</v>
      </c>
      <c r="K14" s="511">
        <f>E14/G14</f>
        <v>0.10295522301658513</v>
      </c>
      <c r="L14" s="555">
        <f>F14/G14</f>
        <v>2.8944397811803524E-5</v>
      </c>
    </row>
    <row r="15" spans="1:15" s="77" customFormat="1" ht="15.75">
      <c r="A15" s="435" t="s">
        <v>1012</v>
      </c>
      <c r="B15" s="551">
        <f>158+227+268+353</f>
        <v>1006</v>
      </c>
      <c r="C15" s="551">
        <f>739+1036+1179+950</f>
        <v>3904</v>
      </c>
      <c r="D15" s="551">
        <f>1195+1530+1843+1648</f>
        <v>6216</v>
      </c>
      <c r="E15" s="551">
        <f>216+332+373+357</f>
        <v>1278</v>
      </c>
      <c r="F15" s="551">
        <v>1</v>
      </c>
      <c r="G15" s="556">
        <f t="shared" si="6"/>
        <v>12405</v>
      </c>
      <c r="H15" s="511">
        <f>B15/G15</f>
        <v>8.1096332124143494E-2</v>
      </c>
      <c r="I15" s="511">
        <f>C15/G15</f>
        <v>0.31471180975413138</v>
      </c>
      <c r="J15" s="511">
        <f>D15/G15</f>
        <v>0.50108827085852481</v>
      </c>
      <c r="K15" s="511">
        <f>E15/G15</f>
        <v>0.1030229746070133</v>
      </c>
      <c r="L15" s="555">
        <f>F15/G15</f>
        <v>8.0612656187021366E-5</v>
      </c>
    </row>
    <row r="16" spans="1:15" s="77" customFormat="1" ht="15.75">
      <c r="A16" s="550" t="s">
        <v>23</v>
      </c>
      <c r="B16" s="552">
        <f t="shared" ref="B16:G16" si="7">SUM(B4:B15)</f>
        <v>7547</v>
      </c>
      <c r="C16" s="552">
        <f t="shared" si="7"/>
        <v>69562</v>
      </c>
      <c r="D16" s="552">
        <f t="shared" si="7"/>
        <v>102401</v>
      </c>
      <c r="E16" s="552">
        <f t="shared" si="7"/>
        <v>20318</v>
      </c>
      <c r="F16" s="552">
        <f t="shared" si="7"/>
        <v>17004</v>
      </c>
      <c r="G16" s="549">
        <f t="shared" si="7"/>
        <v>216832</v>
      </c>
      <c r="H16" s="553">
        <f t="shared" si="1"/>
        <v>3.4805748229043684E-2</v>
      </c>
      <c r="I16" s="553">
        <f t="shared" si="2"/>
        <v>0.32081058146399055</v>
      </c>
      <c r="J16" s="553">
        <f t="shared" si="3"/>
        <v>0.47225962957497047</v>
      </c>
      <c r="K16" s="553">
        <f t="shared" si="4"/>
        <v>9.3703881345926804E-2</v>
      </c>
      <c r="L16" s="554">
        <f t="shared" si="5"/>
        <v>7.8420159386068472E-2</v>
      </c>
      <c r="O16" s="1458"/>
    </row>
    <row r="17" spans="1:15" s="77" customFormat="1">
      <c r="A17" s="142"/>
    </row>
    <row r="18" spans="1:15" s="77" customFormat="1">
      <c r="A18" s="142"/>
    </row>
    <row r="19" spans="1:15" s="77" customFormat="1">
      <c r="A19" s="142"/>
      <c r="B19" s="141"/>
      <c r="C19" s="141"/>
      <c r="D19" s="141"/>
      <c r="E19" s="141"/>
      <c r="F19" s="141"/>
    </row>
    <row r="20" spans="1:15" s="77" customFormat="1">
      <c r="A20" s="142"/>
      <c r="B20" s="141"/>
      <c r="C20" s="141"/>
      <c r="D20" s="141"/>
      <c r="E20" s="141"/>
      <c r="F20" s="141"/>
    </row>
    <row r="21" spans="1:15" s="77" customFormat="1"/>
    <row r="22" spans="1:15" s="77" customFormat="1"/>
    <row r="23" spans="1:15" s="77" customFormat="1"/>
    <row r="24" spans="1:15" s="77" customFormat="1"/>
    <row r="25" spans="1:15" s="77" customFormat="1"/>
    <row r="26" spans="1:15">
      <c r="A26" s="77"/>
      <c r="B26" s="77"/>
      <c r="C26" s="77"/>
      <c r="D26" s="77"/>
      <c r="E26" s="77"/>
      <c r="F26" s="77"/>
      <c r="G26" s="77"/>
      <c r="H26" s="77"/>
      <c r="I26" s="77"/>
      <c r="J26" s="77"/>
      <c r="K26" s="77"/>
      <c r="L26" s="77"/>
    </row>
    <row r="27" spans="1:15">
      <c r="A27" s="77"/>
      <c r="B27" s="77"/>
      <c r="C27" s="77"/>
      <c r="D27" s="77"/>
      <c r="E27" s="77"/>
      <c r="F27" s="77"/>
      <c r="G27" s="77"/>
      <c r="H27" s="77"/>
      <c r="I27" s="77"/>
      <c r="J27" s="77"/>
      <c r="K27" s="77"/>
      <c r="L27" s="77"/>
    </row>
    <row r="30" spans="1:15">
      <c r="O30" s="39" t="s">
        <v>31</v>
      </c>
    </row>
  </sheetData>
  <mergeCells count="1">
    <mergeCell ref="A1:M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5"/>
  <sheetViews>
    <sheetView showGridLines="0" view="pageBreakPreview" zoomScale="85" zoomScaleNormal="100" zoomScaleSheetLayoutView="85" workbookViewId="0">
      <selection activeCell="A3" sqref="A3"/>
    </sheetView>
  </sheetViews>
  <sheetFormatPr baseColWidth="10" defaultColWidth="11.42578125" defaultRowHeight="15"/>
  <cols>
    <col min="1" max="1" width="15.42578125" style="39" customWidth="1"/>
    <col min="2" max="2" width="12.140625" style="39" customWidth="1"/>
    <col min="3" max="3" width="13" style="39" customWidth="1"/>
    <col min="4" max="4" width="12.7109375" style="39" customWidth="1"/>
    <col min="5" max="5" width="15.140625" style="39" customWidth="1"/>
    <col min="6" max="6" width="15" style="39" customWidth="1"/>
    <col min="7" max="7" width="18.42578125" style="39" customWidth="1"/>
    <col min="8" max="8" width="19.28515625" style="39" customWidth="1"/>
    <col min="9" max="9" width="17.5703125" style="39" customWidth="1"/>
    <col min="10" max="10" width="17.140625" style="39" customWidth="1"/>
    <col min="11" max="12" width="18.42578125" style="39" customWidth="1"/>
    <col min="13" max="13" width="36.42578125" style="39" customWidth="1"/>
    <col min="14" max="16384" width="11.42578125" style="39"/>
  </cols>
  <sheetData>
    <row r="1" spans="1:13" s="77" customFormat="1" ht="68.25" customHeight="1">
      <c r="A1" s="2227"/>
      <c r="B1" s="2227"/>
      <c r="C1" s="2227"/>
      <c r="D1" s="2227"/>
      <c r="E1" s="2227"/>
      <c r="F1" s="2227"/>
      <c r="G1" s="2227"/>
      <c r="H1" s="2227"/>
      <c r="I1" s="2227"/>
      <c r="J1" s="2227"/>
      <c r="K1" s="2227"/>
      <c r="L1" s="2227"/>
    </row>
    <row r="2" spans="1:13" s="38" customFormat="1" ht="4.5" customHeight="1">
      <c r="A2" s="559"/>
      <c r="B2" s="176"/>
      <c r="C2" s="176"/>
      <c r="D2" s="176"/>
      <c r="E2" s="176"/>
      <c r="F2" s="176"/>
      <c r="G2" s="176"/>
      <c r="H2" s="176"/>
      <c r="I2" s="176"/>
      <c r="J2" s="176"/>
      <c r="K2" s="176"/>
      <c r="L2" s="176"/>
    </row>
    <row r="3" spans="1:13" s="77" customFormat="1" ht="50.25" customHeight="1">
      <c r="A3" s="557" t="s">
        <v>0</v>
      </c>
      <c r="B3" s="1776" t="s">
        <v>303</v>
      </c>
      <c r="C3" s="1777" t="s">
        <v>302</v>
      </c>
      <c r="D3" s="1780" t="s">
        <v>133</v>
      </c>
      <c r="E3" s="1777" t="s">
        <v>301</v>
      </c>
      <c r="F3" s="1777" t="s">
        <v>300</v>
      </c>
      <c r="G3" s="1776" t="s">
        <v>306</v>
      </c>
      <c r="H3" s="1777" t="s">
        <v>305</v>
      </c>
      <c r="I3" s="1780" t="s">
        <v>304</v>
      </c>
      <c r="J3" s="1777" t="s">
        <v>437</v>
      </c>
      <c r="K3" s="1785" t="s">
        <v>438</v>
      </c>
    </row>
    <row r="4" spans="1:13" s="77" customFormat="1" ht="15.75">
      <c r="A4" s="1775" t="s">
        <v>214</v>
      </c>
      <c r="B4" s="1778">
        <v>660</v>
      </c>
      <c r="C4" s="1779">
        <v>10317</v>
      </c>
      <c r="D4" s="942">
        <f t="shared" ref="D4:D12" si="0">SUM(B4:C4)</f>
        <v>10977</v>
      </c>
      <c r="E4" s="1782">
        <f t="shared" ref="E4:E13" si="1">B4/D4</f>
        <v>6.0125717409128178E-2</v>
      </c>
      <c r="F4" s="1782">
        <f t="shared" ref="F4:F13" si="2">C4/D4</f>
        <v>0.9398742825908718</v>
      </c>
      <c r="G4" s="1786">
        <f>201642+123254</f>
        <v>324896</v>
      </c>
      <c r="H4" s="1787">
        <v>863333</v>
      </c>
      <c r="I4" s="1788">
        <f t="shared" ref="I4:I10" si="3">SUM(G4:H4)</f>
        <v>1188229</v>
      </c>
      <c r="J4" s="1782">
        <f>B4/G4</f>
        <v>2.0314192849404116E-3</v>
      </c>
      <c r="K4" s="1783">
        <f>C4/H4</f>
        <v>1.1950197664168983E-2</v>
      </c>
    </row>
    <row r="5" spans="1:13" s="77" customFormat="1" ht="15.75">
      <c r="A5" s="1775" t="s">
        <v>215</v>
      </c>
      <c r="B5" s="1055">
        <v>986</v>
      </c>
      <c r="C5" s="422">
        <v>13698</v>
      </c>
      <c r="D5" s="943">
        <f t="shared" si="0"/>
        <v>14684</v>
      </c>
      <c r="E5" s="1056">
        <f t="shared" si="1"/>
        <v>6.7147916099155547E-2</v>
      </c>
      <c r="F5" s="1056">
        <f t="shared" si="2"/>
        <v>0.93285208390084451</v>
      </c>
      <c r="G5" s="1115">
        <v>357975</v>
      </c>
      <c r="H5" s="1057">
        <v>869750</v>
      </c>
      <c r="I5" s="1533">
        <f t="shared" si="3"/>
        <v>1227725</v>
      </c>
      <c r="J5" s="1056">
        <f t="shared" ref="J5:K8" si="4">B5/G5</f>
        <v>2.7543822892660101E-3</v>
      </c>
      <c r="K5" s="1058">
        <f t="shared" si="4"/>
        <v>1.5749353262431733E-2</v>
      </c>
    </row>
    <row r="6" spans="1:13" s="77" customFormat="1" ht="15.75">
      <c r="A6" s="1775" t="s">
        <v>184</v>
      </c>
      <c r="B6" s="1055">
        <v>1477</v>
      </c>
      <c r="C6" s="422">
        <v>15979</v>
      </c>
      <c r="D6" s="943">
        <f t="shared" si="0"/>
        <v>17456</v>
      </c>
      <c r="E6" s="1056">
        <f t="shared" si="1"/>
        <v>8.4612740604949582E-2</v>
      </c>
      <c r="F6" s="1056">
        <f t="shared" si="2"/>
        <v>0.91538725939505039</v>
      </c>
      <c r="G6" s="1115">
        <v>355259</v>
      </c>
      <c r="H6" s="1057">
        <v>943828</v>
      </c>
      <c r="I6" s="1533">
        <f t="shared" si="3"/>
        <v>1299087</v>
      </c>
      <c r="J6" s="1056">
        <f t="shared" si="4"/>
        <v>4.1575301399823794E-3</v>
      </c>
      <c r="K6" s="1058">
        <f t="shared" si="4"/>
        <v>1.6929991481498749E-2</v>
      </c>
      <c r="M6" s="39"/>
    </row>
    <row r="7" spans="1:13" s="77" customFormat="1" ht="15.75">
      <c r="A7" s="1775" t="s">
        <v>216</v>
      </c>
      <c r="B7" s="1055">
        <v>2094</v>
      </c>
      <c r="C7" s="422">
        <v>20503</v>
      </c>
      <c r="D7" s="943">
        <f t="shared" si="0"/>
        <v>22597</v>
      </c>
      <c r="E7" s="1056">
        <f t="shared" si="1"/>
        <v>9.2667168208169226E-2</v>
      </c>
      <c r="F7" s="1056">
        <f t="shared" si="2"/>
        <v>0.90733283179183077</v>
      </c>
      <c r="G7" s="1115">
        <v>369264</v>
      </c>
      <c r="H7" s="1057">
        <v>998527</v>
      </c>
      <c r="I7" s="1533">
        <f t="shared" si="3"/>
        <v>1367791</v>
      </c>
      <c r="J7" s="1056">
        <f t="shared" si="4"/>
        <v>5.6707396334329911E-3</v>
      </c>
      <c r="K7" s="1058">
        <f t="shared" si="4"/>
        <v>2.0533245470578162E-2</v>
      </c>
      <c r="M7" s="39"/>
    </row>
    <row r="8" spans="1:13" s="77" customFormat="1" ht="15.75">
      <c r="A8" s="1775" t="s">
        <v>457</v>
      </c>
      <c r="B8" s="1055">
        <v>3858</v>
      </c>
      <c r="C8" s="422">
        <v>22830</v>
      </c>
      <c r="D8" s="943">
        <f t="shared" si="0"/>
        <v>26688</v>
      </c>
      <c r="E8" s="1056">
        <f t="shared" si="1"/>
        <v>0.1445593525179856</v>
      </c>
      <c r="F8" s="1056">
        <f t="shared" si="2"/>
        <v>0.85544064748201443</v>
      </c>
      <c r="G8" s="1115">
        <f>156354+235330</f>
        <v>391684</v>
      </c>
      <c r="H8" s="1057">
        <v>1035050</v>
      </c>
      <c r="I8" s="1533">
        <f t="shared" si="3"/>
        <v>1426734</v>
      </c>
      <c r="J8" s="1056">
        <f t="shared" si="4"/>
        <v>9.8497768609389202E-3</v>
      </c>
      <c r="K8" s="1058">
        <f t="shared" si="4"/>
        <v>2.2056905463504178E-2</v>
      </c>
      <c r="M8" s="39"/>
    </row>
    <row r="9" spans="1:13" s="77" customFormat="1" ht="18.75" customHeight="1">
      <c r="A9" s="1775" t="s">
        <v>534</v>
      </c>
      <c r="B9" s="1055">
        <v>4451</v>
      </c>
      <c r="C9" s="422">
        <v>24184</v>
      </c>
      <c r="D9" s="943">
        <f t="shared" si="0"/>
        <v>28635</v>
      </c>
      <c r="E9" s="1056">
        <f t="shared" si="1"/>
        <v>0.15543914789593155</v>
      </c>
      <c r="F9" s="1056">
        <f t="shared" si="2"/>
        <v>0.84456085210406839</v>
      </c>
      <c r="G9" s="1115">
        <f>166811+249006</f>
        <v>415817</v>
      </c>
      <c r="H9" s="1057">
        <v>1110841</v>
      </c>
      <c r="I9" s="1533">
        <f t="shared" si="3"/>
        <v>1526658</v>
      </c>
      <c r="J9" s="1056">
        <f t="shared" ref="J9:K11" si="5">B9/G9</f>
        <v>1.0704228061863753E-2</v>
      </c>
      <c r="K9" s="1058">
        <f t="shared" si="5"/>
        <v>2.1770892503967715E-2</v>
      </c>
      <c r="M9" s="39"/>
    </row>
    <row r="10" spans="1:13" s="77" customFormat="1" ht="18" customHeight="1">
      <c r="A10" s="1775" t="s">
        <v>541</v>
      </c>
      <c r="B10" s="1055">
        <v>5112</v>
      </c>
      <c r="C10" s="422">
        <v>25920</v>
      </c>
      <c r="D10" s="943">
        <f t="shared" si="0"/>
        <v>31032</v>
      </c>
      <c r="E10" s="1056">
        <f t="shared" si="1"/>
        <v>0.16473317865429235</v>
      </c>
      <c r="F10" s="1056">
        <f t="shared" si="2"/>
        <v>0.83526682134570762</v>
      </c>
      <c r="G10" s="1115">
        <f>176595+281039</f>
        <v>457634</v>
      </c>
      <c r="H10" s="1057">
        <v>1193568</v>
      </c>
      <c r="I10" s="1533">
        <f t="shared" si="3"/>
        <v>1651202</v>
      </c>
      <c r="J10" s="1056">
        <f t="shared" si="5"/>
        <v>1.1170498695464061E-2</v>
      </c>
      <c r="K10" s="1058">
        <f t="shared" si="5"/>
        <v>2.1716399903482668E-2</v>
      </c>
      <c r="M10" s="159"/>
    </row>
    <row r="11" spans="1:13" s="77" customFormat="1" ht="15" customHeight="1">
      <c r="A11" s="1775" t="s">
        <v>900</v>
      </c>
      <c r="B11" s="1055">
        <f>+'V.4.6. NA.Cant. accid x sector'!B14</f>
        <v>5396</v>
      </c>
      <c r="C11" s="422">
        <f>+'V.4.6. NA.Cant. accid x sector'!C14</f>
        <v>29153</v>
      </c>
      <c r="D11" s="943">
        <f t="shared" si="0"/>
        <v>34549</v>
      </c>
      <c r="E11" s="1056">
        <f t="shared" si="1"/>
        <v>0.15618397059249181</v>
      </c>
      <c r="F11" s="1056">
        <f t="shared" si="2"/>
        <v>0.84381602940750822</v>
      </c>
      <c r="G11" s="1115">
        <f>189220+301682</f>
        <v>490902</v>
      </c>
      <c r="H11" s="1057">
        <v>1268556</v>
      </c>
      <c r="I11" s="1533">
        <f>SUM(G11:H11)</f>
        <v>1759458</v>
      </c>
      <c r="J11" s="1056">
        <f t="shared" si="5"/>
        <v>1.0992010625338663E-2</v>
      </c>
      <c r="K11" s="1058">
        <f t="shared" si="5"/>
        <v>2.298124797013297E-2</v>
      </c>
      <c r="M11" s="39"/>
    </row>
    <row r="12" spans="1:13" s="77" customFormat="1" ht="15.75">
      <c r="A12" s="1775" t="s">
        <v>1012</v>
      </c>
      <c r="B12" s="1055">
        <f>+'V.4.6. NA.Cant. accid x sector'!B15</f>
        <v>2146</v>
      </c>
      <c r="C12" s="422">
        <f>+'V.4.6. NA.Cant. accid x sector'!C15</f>
        <v>10259</v>
      </c>
      <c r="D12" s="943">
        <f t="shared" si="0"/>
        <v>12405</v>
      </c>
      <c r="E12" s="1056">
        <f t="shared" ref="E12" si="6">B12/D12</f>
        <v>0.17299476017734786</v>
      </c>
      <c r="F12" s="1056">
        <f t="shared" ref="F12" si="7">C12/D12</f>
        <v>0.82700523982265217</v>
      </c>
      <c r="G12" s="1269">
        <f>243813+292702</f>
        <v>536515</v>
      </c>
      <c r="H12" s="1270">
        <v>1300184</v>
      </c>
      <c r="I12" s="1662">
        <f>SUM(G12:H12)</f>
        <v>1836699</v>
      </c>
      <c r="J12" s="1059">
        <f t="shared" ref="J12" si="8">B12/G12</f>
        <v>3.999888167152829E-3</v>
      </c>
      <c r="K12" s="1060">
        <f t="shared" ref="K12" si="9">C12/H12</f>
        <v>7.8904216633953351E-3</v>
      </c>
      <c r="L12" s="39"/>
    </row>
    <row r="13" spans="1:13" s="77" customFormat="1" ht="15.75">
      <c r="A13" s="557" t="s">
        <v>23</v>
      </c>
      <c r="B13" s="1791">
        <f>SUM(B4:B12)</f>
        <v>26180</v>
      </c>
      <c r="C13" s="634">
        <f>SUM(C4:C12)</f>
        <v>172843</v>
      </c>
      <c r="D13" s="1110">
        <f>SUM(D4:D12)</f>
        <v>199023</v>
      </c>
      <c r="E13" s="1789">
        <f t="shared" si="1"/>
        <v>0.13154258553031559</v>
      </c>
      <c r="F13" s="1790">
        <f t="shared" si="2"/>
        <v>0.86845741446968439</v>
      </c>
      <c r="G13" s="1048"/>
      <c r="H13" s="1048"/>
      <c r="I13" s="1048"/>
      <c r="J13" s="1048"/>
      <c r="K13" s="1048"/>
      <c r="L13" s="39"/>
    </row>
    <row r="14" spans="1:13" s="77" customFormat="1">
      <c r="B14" s="186"/>
      <c r="C14" s="186"/>
      <c r="D14" s="186"/>
      <c r="K14" s="39"/>
      <c r="L14" s="39"/>
    </row>
    <row r="15" spans="1:13" s="77" customFormat="1">
      <c r="K15" s="39"/>
    </row>
    <row r="16" spans="1:13" s="77" customFormat="1"/>
    <row r="17" spans="1:11" s="77" customFormat="1"/>
    <row r="18" spans="1:11" s="77" customFormat="1"/>
    <row r="19" spans="1:11" s="77" customFormat="1"/>
    <row r="20" spans="1:11" s="77" customFormat="1"/>
    <row r="21" spans="1:11" s="77" customFormat="1"/>
    <row r="22" spans="1:11" s="77" customFormat="1"/>
    <row r="23" spans="1:11">
      <c r="A23" s="77"/>
      <c r="B23" s="77"/>
      <c r="C23" s="77"/>
      <c r="D23" s="77"/>
      <c r="E23" s="77"/>
      <c r="F23" s="77"/>
      <c r="G23" s="77"/>
      <c r="H23" s="77"/>
      <c r="I23" s="77"/>
      <c r="J23" s="77"/>
      <c r="K23" s="77"/>
    </row>
    <row r="24" spans="1:11">
      <c r="A24" s="77"/>
      <c r="B24" s="77"/>
      <c r="C24" s="77"/>
      <c r="D24" s="77"/>
      <c r="E24" s="77"/>
      <c r="F24" s="77"/>
    </row>
    <row r="25" spans="1:11">
      <c r="K25" s="140"/>
    </row>
  </sheetData>
  <mergeCells count="1">
    <mergeCell ref="A1:L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N48"/>
  <sheetViews>
    <sheetView showGridLines="0" view="pageBreakPreview" zoomScaleNormal="100" zoomScaleSheetLayoutView="100" workbookViewId="0">
      <selection activeCell="M8" sqref="M8:N20"/>
    </sheetView>
  </sheetViews>
  <sheetFormatPr baseColWidth="10" defaultColWidth="11.42578125" defaultRowHeight="15"/>
  <cols>
    <col min="1" max="1" width="17.85546875" style="39" customWidth="1"/>
    <col min="2" max="3" width="14.140625" style="39" customWidth="1"/>
    <col min="4" max="4" width="13.85546875" style="39" customWidth="1"/>
    <col min="5" max="5" width="14.42578125" style="39" customWidth="1"/>
    <col min="6" max="6" width="14.7109375" style="39" customWidth="1"/>
    <col min="7" max="7" width="14.140625" style="39" customWidth="1"/>
    <col min="8" max="8" width="16.7109375" style="39" customWidth="1"/>
    <col min="9" max="9" width="17.28515625" style="39" customWidth="1"/>
    <col min="10" max="10" width="17.5703125" style="39" customWidth="1"/>
    <col min="11" max="11" width="16.7109375" style="39" customWidth="1"/>
    <col min="12" max="12" width="14.42578125" style="39" customWidth="1"/>
    <col min="13" max="16384" width="11.42578125" style="39"/>
  </cols>
  <sheetData>
    <row r="1" spans="1:14" s="77" customFormat="1" ht="66" customHeight="1">
      <c r="A1" s="2099"/>
      <c r="B1" s="2099"/>
      <c r="C1" s="2099"/>
      <c r="D1" s="2099"/>
      <c r="E1" s="2099"/>
      <c r="F1" s="2099"/>
      <c r="G1" s="2099"/>
      <c r="H1" s="2099"/>
      <c r="I1" s="2099"/>
      <c r="J1" s="2099"/>
      <c r="K1" s="2099"/>
      <c r="L1" s="2099"/>
    </row>
    <row r="2" spans="1:14" s="77" customFormat="1" ht="8.25" customHeight="1">
      <c r="A2" s="154"/>
      <c r="B2" s="154"/>
      <c r="C2" s="154"/>
      <c r="D2" s="154"/>
      <c r="E2" s="154"/>
      <c r="F2" s="154"/>
      <c r="G2" s="154"/>
      <c r="H2" s="154"/>
      <c r="I2" s="154"/>
      <c r="J2" s="154"/>
      <c r="K2" s="154"/>
      <c r="L2" s="154"/>
    </row>
    <row r="3" spans="1:14" s="134" customFormat="1" ht="46.5" customHeight="1">
      <c r="A3" s="425" t="s">
        <v>25</v>
      </c>
      <c r="B3" s="579" t="s">
        <v>314</v>
      </c>
      <c r="C3" s="451" t="s">
        <v>313</v>
      </c>
      <c r="D3" s="1434" t="s">
        <v>312</v>
      </c>
      <c r="E3" s="451" t="s">
        <v>212</v>
      </c>
      <c r="F3" s="451" t="s">
        <v>211</v>
      </c>
      <c r="G3" s="451" t="s">
        <v>311</v>
      </c>
      <c r="H3" s="451" t="s">
        <v>310</v>
      </c>
      <c r="I3" s="1434" t="s">
        <v>309</v>
      </c>
      <c r="J3" s="451" t="s">
        <v>308</v>
      </c>
      <c r="K3" s="452" t="s">
        <v>307</v>
      </c>
      <c r="L3" s="154"/>
    </row>
    <row r="4" spans="1:14" s="77" customFormat="1" ht="15.75">
      <c r="A4" s="435" t="s">
        <v>214</v>
      </c>
      <c r="B4" s="580">
        <v>2072</v>
      </c>
      <c r="C4" s="575">
        <v>8905</v>
      </c>
      <c r="D4" s="1435">
        <f t="shared" ref="D4:D10" si="0">B4+C4</f>
        <v>10977</v>
      </c>
      <c r="E4" s="574">
        <f t="shared" ref="E4:E10" si="1">B4/D4</f>
        <v>0.18875831283592967</v>
      </c>
      <c r="F4" s="574">
        <f t="shared" ref="F4:F10" si="2">C4/D4</f>
        <v>0.8112416871640703</v>
      </c>
      <c r="G4" s="575">
        <v>502153</v>
      </c>
      <c r="H4" s="575">
        <v>686076</v>
      </c>
      <c r="I4" s="1435">
        <f>+H4+G4</f>
        <v>1188229</v>
      </c>
      <c r="J4" s="574">
        <f t="shared" ref="J4:K6" si="3">B4/G4</f>
        <v>4.1262324431000112E-3</v>
      </c>
      <c r="K4" s="576">
        <f t="shared" si="3"/>
        <v>1.2979611588220547E-2</v>
      </c>
    </row>
    <row r="5" spans="1:14" s="77" customFormat="1" ht="15.75">
      <c r="A5" s="435" t="s">
        <v>215</v>
      </c>
      <c r="B5" s="581">
        <v>3076</v>
      </c>
      <c r="C5" s="272">
        <v>11608</v>
      </c>
      <c r="D5" s="1108">
        <f t="shared" si="0"/>
        <v>14684</v>
      </c>
      <c r="E5" s="569">
        <f t="shared" si="1"/>
        <v>0.20947970580223371</v>
      </c>
      <c r="F5" s="569">
        <f t="shared" si="2"/>
        <v>0.79052029419776626</v>
      </c>
      <c r="G5" s="272">
        <v>524956</v>
      </c>
      <c r="H5" s="272">
        <v>702769</v>
      </c>
      <c r="I5" s="1108">
        <f t="shared" ref="I5:I12" si="4">+H5+G5</f>
        <v>1227725</v>
      </c>
      <c r="J5" s="569">
        <f>B5/G5</f>
        <v>5.8595387041961615E-3</v>
      </c>
      <c r="K5" s="573">
        <f>C5/H5</f>
        <v>1.6517518558729825E-2</v>
      </c>
    </row>
    <row r="6" spans="1:14" s="77" customFormat="1" ht="15.75">
      <c r="A6" s="435" t="s">
        <v>184</v>
      </c>
      <c r="B6" s="581">
        <v>3938</v>
      </c>
      <c r="C6" s="272">
        <v>13518</v>
      </c>
      <c r="D6" s="1108">
        <f t="shared" si="0"/>
        <v>17456</v>
      </c>
      <c r="E6" s="569">
        <f t="shared" si="1"/>
        <v>0.22559578368469294</v>
      </c>
      <c r="F6" s="569">
        <f t="shared" si="2"/>
        <v>0.77440421631530709</v>
      </c>
      <c r="G6" s="272">
        <v>558699</v>
      </c>
      <c r="H6" s="272">
        <v>740388</v>
      </c>
      <c r="I6" s="1108">
        <f t="shared" si="4"/>
        <v>1299087</v>
      </c>
      <c r="J6" s="569">
        <f t="shared" si="3"/>
        <v>7.0485180750278773E-3</v>
      </c>
      <c r="K6" s="573">
        <f t="shared" si="3"/>
        <v>1.8257994456960403E-2</v>
      </c>
    </row>
    <row r="7" spans="1:14" s="77" customFormat="1" ht="15.75">
      <c r="A7" s="435" t="s">
        <v>216</v>
      </c>
      <c r="B7" s="581">
        <v>5638</v>
      </c>
      <c r="C7" s="272">
        <v>16959</v>
      </c>
      <c r="D7" s="1108">
        <f t="shared" si="0"/>
        <v>22597</v>
      </c>
      <c r="E7" s="569">
        <f t="shared" si="1"/>
        <v>0.24950214630260653</v>
      </c>
      <c r="F7" s="569">
        <f t="shared" si="2"/>
        <v>0.75049785369739341</v>
      </c>
      <c r="G7" s="272">
        <v>590403</v>
      </c>
      <c r="H7" s="272">
        <v>777388</v>
      </c>
      <c r="I7" s="1108">
        <f t="shared" si="4"/>
        <v>1367791</v>
      </c>
      <c r="J7" s="569">
        <f t="shared" ref="J7:K10" si="5">B7/G7</f>
        <v>9.5494094711578367E-3</v>
      </c>
      <c r="K7" s="573">
        <f t="shared" si="5"/>
        <v>2.1815361183861855E-2</v>
      </c>
      <c r="L7" s="23"/>
    </row>
    <row r="8" spans="1:14" s="77" customFormat="1" ht="15.75">
      <c r="A8" s="435" t="s">
        <v>457</v>
      </c>
      <c r="B8" s="564">
        <v>7022</v>
      </c>
      <c r="C8" s="533">
        <v>19666</v>
      </c>
      <c r="D8" s="946">
        <f t="shared" si="0"/>
        <v>26688</v>
      </c>
      <c r="E8" s="571">
        <f t="shared" si="1"/>
        <v>0.26311450839328537</v>
      </c>
      <c r="F8" s="571">
        <f t="shared" si="2"/>
        <v>0.73688549160671468</v>
      </c>
      <c r="G8" s="533">
        <v>619448</v>
      </c>
      <c r="H8" s="533">
        <v>807286</v>
      </c>
      <c r="I8" s="1108">
        <f t="shared" si="4"/>
        <v>1426734</v>
      </c>
      <c r="J8" s="569">
        <f t="shared" si="5"/>
        <v>1.1335899058516615E-2</v>
      </c>
      <c r="K8" s="573">
        <f t="shared" si="5"/>
        <v>2.4360635512073788E-2</v>
      </c>
      <c r="L8" s="23"/>
    </row>
    <row r="9" spans="1:14" s="77" customFormat="1" ht="15.75">
      <c r="A9" s="435" t="s">
        <v>534</v>
      </c>
      <c r="B9" s="564">
        <f>18+7821</f>
        <v>7839</v>
      </c>
      <c r="C9" s="533">
        <v>20796</v>
      </c>
      <c r="D9" s="946">
        <f t="shared" si="0"/>
        <v>28635</v>
      </c>
      <c r="E9" s="571">
        <f t="shared" si="1"/>
        <v>0.27375589313776849</v>
      </c>
      <c r="F9" s="571">
        <f t="shared" si="2"/>
        <v>0.72624410686223151</v>
      </c>
      <c r="G9" s="533">
        <v>669009</v>
      </c>
      <c r="H9" s="533">
        <v>857649</v>
      </c>
      <c r="I9" s="1108">
        <f t="shared" si="4"/>
        <v>1526658</v>
      </c>
      <c r="J9" s="569">
        <f t="shared" si="5"/>
        <v>1.1717331156979951E-2</v>
      </c>
      <c r="K9" s="573">
        <f t="shared" si="5"/>
        <v>2.4247681743930209E-2</v>
      </c>
      <c r="L9" s="23"/>
    </row>
    <row r="10" spans="1:14" s="77" customFormat="1" ht="15.75">
      <c r="A10" s="435" t="s">
        <v>541</v>
      </c>
      <c r="B10" s="564">
        <v>8865</v>
      </c>
      <c r="C10" s="533">
        <v>22167</v>
      </c>
      <c r="D10" s="946">
        <f t="shared" si="0"/>
        <v>31032</v>
      </c>
      <c r="E10" s="571">
        <f t="shared" si="1"/>
        <v>0.28567285382830626</v>
      </c>
      <c r="F10" s="571">
        <f t="shared" si="2"/>
        <v>0.71432714617169368</v>
      </c>
      <c r="G10" s="533">
        <v>730833</v>
      </c>
      <c r="H10" s="533">
        <v>920369</v>
      </c>
      <c r="I10" s="1108">
        <f t="shared" si="4"/>
        <v>1651202</v>
      </c>
      <c r="J10" s="569">
        <f>B10/G10</f>
        <v>1.2129994129985919E-2</v>
      </c>
      <c r="K10" s="573">
        <f t="shared" si="5"/>
        <v>2.4084905076116211E-2</v>
      </c>
      <c r="L10" s="23"/>
    </row>
    <row r="11" spans="1:14" s="77" customFormat="1" ht="15.75">
      <c r="A11" s="435" t="s">
        <v>900</v>
      </c>
      <c r="B11" s="564">
        <f>+'V.4.7. Accid x sexo'!B14</f>
        <v>10124</v>
      </c>
      <c r="C11" s="533">
        <f>+'V.4.7. Accid x sexo'!C14</f>
        <v>24425</v>
      </c>
      <c r="D11" s="946">
        <f>B11+C11</f>
        <v>34549</v>
      </c>
      <c r="E11" s="571">
        <f t="shared" ref="E11" si="6">B11/D11</f>
        <v>0.29303308344669887</v>
      </c>
      <c r="F11" s="571">
        <f t="shared" ref="F11" si="7">C11/D11</f>
        <v>0.70696691655330113</v>
      </c>
      <c r="G11" s="533">
        <v>783669</v>
      </c>
      <c r="H11" s="533">
        <v>975789</v>
      </c>
      <c r="I11" s="1108">
        <f t="shared" si="4"/>
        <v>1759458</v>
      </c>
      <c r="J11" s="569">
        <f t="shared" ref="J11:J12" si="8">B11/G11</f>
        <v>1.2918719510405541E-2</v>
      </c>
      <c r="K11" s="573">
        <f t="shared" ref="K11:K12" si="9">C11/H11</f>
        <v>2.5031026174716052E-2</v>
      </c>
      <c r="L11" s="23"/>
    </row>
    <row r="12" spans="1:14" s="134" customFormat="1" ht="18" customHeight="1">
      <c r="A12" s="1792" t="s">
        <v>1008</v>
      </c>
      <c r="B12" s="564">
        <f>+'V.4.7. Accid x sexo'!B15</f>
        <v>4127</v>
      </c>
      <c r="C12" s="533">
        <f>+'V.4.7. Accid x sexo'!C15</f>
        <v>8278</v>
      </c>
      <c r="D12" s="946">
        <f>B12+C12</f>
        <v>12405</v>
      </c>
      <c r="E12" s="1793">
        <f>+B12/D12</f>
        <v>0.33268843208383714</v>
      </c>
      <c r="F12" s="1793">
        <f>+C12/D12</f>
        <v>0.66731156791616286</v>
      </c>
      <c r="G12" s="566">
        <v>808455</v>
      </c>
      <c r="H12" s="566">
        <v>1028244</v>
      </c>
      <c r="I12" s="944">
        <f t="shared" si="4"/>
        <v>1836699</v>
      </c>
      <c r="J12" s="577">
        <f t="shared" si="8"/>
        <v>5.1047986591708878E-3</v>
      </c>
      <c r="K12" s="578">
        <f t="shared" si="9"/>
        <v>8.0506183357257621E-3</v>
      </c>
      <c r="L12" s="204"/>
    </row>
    <row r="13" spans="1:14" s="77" customFormat="1" ht="15.75">
      <c r="A13" s="582" t="s">
        <v>23</v>
      </c>
      <c r="B13" s="583">
        <f>SUM(B4:B12)</f>
        <v>52701</v>
      </c>
      <c r="C13" s="572">
        <f>SUM(C4:C12)</f>
        <v>146322</v>
      </c>
      <c r="D13" s="1436">
        <f>SUM(D4:D12)</f>
        <v>199023</v>
      </c>
      <c r="L13" s="39"/>
      <c r="N13" s="156"/>
    </row>
    <row r="14" spans="1:14" s="77" customFormat="1">
      <c r="L14" s="39"/>
      <c r="N14" s="156"/>
    </row>
    <row r="15" spans="1:14" s="77" customFormat="1" ht="15.75">
      <c r="H15" s="145"/>
      <c r="I15" s="145"/>
      <c r="L15" s="23"/>
      <c r="N15" s="156"/>
    </row>
    <row r="16" spans="1:14" s="77" customFormat="1">
      <c r="L16" s="23"/>
    </row>
    <row r="17" spans="12:12" s="77" customFormat="1">
      <c r="L17" s="23"/>
    </row>
    <row r="18" spans="12:12" s="77" customFormat="1">
      <c r="L18" s="23"/>
    </row>
    <row r="19" spans="12:12" s="77" customFormat="1">
      <c r="L19" s="23"/>
    </row>
    <row r="20" spans="12:12" s="77" customFormat="1">
      <c r="L20" s="23"/>
    </row>
    <row r="21" spans="12:12" s="77" customFormat="1">
      <c r="L21" s="23"/>
    </row>
    <row r="22" spans="12:12" s="77" customFormat="1">
      <c r="L22" s="23"/>
    </row>
    <row r="23" spans="12:12" s="77" customFormat="1">
      <c r="L23" s="23"/>
    </row>
    <row r="24" spans="12:12" s="77" customFormat="1">
      <c r="L24" s="23"/>
    </row>
    <row r="25" spans="12:12" s="77" customFormat="1">
      <c r="L25" s="23"/>
    </row>
    <row r="26" spans="12:12" s="77" customFormat="1">
      <c r="L26" s="23"/>
    </row>
    <row r="27" spans="12:12" s="77" customFormat="1">
      <c r="L27" s="23"/>
    </row>
    <row r="28" spans="12:12" s="77" customFormat="1">
      <c r="L28" s="23"/>
    </row>
    <row r="29" spans="12:12" s="77" customFormat="1">
      <c r="L29" s="23"/>
    </row>
    <row r="30" spans="12:12" s="77" customFormat="1">
      <c r="L30" s="23"/>
    </row>
    <row r="31" spans="12:12" s="77" customFormat="1">
      <c r="L31" s="23"/>
    </row>
    <row r="32" spans="12:12" s="77" customFormat="1">
      <c r="L32" s="23"/>
    </row>
    <row r="33" spans="1:11" s="77" customFormat="1"/>
    <row r="34" spans="1:11" s="77" customFormat="1"/>
    <row r="35" spans="1:11" s="77" customFormat="1"/>
    <row r="36" spans="1:11" s="77" customFormat="1" ht="15.75">
      <c r="C36" s="135"/>
    </row>
    <row r="37" spans="1:11" s="77" customFormat="1"/>
    <row r="38" spans="1:11" s="77" customFormat="1"/>
    <row r="39" spans="1:11" s="77" customFormat="1"/>
    <row r="40" spans="1:11" s="77" customFormat="1"/>
    <row r="41" spans="1:11" s="77" customFormat="1"/>
    <row r="42" spans="1:11" s="77" customFormat="1"/>
    <row r="43" spans="1:11" s="77" customFormat="1"/>
    <row r="44" spans="1:11" s="77" customFormat="1"/>
    <row r="45" spans="1:11" s="77" customFormat="1"/>
    <row r="46" spans="1:11" s="77" customFormat="1"/>
    <row r="47" spans="1:11" s="77" customFormat="1"/>
    <row r="48" spans="1:11">
      <c r="A48" s="77"/>
      <c r="B48" s="77"/>
      <c r="C48" s="77"/>
      <c r="D48" s="77"/>
      <c r="E48" s="77"/>
      <c r="F48" s="77"/>
      <c r="G48" s="77"/>
      <c r="H48" s="77"/>
      <c r="I48" s="77"/>
      <c r="J48" s="77"/>
      <c r="K48" s="77"/>
    </row>
  </sheetData>
  <mergeCells count="1">
    <mergeCell ref="A1:L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36"/>
  <sheetViews>
    <sheetView showGridLines="0" view="pageBreakPreview" topLeftCell="A14" zoomScale="70" zoomScaleNormal="100" zoomScaleSheetLayoutView="70" workbookViewId="0">
      <selection activeCell="O12" sqref="O12"/>
    </sheetView>
  </sheetViews>
  <sheetFormatPr baseColWidth="10" defaultColWidth="11.42578125" defaultRowHeight="15"/>
  <cols>
    <col min="1" max="1" width="15.85546875" style="39" customWidth="1"/>
    <col min="2" max="2" width="14" style="39" customWidth="1"/>
    <col min="3" max="6" width="9.7109375" style="39" bestFit="1" customWidth="1"/>
    <col min="7" max="7" width="12.42578125" style="39" bestFit="1" customWidth="1"/>
    <col min="8" max="8" width="10.140625" style="39" bestFit="1" customWidth="1"/>
    <col min="9" max="9" width="15.28515625" style="39" bestFit="1" customWidth="1"/>
    <col min="10" max="10" width="12.85546875" style="39" bestFit="1" customWidth="1"/>
    <col min="11" max="11" width="12" style="39" bestFit="1" customWidth="1"/>
    <col min="12" max="12" width="12.42578125" style="39" bestFit="1" customWidth="1"/>
    <col min="13" max="13" width="11" style="39" customWidth="1"/>
    <col min="14" max="14" width="13.140625" style="39" bestFit="1" customWidth="1"/>
    <col min="15" max="15" width="13.85546875" style="39" customWidth="1"/>
    <col min="16" max="16" width="15.42578125" style="39" customWidth="1"/>
    <col min="17" max="17" width="17" style="39" customWidth="1"/>
    <col min="18" max="18" width="16.5703125" style="39" customWidth="1"/>
    <col min="19" max="19" width="12" style="39" customWidth="1"/>
    <col min="20" max="21" width="12.28515625" style="39" customWidth="1"/>
    <col min="22" max="16384" width="11.42578125" style="39"/>
  </cols>
  <sheetData>
    <row r="1" spans="1:22" s="77" customFormat="1" ht="66.75" customHeight="1">
      <c r="A1" s="2116"/>
      <c r="B1" s="2116"/>
      <c r="C1" s="2116"/>
      <c r="D1" s="2116"/>
      <c r="E1" s="2116"/>
      <c r="F1" s="2116"/>
      <c r="G1" s="2116"/>
      <c r="H1" s="2116"/>
      <c r="I1" s="2116"/>
      <c r="J1" s="2116"/>
      <c r="K1" s="2116"/>
      <c r="L1" s="2116"/>
      <c r="M1" s="2116"/>
      <c r="N1" s="2116"/>
      <c r="O1" s="2116"/>
      <c r="P1" s="2116"/>
      <c r="Q1" s="2116"/>
      <c r="R1" s="2116"/>
      <c r="S1" s="2116"/>
      <c r="T1" s="2116"/>
      <c r="U1" s="2116"/>
    </row>
    <row r="2" spans="1:22" s="77" customFormat="1" ht="7.5" customHeight="1">
      <c r="A2" s="2230"/>
      <c r="B2" s="2231"/>
      <c r="C2" s="2231"/>
      <c r="D2" s="2231"/>
      <c r="E2" s="2231"/>
      <c r="F2" s="2231"/>
      <c r="G2" s="2231"/>
      <c r="H2" s="2231"/>
      <c r="I2" s="2231"/>
      <c r="J2" s="2231"/>
      <c r="K2" s="2231"/>
      <c r="L2" s="2231"/>
      <c r="M2" s="2231"/>
      <c r="N2" s="2231"/>
      <c r="O2" s="2231"/>
      <c r="P2" s="2231"/>
      <c r="Q2" s="2231"/>
      <c r="R2" s="2231"/>
      <c r="S2" s="2231"/>
      <c r="T2" s="2231"/>
      <c r="U2" s="2232"/>
    </row>
    <row r="3" spans="1:22" s="134" customFormat="1" ht="51" customHeight="1">
      <c r="A3" s="1794" t="s">
        <v>0</v>
      </c>
      <c r="B3" s="1385" t="s">
        <v>334</v>
      </c>
      <c r="C3" s="1385" t="s">
        <v>323</v>
      </c>
      <c r="D3" s="1385" t="s">
        <v>322</v>
      </c>
      <c r="E3" s="1385" t="s">
        <v>321</v>
      </c>
      <c r="F3" s="1385" t="s">
        <v>320</v>
      </c>
      <c r="G3" s="1385" t="s">
        <v>333</v>
      </c>
      <c r="H3" s="1433" t="s">
        <v>133</v>
      </c>
      <c r="I3" s="1385" t="s">
        <v>332</v>
      </c>
      <c r="J3" s="1385" t="s">
        <v>323</v>
      </c>
      <c r="K3" s="1385" t="s">
        <v>322</v>
      </c>
      <c r="L3" s="1385" t="s">
        <v>321</v>
      </c>
      <c r="M3" s="1385" t="s">
        <v>320</v>
      </c>
      <c r="N3" s="1385" t="s">
        <v>319</v>
      </c>
      <c r="O3" s="1433" t="s">
        <v>331</v>
      </c>
      <c r="P3" s="1385" t="s">
        <v>330</v>
      </c>
      <c r="Q3" s="1385" t="s">
        <v>329</v>
      </c>
      <c r="R3" s="1385" t="s">
        <v>328</v>
      </c>
      <c r="S3" s="1385" t="s">
        <v>327</v>
      </c>
      <c r="T3" s="1385" t="s">
        <v>326</v>
      </c>
      <c r="U3" s="1797" t="s">
        <v>325</v>
      </c>
    </row>
    <row r="4" spans="1:22" s="879" customFormat="1" ht="15.75">
      <c r="A4" s="921" t="s">
        <v>214</v>
      </c>
      <c r="B4" s="923">
        <v>7</v>
      </c>
      <c r="C4" s="923">
        <v>1031</v>
      </c>
      <c r="D4" s="923">
        <v>4066</v>
      </c>
      <c r="E4" s="923">
        <v>3112</v>
      </c>
      <c r="F4" s="923">
        <v>1708</v>
      </c>
      <c r="G4" s="923">
        <f>24+1029</f>
        <v>1053</v>
      </c>
      <c r="H4" s="1781">
        <f>SUM(B4:G4)</f>
        <v>10977</v>
      </c>
      <c r="I4" s="922">
        <v>22989</v>
      </c>
      <c r="J4" s="923">
        <v>351184</v>
      </c>
      <c r="K4" s="923">
        <v>350381</v>
      </c>
      <c r="L4" s="923">
        <v>260446</v>
      </c>
      <c r="M4" s="923">
        <v>139328</v>
      </c>
      <c r="N4" s="923">
        <v>63901</v>
      </c>
      <c r="O4" s="945">
        <f t="shared" ref="O4:O10" si="0">+N4+M4+L4+K4+J4+I4</f>
        <v>1188229</v>
      </c>
      <c r="P4" s="924">
        <f t="shared" ref="P4:U7" si="1">B4/I4</f>
        <v>3.0449345339075211E-4</v>
      </c>
      <c r="Q4" s="924">
        <f t="shared" si="1"/>
        <v>2.9357829513873071E-3</v>
      </c>
      <c r="R4" s="924">
        <f t="shared" si="1"/>
        <v>1.1604510518549807E-2</v>
      </c>
      <c r="S4" s="924">
        <f t="shared" si="1"/>
        <v>1.1948734094591585E-2</v>
      </c>
      <c r="T4" s="924">
        <f t="shared" si="1"/>
        <v>1.2258842443729904E-2</v>
      </c>
      <c r="U4" s="925">
        <f t="shared" si="1"/>
        <v>1.6478615358132109E-2</v>
      </c>
    </row>
    <row r="5" spans="1:22" s="879" customFormat="1" ht="15.75">
      <c r="A5" s="415" t="s">
        <v>215</v>
      </c>
      <c r="B5" s="533">
        <v>2</v>
      </c>
      <c r="C5" s="533">
        <v>2024</v>
      </c>
      <c r="D5" s="533">
        <v>5530</v>
      </c>
      <c r="E5" s="533">
        <v>3839</v>
      </c>
      <c r="F5" s="533">
        <v>2108</v>
      </c>
      <c r="G5" s="533">
        <f>49+1132</f>
        <v>1181</v>
      </c>
      <c r="H5" s="1784">
        <f t="shared" ref="H5:H10" si="2">SUM(B5:G5)</f>
        <v>14684</v>
      </c>
      <c r="I5" s="564">
        <v>22230</v>
      </c>
      <c r="J5" s="533">
        <v>349422</v>
      </c>
      <c r="K5" s="533">
        <v>357517</v>
      </c>
      <c r="L5" s="533">
        <v>270321</v>
      </c>
      <c r="M5" s="533">
        <v>153630</v>
      </c>
      <c r="N5" s="533">
        <v>74605</v>
      </c>
      <c r="O5" s="946">
        <f t="shared" si="0"/>
        <v>1227725</v>
      </c>
      <c r="P5" s="591">
        <f t="shared" ref="P5:U5" si="3">B5/I5</f>
        <v>8.9968511021142601E-5</v>
      </c>
      <c r="Q5" s="591">
        <f t="shared" si="3"/>
        <v>5.7924229155576924E-3</v>
      </c>
      <c r="R5" s="591">
        <f t="shared" si="3"/>
        <v>1.5467795936976423E-2</v>
      </c>
      <c r="S5" s="591">
        <f t="shared" si="3"/>
        <v>1.4201634353231898E-2</v>
      </c>
      <c r="T5" s="591">
        <f t="shared" si="3"/>
        <v>1.3721278396146586E-2</v>
      </c>
      <c r="U5" s="594">
        <f t="shared" si="3"/>
        <v>1.5830038201192949E-2</v>
      </c>
    </row>
    <row r="6" spans="1:22" s="879" customFormat="1" ht="15.75">
      <c r="A6" s="415" t="s">
        <v>184</v>
      </c>
      <c r="B6" s="533">
        <v>0</v>
      </c>
      <c r="C6" s="533">
        <v>3154</v>
      </c>
      <c r="D6" s="533">
        <v>6350</v>
      </c>
      <c r="E6" s="533">
        <v>4256</v>
      </c>
      <c r="F6" s="533">
        <v>2407</v>
      </c>
      <c r="G6" s="533">
        <f>85+1204</f>
        <v>1289</v>
      </c>
      <c r="H6" s="1784">
        <f t="shared" si="2"/>
        <v>17456</v>
      </c>
      <c r="I6" s="564">
        <v>23191</v>
      </c>
      <c r="J6" s="533">
        <v>371288</v>
      </c>
      <c r="K6" s="533">
        <v>379357</v>
      </c>
      <c r="L6" s="533">
        <v>283217</v>
      </c>
      <c r="M6" s="533">
        <v>161898</v>
      </c>
      <c r="N6" s="533">
        <v>80136</v>
      </c>
      <c r="O6" s="946">
        <f t="shared" si="0"/>
        <v>1299087</v>
      </c>
      <c r="P6" s="591">
        <f t="shared" si="1"/>
        <v>0</v>
      </c>
      <c r="Q6" s="591">
        <f t="shared" si="1"/>
        <v>8.4947533989786911E-3</v>
      </c>
      <c r="R6" s="591">
        <f t="shared" si="1"/>
        <v>1.6738850212332974E-2</v>
      </c>
      <c r="S6" s="591">
        <f t="shared" si="1"/>
        <v>1.5027346522277971E-2</v>
      </c>
      <c r="T6" s="591">
        <f t="shared" si="1"/>
        <v>1.4867385637870758E-2</v>
      </c>
      <c r="U6" s="594">
        <f t="shared" si="1"/>
        <v>1.6085155236098634E-2</v>
      </c>
    </row>
    <row r="7" spans="1:22" s="879" customFormat="1" ht="15.75">
      <c r="A7" s="415" t="s">
        <v>216</v>
      </c>
      <c r="B7" s="533">
        <v>6</v>
      </c>
      <c r="C7" s="533">
        <v>4931</v>
      </c>
      <c r="D7" s="533">
        <v>7715</v>
      </c>
      <c r="E7" s="533">
        <v>5319</v>
      </c>
      <c r="F7" s="533">
        <v>3017</v>
      </c>
      <c r="G7" s="533">
        <f>141+1468</f>
        <v>1609</v>
      </c>
      <c r="H7" s="1784">
        <f t="shared" si="2"/>
        <v>22597</v>
      </c>
      <c r="I7" s="564">
        <v>23232</v>
      </c>
      <c r="J7" s="533">
        <v>386518</v>
      </c>
      <c r="K7" s="533">
        <v>398328</v>
      </c>
      <c r="L7" s="533">
        <v>298491</v>
      </c>
      <c r="M7" s="533">
        <v>172808</v>
      </c>
      <c r="N7" s="533">
        <v>88414</v>
      </c>
      <c r="O7" s="946">
        <f t="shared" si="0"/>
        <v>1367791</v>
      </c>
      <c r="P7" s="591">
        <f t="shared" si="1"/>
        <v>2.5826446280991736E-4</v>
      </c>
      <c r="Q7" s="591">
        <f t="shared" si="1"/>
        <v>1.2757491242322479E-2</v>
      </c>
      <c r="R7" s="591">
        <f t="shared" si="1"/>
        <v>1.9368460163483359E-2</v>
      </c>
      <c r="S7" s="591">
        <f t="shared" si="1"/>
        <v>1.7819632752746315E-2</v>
      </c>
      <c r="T7" s="591">
        <f t="shared" si="1"/>
        <v>1.7458682468404242E-2</v>
      </c>
      <c r="U7" s="594">
        <f t="shared" si="1"/>
        <v>1.8198475354581852E-2</v>
      </c>
    </row>
    <row r="8" spans="1:22" s="879" customFormat="1" ht="15.75">
      <c r="A8" s="415" t="s">
        <v>457</v>
      </c>
      <c r="B8" s="533">
        <v>18</v>
      </c>
      <c r="C8" s="533">
        <v>6875</v>
      </c>
      <c r="D8" s="533">
        <v>8611</v>
      </c>
      <c r="E8" s="533">
        <v>5883</v>
      </c>
      <c r="F8" s="533">
        <v>3457</v>
      </c>
      <c r="G8" s="533">
        <f>204+1640</f>
        <v>1844</v>
      </c>
      <c r="H8" s="1784">
        <f t="shared" si="2"/>
        <v>26688</v>
      </c>
      <c r="I8" s="564">
        <v>21475</v>
      </c>
      <c r="J8" s="533">
        <v>400126</v>
      </c>
      <c r="K8" s="533">
        <v>414303</v>
      </c>
      <c r="L8" s="533">
        <v>313227</v>
      </c>
      <c r="M8" s="533">
        <v>182801</v>
      </c>
      <c r="N8" s="533">
        <v>94802</v>
      </c>
      <c r="O8" s="946">
        <f t="shared" si="0"/>
        <v>1426734</v>
      </c>
      <c r="P8" s="591">
        <f t="shared" ref="P8:U8" si="4">B8/I8</f>
        <v>8.3818393480791613E-4</v>
      </c>
      <c r="Q8" s="591">
        <f t="shared" si="4"/>
        <v>1.7182087642392645E-2</v>
      </c>
      <c r="R8" s="591">
        <f t="shared" si="4"/>
        <v>2.0784305206575864E-2</v>
      </c>
      <c r="S8" s="591">
        <f t="shared" si="4"/>
        <v>1.8781905774406422E-2</v>
      </c>
      <c r="T8" s="591">
        <f t="shared" si="4"/>
        <v>1.8911275102433796E-2</v>
      </c>
      <c r="U8" s="594">
        <f t="shared" si="4"/>
        <v>1.9451066433197613E-2</v>
      </c>
    </row>
    <row r="9" spans="1:22" s="879" customFormat="1" ht="15.75">
      <c r="A9" s="415" t="s">
        <v>534</v>
      </c>
      <c r="B9" s="533">
        <v>34</v>
      </c>
      <c r="C9" s="533">
        <v>8429</v>
      </c>
      <c r="D9" s="533">
        <v>8946</v>
      </c>
      <c r="E9" s="533">
        <v>5876</v>
      </c>
      <c r="F9" s="533">
        <v>3510</v>
      </c>
      <c r="G9" s="533">
        <f>227+1613</f>
        <v>1840</v>
      </c>
      <c r="H9" s="1784">
        <f t="shared" si="2"/>
        <v>28635</v>
      </c>
      <c r="I9" s="564">
        <v>20589</v>
      </c>
      <c r="J9" s="533">
        <v>426931</v>
      </c>
      <c r="K9" s="533">
        <v>440354</v>
      </c>
      <c r="L9" s="533">
        <v>332451</v>
      </c>
      <c r="M9" s="533">
        <v>201166</v>
      </c>
      <c r="N9" s="533">
        <v>105167</v>
      </c>
      <c r="O9" s="946">
        <f t="shared" si="0"/>
        <v>1526658</v>
      </c>
      <c r="P9" s="591">
        <f t="shared" ref="P9:U10" si="5">B9/I9</f>
        <v>1.651367234931274E-3</v>
      </c>
      <c r="Q9" s="591">
        <f t="shared" si="5"/>
        <v>1.9743237197579935E-2</v>
      </c>
      <c r="R9" s="591">
        <f t="shared" si="5"/>
        <v>2.0315473459989009E-2</v>
      </c>
      <c r="S9" s="591">
        <f t="shared" si="5"/>
        <v>1.7674785156308749E-2</v>
      </c>
      <c r="T9" s="591">
        <f t="shared" si="5"/>
        <v>1.7448276547726752E-2</v>
      </c>
      <c r="U9" s="594">
        <f t="shared" si="5"/>
        <v>1.7495982580086909E-2</v>
      </c>
    </row>
    <row r="10" spans="1:22" s="879" customFormat="1" ht="15.75">
      <c r="A10" s="415" t="s">
        <v>541</v>
      </c>
      <c r="B10" s="533">
        <v>80</v>
      </c>
      <c r="C10" s="533">
        <f>751+8873</f>
        <v>9624</v>
      </c>
      <c r="D10" s="533">
        <f>752+8054</f>
        <v>8806</v>
      </c>
      <c r="E10" s="533">
        <f>752+5517</f>
        <v>6269</v>
      </c>
      <c r="F10" s="533">
        <f>752+3124</f>
        <v>3876</v>
      </c>
      <c r="G10" s="533">
        <f>752+1625</f>
        <v>2377</v>
      </c>
      <c r="H10" s="1784">
        <f t="shared" si="2"/>
        <v>31032</v>
      </c>
      <c r="I10" s="564">
        <v>21039</v>
      </c>
      <c r="J10" s="533">
        <v>459696</v>
      </c>
      <c r="K10" s="533">
        <v>473047</v>
      </c>
      <c r="L10" s="533">
        <v>356103</v>
      </c>
      <c r="M10" s="533">
        <v>221286</v>
      </c>
      <c r="N10" s="533">
        <v>120031</v>
      </c>
      <c r="O10" s="946">
        <f t="shared" si="0"/>
        <v>1651202</v>
      </c>
      <c r="P10" s="591">
        <f t="shared" si="5"/>
        <v>3.8024620942059984E-3</v>
      </c>
      <c r="Q10" s="591">
        <f t="shared" si="5"/>
        <v>2.0935574814660123E-2</v>
      </c>
      <c r="R10" s="591">
        <f t="shared" si="5"/>
        <v>1.8615486410441247E-2</v>
      </c>
      <c r="S10" s="591">
        <f t="shared" si="5"/>
        <v>1.7604457137401257E-2</v>
      </c>
      <c r="T10" s="591">
        <f t="shared" si="5"/>
        <v>1.751579404029175E-2</v>
      </c>
      <c r="U10" s="594">
        <f t="shared" si="5"/>
        <v>1.9803217502145278E-2</v>
      </c>
    </row>
    <row r="11" spans="1:22" s="879" customFormat="1" ht="15.75">
      <c r="A11" s="415" t="s">
        <v>900</v>
      </c>
      <c r="B11" s="533">
        <f>+'V.4.8. Accid x rango de edad'!B14</f>
        <v>165</v>
      </c>
      <c r="C11" s="533">
        <f>+'V.4.8. Accid x rango de edad'!C14</f>
        <v>12019</v>
      </c>
      <c r="D11" s="533">
        <f>+'V.4.8. Accid x rango de edad'!D14</f>
        <v>10377</v>
      </c>
      <c r="E11" s="533">
        <f>+'V.4.8. Accid x rango de edad'!E14</f>
        <v>6571</v>
      </c>
      <c r="F11" s="533">
        <f>+'V.4.8. Accid x rango de edad'!F14</f>
        <v>3782</v>
      </c>
      <c r="G11" s="533">
        <f>+'V.4.8. Accid x rango de edad'!G14</f>
        <v>1635</v>
      </c>
      <c r="H11" s="1784">
        <f>SUM(B11:G11)</f>
        <v>34549</v>
      </c>
      <c r="I11" s="564">
        <v>24852</v>
      </c>
      <c r="J11" s="533">
        <f>215761+276839</f>
        <v>492600</v>
      </c>
      <c r="K11" s="533">
        <f>257668+239616</f>
        <v>497284</v>
      </c>
      <c r="L11" s="533">
        <f>201875+173169</f>
        <v>375044</v>
      </c>
      <c r="M11" s="533">
        <f>138940+98140</f>
        <v>237080</v>
      </c>
      <c r="N11" s="533">
        <f>63677+35242+17200+9233+4370+2876</f>
        <v>132598</v>
      </c>
      <c r="O11" s="946">
        <f>+N11+M11+L11+K11+J11+I11</f>
        <v>1759458</v>
      </c>
      <c r="P11" s="591">
        <f t="shared" ref="P11:U12" si="6">B10/I11</f>
        <v>3.2190568163528088E-3</v>
      </c>
      <c r="Q11" s="591">
        <f t="shared" si="6"/>
        <v>1.9537149817295981E-2</v>
      </c>
      <c r="R11" s="591">
        <f t="shared" si="6"/>
        <v>1.7708190892930398E-2</v>
      </c>
      <c r="S11" s="591">
        <f t="shared" si="6"/>
        <v>1.6715372063011272E-2</v>
      </c>
      <c r="T11" s="591">
        <f t="shared" si="6"/>
        <v>1.6348911759743547E-2</v>
      </c>
      <c r="U11" s="594">
        <f t="shared" si="6"/>
        <v>1.7926363896891357E-2</v>
      </c>
    </row>
    <row r="12" spans="1:22" s="879" customFormat="1" ht="15.75">
      <c r="A12" s="415" t="s">
        <v>1012</v>
      </c>
      <c r="B12" s="533">
        <f>+'V.4.8. Accid x rango de edad'!B15</f>
        <v>162</v>
      </c>
      <c r="C12" s="533">
        <f>+'V.4.8. Accid x rango de edad'!C15</f>
        <v>4558</v>
      </c>
      <c r="D12" s="533">
        <f>+'V.4.8. Accid x rango de edad'!D15</f>
        <v>3621</v>
      </c>
      <c r="E12" s="533">
        <f>+'V.4.8. Accid x rango de edad'!E15</f>
        <v>2307</v>
      </c>
      <c r="F12" s="533">
        <f>+'V.4.8. Accid x rango de edad'!F15</f>
        <v>1279</v>
      </c>
      <c r="G12" s="533">
        <f>+'V.4.8. Accid x rango de edad'!G15</f>
        <v>478</v>
      </c>
      <c r="H12" s="1784">
        <f>SUM(B12:G12)</f>
        <v>12405</v>
      </c>
      <c r="I12" s="565">
        <v>26825</v>
      </c>
      <c r="J12" s="566">
        <f>228179+292600</f>
        <v>520779</v>
      </c>
      <c r="K12" s="566">
        <f>268997+250078</f>
        <v>519075</v>
      </c>
      <c r="L12" s="566">
        <f>209320+180301</f>
        <v>389621</v>
      </c>
      <c r="M12" s="566">
        <f>143710+100450</f>
        <v>244160</v>
      </c>
      <c r="N12" s="566">
        <f>65648+36042+17652+9456+4473+2968</f>
        <v>136239</v>
      </c>
      <c r="O12" s="947">
        <f>+N12+M12+L12+K12+J12+I12</f>
        <v>1836699</v>
      </c>
      <c r="P12" s="926">
        <f t="shared" si="6"/>
        <v>6.1509785647716683E-3</v>
      </c>
      <c r="Q12" s="926">
        <f t="shared" si="6"/>
        <v>2.3078887589553343E-2</v>
      </c>
      <c r="R12" s="926">
        <f t="shared" si="6"/>
        <v>1.99913307325531E-2</v>
      </c>
      <c r="S12" s="926">
        <f t="shared" si="6"/>
        <v>1.6865107373575858E-2</v>
      </c>
      <c r="T12" s="926">
        <f t="shared" si="6"/>
        <v>1.5489842726081258E-2</v>
      </c>
      <c r="U12" s="927">
        <f t="shared" si="6"/>
        <v>1.2000968885561403E-2</v>
      </c>
    </row>
    <row r="13" spans="1:22" s="77" customFormat="1" ht="15.75">
      <c r="A13" s="1795" t="s">
        <v>23</v>
      </c>
      <c r="B13" s="1796">
        <f>SUM(B4:B12)</f>
        <v>474</v>
      </c>
      <c r="C13" s="1796">
        <f>SUM(C4:C12)</f>
        <v>52645</v>
      </c>
      <c r="D13" s="1796">
        <f t="shared" ref="D13:G13" si="7">SUM(D4:D12)</f>
        <v>64022</v>
      </c>
      <c r="E13" s="1796">
        <f t="shared" si="7"/>
        <v>43432</v>
      </c>
      <c r="F13" s="1796">
        <f t="shared" si="7"/>
        <v>25144</v>
      </c>
      <c r="G13" s="1796">
        <f t="shared" si="7"/>
        <v>13306</v>
      </c>
      <c r="H13" s="1109">
        <f>SUM(H4:H12)</f>
        <v>199023</v>
      </c>
      <c r="I13" s="533"/>
      <c r="J13" s="533"/>
      <c r="K13" s="533"/>
      <c r="L13" s="533"/>
      <c r="M13" s="533"/>
      <c r="N13" s="533"/>
      <c r="O13" s="570"/>
      <c r="P13" s="591"/>
      <c r="Q13" s="591"/>
      <c r="R13" s="591"/>
      <c r="S13" s="591"/>
      <c r="T13" s="591"/>
      <c r="U13" s="591"/>
      <c r="V13" s="146"/>
    </row>
    <row r="14" spans="1:22" s="77" customFormat="1" ht="15.75">
      <c r="I14" s="1154"/>
      <c r="J14" s="1153"/>
      <c r="Q14" s="591"/>
      <c r="V14" s="146"/>
    </row>
    <row r="15" spans="1:22" s="77" customFormat="1" ht="15.75">
      <c r="V15" s="146"/>
    </row>
    <row r="16" spans="1:22" s="77" customFormat="1" ht="15.75">
      <c r="V16" s="146"/>
    </row>
    <row r="17" spans="9:22" s="77" customFormat="1" ht="15.75">
      <c r="V17" s="146"/>
    </row>
    <row r="18" spans="9:22" s="77" customFormat="1" ht="15.75">
      <c r="P18" s="39"/>
      <c r="Q18" s="39"/>
      <c r="R18" s="39"/>
      <c r="S18" s="39"/>
      <c r="T18" s="39"/>
      <c r="U18" s="39"/>
      <c r="V18" s="146"/>
    </row>
    <row r="19" spans="9:22" s="77" customFormat="1" ht="15.75">
      <c r="T19" s="139"/>
      <c r="U19" s="146"/>
      <c r="V19" s="146"/>
    </row>
    <row r="20" spans="9:22" s="77" customFormat="1" ht="15.75">
      <c r="T20" s="139"/>
      <c r="U20" s="146"/>
      <c r="V20" s="146"/>
    </row>
    <row r="21" spans="9:22" s="77" customFormat="1" ht="15.75">
      <c r="T21" s="139"/>
      <c r="U21" s="146"/>
      <c r="V21" s="146"/>
    </row>
    <row r="22" spans="9:22" s="77" customFormat="1" ht="15.75">
      <c r="T22" s="139"/>
      <c r="U22" s="146"/>
      <c r="V22" s="146"/>
    </row>
    <row r="23" spans="9:22" s="77" customFormat="1" ht="15.75">
      <c r="T23" s="139"/>
      <c r="U23" s="146"/>
      <c r="V23" s="146"/>
    </row>
    <row r="24" spans="9:22" ht="15.75">
      <c r="I24" s="77"/>
      <c r="J24" s="77"/>
      <c r="K24" s="77"/>
      <c r="L24" s="77"/>
      <c r="M24" s="77"/>
      <c r="N24" s="77"/>
      <c r="O24" s="77"/>
      <c r="P24" s="77"/>
      <c r="Q24" s="77"/>
      <c r="R24" s="77"/>
      <c r="S24" s="77"/>
      <c r="T24" s="139"/>
      <c r="U24" s="146"/>
      <c r="V24" s="146"/>
    </row>
    <row r="25" spans="9:22" ht="15.75">
      <c r="T25" s="139"/>
      <c r="U25" s="146"/>
      <c r="V25" s="146"/>
    </row>
    <row r="26" spans="9:22" ht="15.75">
      <c r="N26" s="140"/>
      <c r="O26" s="140"/>
      <c r="T26" s="139"/>
      <c r="U26" s="146"/>
      <c r="V26" s="146"/>
    </row>
    <row r="27" spans="9:22" ht="15.75">
      <c r="T27" s="139"/>
      <c r="U27" s="146"/>
      <c r="V27" s="146"/>
    </row>
    <row r="28" spans="9:22" ht="15.75">
      <c r="T28" s="139"/>
      <c r="U28" s="146"/>
      <c r="V28" s="146"/>
    </row>
    <row r="29" spans="9:22" ht="15.75">
      <c r="T29" s="139"/>
      <c r="U29" s="24"/>
      <c r="V29" s="146"/>
    </row>
    <row r="30" spans="9:22" ht="15.75">
      <c r="V30" s="146"/>
    </row>
    <row r="31" spans="9:22" ht="15.75">
      <c r="T31" s="146"/>
      <c r="U31" s="139"/>
      <c r="V31" s="146"/>
    </row>
    <row r="32" spans="9:22" ht="15.75">
      <c r="T32" s="146"/>
      <c r="U32" s="139"/>
      <c r="V32" s="146"/>
    </row>
    <row r="33" spans="20:22" ht="15.75">
      <c r="T33" s="146"/>
      <c r="U33" s="24"/>
      <c r="V33" s="146"/>
    </row>
    <row r="34" spans="20:22" ht="15.75">
      <c r="T34" s="146"/>
      <c r="U34" s="24"/>
      <c r="V34" s="146"/>
    </row>
    <row r="35" spans="20:22" ht="15.75">
      <c r="V35" s="146"/>
    </row>
    <row r="36" spans="20:22" ht="15.75">
      <c r="V36" s="146"/>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48"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K24"/>
  <sheetViews>
    <sheetView showGridLines="0" view="pageBreakPreview" zoomScale="70" zoomScaleNormal="100" zoomScaleSheetLayoutView="70" workbookViewId="0">
      <selection activeCell="F6" sqref="F6"/>
    </sheetView>
  </sheetViews>
  <sheetFormatPr baseColWidth="10" defaultColWidth="11.42578125" defaultRowHeight="15"/>
  <cols>
    <col min="1" max="1" width="19.7109375" style="39" customWidth="1"/>
    <col min="2" max="3" width="16.5703125" style="39" customWidth="1"/>
    <col min="4" max="4" width="14.85546875" style="39" customWidth="1"/>
    <col min="5" max="5" width="19" style="39" customWidth="1"/>
    <col min="6" max="6" width="18.7109375" style="39" customWidth="1"/>
    <col min="7" max="7" width="17.28515625" style="39" customWidth="1"/>
    <col min="8" max="8" width="18.5703125" style="39" customWidth="1"/>
    <col min="9" max="9" width="23" style="39" customWidth="1"/>
    <col min="10" max="10" width="20.140625" style="39" customWidth="1"/>
    <col min="11" max="11" width="16.28515625" style="39" customWidth="1"/>
    <col min="12" max="12" width="17.7109375" style="39" customWidth="1"/>
    <col min="13" max="16384" width="11.42578125" style="39"/>
  </cols>
  <sheetData>
    <row r="1" spans="1:11" s="77" customFormat="1" ht="74.25" customHeight="1">
      <c r="A1" s="2233"/>
      <c r="B1" s="2233"/>
      <c r="C1" s="2233"/>
      <c r="D1" s="2233"/>
      <c r="E1" s="2233"/>
      <c r="F1" s="2233"/>
      <c r="G1" s="2233"/>
      <c r="H1" s="2233"/>
      <c r="I1" s="2233"/>
      <c r="J1" s="2233"/>
      <c r="K1" s="143"/>
    </row>
    <row r="2" spans="1:11" s="77" customFormat="1" ht="30">
      <c r="A2" s="588" t="s">
        <v>0</v>
      </c>
      <c r="B2" s="586" t="s">
        <v>348</v>
      </c>
      <c r="C2" s="586" t="s">
        <v>347</v>
      </c>
      <c r="D2" s="1440" t="s">
        <v>344</v>
      </c>
    </row>
    <row r="3" spans="1:11" s="77" customFormat="1" ht="15.75">
      <c r="A3" s="589" t="s">
        <v>215</v>
      </c>
      <c r="B3" s="1665">
        <v>14329</v>
      </c>
      <c r="C3" s="1665">
        <f>+'V.4.2.NA. Reportes ARL'!D8</f>
        <v>14683</v>
      </c>
      <c r="D3" s="1964">
        <f t="shared" ref="D3:D10" si="0">B3/C3</f>
        <v>0.97589048559558678</v>
      </c>
      <c r="F3" s="18"/>
    </row>
    <row r="4" spans="1:11" s="77" customFormat="1" ht="15.75">
      <c r="A4" s="589" t="s">
        <v>184</v>
      </c>
      <c r="B4" s="1665">
        <v>16871</v>
      </c>
      <c r="C4" s="1665">
        <f>+'V.4.2.NA. Reportes ARL'!D9</f>
        <v>17456</v>
      </c>
      <c r="D4" s="1964">
        <f t="shared" si="0"/>
        <v>0.96648716773602195</v>
      </c>
      <c r="F4" s="18"/>
    </row>
    <row r="5" spans="1:11" s="77" customFormat="1" ht="15.75">
      <c r="A5" s="589" t="s">
        <v>216</v>
      </c>
      <c r="B5" s="1665">
        <v>21189</v>
      </c>
      <c r="C5" s="1665">
        <f>+'V.4.2.NA. Reportes ARL'!D10</f>
        <v>22597</v>
      </c>
      <c r="D5" s="1964">
        <f t="shared" si="0"/>
        <v>0.93769084391733415</v>
      </c>
      <c r="F5" s="18"/>
    </row>
    <row r="6" spans="1:11" s="77" customFormat="1" ht="15.75">
      <c r="A6" s="589" t="s">
        <v>457</v>
      </c>
      <c r="B6" s="1665">
        <v>26301</v>
      </c>
      <c r="C6" s="1665">
        <f>+'V.4.2.NA. Reportes ARL'!D11</f>
        <v>26688</v>
      </c>
      <c r="D6" s="1964">
        <f t="shared" si="0"/>
        <v>0.98549910071942448</v>
      </c>
      <c r="F6" s="18"/>
    </row>
    <row r="7" spans="1:11" s="77" customFormat="1" ht="15.75">
      <c r="A7" s="589" t="s">
        <v>534</v>
      </c>
      <c r="B7" s="1665">
        <v>28752</v>
      </c>
      <c r="C7" s="1665">
        <f>+'V.4.2.NA. Reportes ARL'!D12</f>
        <v>28635</v>
      </c>
      <c r="D7" s="1964">
        <f t="shared" si="0"/>
        <v>1.0040859088528025</v>
      </c>
      <c r="F7" s="18"/>
    </row>
    <row r="8" spans="1:11" s="77" customFormat="1" ht="15.75">
      <c r="A8" s="589" t="s">
        <v>541</v>
      </c>
      <c r="B8" s="1665">
        <v>30331</v>
      </c>
      <c r="C8" s="1665">
        <f>+'V.4.2.NA. Reportes ARL'!D13</f>
        <v>31032</v>
      </c>
      <c r="D8" s="1964">
        <f t="shared" si="0"/>
        <v>0.9774104150554267</v>
      </c>
      <c r="F8" s="18"/>
    </row>
    <row r="9" spans="1:11" s="77" customFormat="1" ht="15.75">
      <c r="A9" s="589" t="s">
        <v>900</v>
      </c>
      <c r="B9" s="1665">
        <v>33850</v>
      </c>
      <c r="C9" s="1665">
        <f>+'V.4.12.Accid x edad'!H11</f>
        <v>34549</v>
      </c>
      <c r="D9" s="1964">
        <f t="shared" si="0"/>
        <v>0.97976786592954934</v>
      </c>
      <c r="F9" s="18"/>
    </row>
    <row r="10" spans="1:11" s="77" customFormat="1" ht="15.75">
      <c r="A10" s="589" t="s">
        <v>1008</v>
      </c>
      <c r="B10" s="1665">
        <v>12020</v>
      </c>
      <c r="C10" s="1665">
        <f>+'V.4.12.Accid x edad'!H12</f>
        <v>12405</v>
      </c>
      <c r="D10" s="1964">
        <f t="shared" si="0"/>
        <v>0.96896412736799675</v>
      </c>
    </row>
    <row r="11" spans="1:11" s="77" customFormat="1" ht="15.75">
      <c r="A11" s="588" t="s">
        <v>23</v>
      </c>
      <c r="B11" s="1965">
        <f>SUM(B3:B10)</f>
        <v>183643</v>
      </c>
      <c r="C11" s="1965">
        <f>SUM(C3:C10)</f>
        <v>188045</v>
      </c>
      <c r="D11" s="1966">
        <f>B11/C11</f>
        <v>0.97659070967055761</v>
      </c>
      <c r="K11" s="39"/>
    </row>
    <row r="12" spans="1:11" s="77" customFormat="1">
      <c r="A12" s="142"/>
      <c r="B12" s="142"/>
      <c r="K12" s="39"/>
    </row>
    <row r="13" spans="1:11" s="1458" customFormat="1">
      <c r="A13" s="142"/>
      <c r="B13" s="142"/>
      <c r="K13" s="39"/>
    </row>
    <row r="14" spans="1:11" s="1458" customFormat="1">
      <c r="A14" s="142"/>
      <c r="B14" s="142"/>
      <c r="K14" s="39"/>
    </row>
    <row r="15" spans="1:11" s="77" customFormat="1">
      <c r="A15" s="142"/>
      <c r="B15" s="142"/>
    </row>
    <row r="16" spans="1:11" s="77" customFormat="1">
      <c r="A16" s="142"/>
      <c r="B16" s="142"/>
    </row>
    <row r="17" spans="1:11" s="77" customFormat="1">
      <c r="A17" s="142"/>
      <c r="B17" s="142"/>
    </row>
    <row r="18" spans="1:11" s="77" customFormat="1"/>
    <row r="19" spans="1:11" s="77" customFormat="1"/>
    <row r="20" spans="1:11" s="77" customFormat="1"/>
    <row r="21" spans="1:11" s="77" customFormat="1"/>
    <row r="22" spans="1:11" s="77" customFormat="1"/>
    <row r="23" spans="1:11">
      <c r="A23" s="77"/>
      <c r="B23" s="77"/>
      <c r="C23" s="77"/>
      <c r="D23" s="77"/>
      <c r="E23" s="77"/>
    </row>
    <row r="24" spans="1:11">
      <c r="A24" s="77"/>
      <c r="B24" s="77"/>
      <c r="C24" s="77"/>
      <c r="D24" s="77"/>
      <c r="K24" s="140"/>
    </row>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O25"/>
  <sheetViews>
    <sheetView showGridLines="0" view="pageBreakPreview" zoomScale="85" zoomScaleNormal="100" zoomScaleSheetLayoutView="85" workbookViewId="0">
      <selection activeCell="H7" sqref="H7"/>
    </sheetView>
  </sheetViews>
  <sheetFormatPr baseColWidth="10" defaultColWidth="11.42578125" defaultRowHeight="15"/>
  <cols>
    <col min="1" max="1" width="18" style="39" customWidth="1"/>
    <col min="2" max="2" width="12.28515625" style="39" customWidth="1"/>
    <col min="3" max="3" width="14.5703125" style="39" customWidth="1"/>
    <col min="4" max="4" width="12.85546875" style="39" customWidth="1"/>
    <col min="5" max="5" width="13.85546875" style="39" customWidth="1"/>
    <col min="6" max="6" width="16.4257812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5.140625" style="39" customWidth="1"/>
    <col min="14" max="14" width="13.28515625" style="39" customWidth="1"/>
    <col min="15" max="15" width="8.42578125" style="39" customWidth="1"/>
    <col min="16" max="16384" width="11.42578125" style="39"/>
  </cols>
  <sheetData>
    <row r="1" spans="1:15" s="77" customFormat="1" ht="60.75" customHeight="1">
      <c r="A1" s="2227"/>
      <c r="B1" s="2227"/>
      <c r="C1" s="2227"/>
      <c r="D1" s="2227"/>
      <c r="E1" s="2227"/>
      <c r="F1" s="2227"/>
      <c r="G1" s="2227"/>
      <c r="H1" s="2227"/>
      <c r="I1" s="2227"/>
      <c r="J1" s="2227"/>
      <c r="K1" s="2227"/>
      <c r="L1" s="2227"/>
      <c r="M1" s="143"/>
      <c r="N1" s="143"/>
      <c r="O1" s="143"/>
    </row>
    <row r="2" spans="1:15" s="77" customFormat="1" ht="17.25" customHeight="1">
      <c r="A2" s="134"/>
      <c r="B2" s="134"/>
      <c r="C2" s="134"/>
      <c r="D2" s="134"/>
      <c r="E2" s="134"/>
      <c r="F2" s="134"/>
      <c r="G2" s="134"/>
      <c r="H2" s="134"/>
      <c r="I2" s="134"/>
      <c r="J2" s="134"/>
      <c r="K2" s="134"/>
      <c r="L2" s="134"/>
      <c r="M2" s="143"/>
      <c r="N2" s="39"/>
      <c r="O2" s="143"/>
    </row>
    <row r="3" spans="1:15" s="134" customFormat="1" ht="27" customHeight="1">
      <c r="A3" s="425" t="s">
        <v>0</v>
      </c>
      <c r="B3" s="537" t="s">
        <v>346</v>
      </c>
      <c r="C3" s="534" t="s">
        <v>345</v>
      </c>
      <c r="D3" s="532" t="s">
        <v>133</v>
      </c>
      <c r="E3" s="534" t="s">
        <v>344</v>
      </c>
      <c r="F3" s="535" t="s">
        <v>343</v>
      </c>
      <c r="N3" s="39"/>
    </row>
    <row r="4" spans="1:15" s="77" customFormat="1" ht="15.75">
      <c r="A4" s="435" t="s">
        <v>215</v>
      </c>
      <c r="B4" s="593">
        <v>13326</v>
      </c>
      <c r="C4" s="551">
        <v>1003</v>
      </c>
      <c r="D4" s="943">
        <f>SUM(B4:C4)</f>
        <v>14329</v>
      </c>
      <c r="E4" s="591">
        <f t="shared" ref="E4:E12" si="0">B4/D4</f>
        <v>0.93000209365622166</v>
      </c>
      <c r="F4" s="594">
        <f t="shared" ref="F4:F12" si="1">C4/D4</f>
        <v>6.9997906343778352E-2</v>
      </c>
      <c r="G4" s="18"/>
      <c r="N4" s="39"/>
    </row>
    <row r="5" spans="1:15" s="77" customFormat="1" ht="15.75">
      <c r="A5" s="435" t="s">
        <v>184</v>
      </c>
      <c r="B5" s="593">
        <v>15647</v>
      </c>
      <c r="C5" s="551">
        <v>1224</v>
      </c>
      <c r="D5" s="943">
        <f>SUM(B5:C5)</f>
        <v>16871</v>
      </c>
      <c r="E5" s="591">
        <f t="shared" si="0"/>
        <v>0.92744946950388241</v>
      </c>
      <c r="F5" s="594">
        <f t="shared" si="1"/>
        <v>7.2550530496117593E-2</v>
      </c>
      <c r="G5" s="18"/>
      <c r="M5" s="39"/>
      <c r="N5" s="39"/>
      <c r="O5" s="39"/>
    </row>
    <row r="6" spans="1:15" s="77" customFormat="1" ht="15.75">
      <c r="A6" s="435" t="s">
        <v>216</v>
      </c>
      <c r="B6" s="593">
        <v>20531</v>
      </c>
      <c r="C6" s="551">
        <v>658</v>
      </c>
      <c r="D6" s="943">
        <f>SUM(B6:C6)</f>
        <v>21189</v>
      </c>
      <c r="E6" s="591">
        <f t="shared" si="0"/>
        <v>0.96894615130492234</v>
      </c>
      <c r="F6" s="594">
        <f t="shared" si="1"/>
        <v>3.1053848695077636E-2</v>
      </c>
      <c r="G6" s="18"/>
      <c r="M6" s="39"/>
      <c r="N6" s="39"/>
      <c r="O6" s="39"/>
    </row>
    <row r="7" spans="1:15" s="77" customFormat="1" ht="15.75">
      <c r="A7" s="435" t="s">
        <v>457</v>
      </c>
      <c r="B7" s="593">
        <v>25234</v>
      </c>
      <c r="C7" s="551">
        <v>1067</v>
      </c>
      <c r="D7" s="943">
        <f>+C7+B7</f>
        <v>26301</v>
      </c>
      <c r="E7" s="591">
        <f t="shared" si="0"/>
        <v>0.95943120033458806</v>
      </c>
      <c r="F7" s="594">
        <f t="shared" si="1"/>
        <v>4.0568799665411964E-2</v>
      </c>
      <c r="G7" s="18"/>
      <c r="M7" s="39"/>
      <c r="N7" s="39"/>
      <c r="O7" s="39"/>
    </row>
    <row r="8" spans="1:15" s="77" customFormat="1" ht="15.75">
      <c r="A8" s="435" t="s">
        <v>534</v>
      </c>
      <c r="B8" s="593">
        <v>27072</v>
      </c>
      <c r="C8" s="551">
        <v>1680</v>
      </c>
      <c r="D8" s="943">
        <f>+C8+B8</f>
        <v>28752</v>
      </c>
      <c r="E8" s="591">
        <f>B8/D8</f>
        <v>0.94156928213689484</v>
      </c>
      <c r="F8" s="594">
        <f>C8/D8</f>
        <v>5.8430717863105178E-2</v>
      </c>
      <c r="G8" s="18"/>
      <c r="M8" s="39"/>
      <c r="N8" s="39"/>
      <c r="O8" s="39"/>
    </row>
    <row r="9" spans="1:15" s="77" customFormat="1" ht="15.75">
      <c r="A9" s="435" t="s">
        <v>541</v>
      </c>
      <c r="B9" s="593">
        <v>28722</v>
      </c>
      <c r="C9" s="551">
        <v>1609</v>
      </c>
      <c r="D9" s="943">
        <f>+C9+B9</f>
        <v>30331</v>
      </c>
      <c r="E9" s="591">
        <f>B9/D9</f>
        <v>0.94695196333783915</v>
      </c>
      <c r="F9" s="594">
        <f>C9/D9</f>
        <v>5.3048036662160826E-2</v>
      </c>
      <c r="G9" s="18"/>
      <c r="M9" s="39"/>
      <c r="N9" s="39"/>
      <c r="O9" s="39"/>
    </row>
    <row r="10" spans="1:15" s="77" customFormat="1" ht="15.75">
      <c r="A10" s="435" t="s">
        <v>900</v>
      </c>
      <c r="B10" s="593">
        <v>31933</v>
      </c>
      <c r="C10" s="551">
        <v>1917</v>
      </c>
      <c r="D10" s="943">
        <f>+C10+B10</f>
        <v>33850</v>
      </c>
      <c r="E10" s="591">
        <f>B10/D10</f>
        <v>0.94336779911373703</v>
      </c>
      <c r="F10" s="594">
        <f>C10/D10</f>
        <v>5.6632200886262925E-2</v>
      </c>
      <c r="G10" s="18"/>
      <c r="M10" s="39"/>
      <c r="N10" s="39"/>
      <c r="O10" s="39"/>
    </row>
    <row r="11" spans="1:15" s="1458" customFormat="1" ht="15.75">
      <c r="A11" s="435" t="s">
        <v>1012</v>
      </c>
      <c r="B11" s="593">
        <v>11319</v>
      </c>
      <c r="C11" s="551">
        <v>701</v>
      </c>
      <c r="D11" s="943">
        <f>+C11+B11</f>
        <v>12020</v>
      </c>
      <c r="E11" s="591">
        <f>B11/D11</f>
        <v>0.94168053244592342</v>
      </c>
      <c r="F11" s="594">
        <f>C11/D11</f>
        <v>5.8319467554076541E-2</v>
      </c>
      <c r="G11" s="18"/>
      <c r="M11" s="39"/>
      <c r="N11" s="39"/>
      <c r="O11" s="39"/>
    </row>
    <row r="12" spans="1:15" s="77" customFormat="1" ht="15.75">
      <c r="A12" s="550" t="s">
        <v>23</v>
      </c>
      <c r="B12" s="595">
        <f>SUM(B4:B11)</f>
        <v>173784</v>
      </c>
      <c r="C12" s="584">
        <f>SUM(C4:C11)</f>
        <v>9859</v>
      </c>
      <c r="D12" s="1504">
        <f>SUM(D4:D11)</f>
        <v>183643</v>
      </c>
      <c r="E12" s="512">
        <f t="shared" si="0"/>
        <v>0.94631431636381458</v>
      </c>
      <c r="F12" s="592">
        <f t="shared" si="1"/>
        <v>5.3685683636185422E-2</v>
      </c>
      <c r="G12" s="18"/>
      <c r="M12" s="39"/>
      <c r="N12" s="39"/>
      <c r="O12" s="39"/>
    </row>
    <row r="13" spans="1:15" s="77" customFormat="1">
      <c r="A13" s="142"/>
      <c r="B13" s="141"/>
      <c r="C13" s="141"/>
      <c r="M13" s="39"/>
      <c r="N13" s="39"/>
      <c r="O13" s="39"/>
    </row>
    <row r="14" spans="1:15" s="77" customFormat="1">
      <c r="A14" s="142"/>
      <c r="B14" s="141"/>
      <c r="C14" s="141"/>
      <c r="L14" s="39"/>
      <c r="M14" s="39"/>
      <c r="N14" s="39"/>
      <c r="O14" s="39"/>
    </row>
    <row r="15" spans="1:15" s="77" customFormat="1">
      <c r="A15" s="142"/>
      <c r="B15" s="141"/>
      <c r="C15" s="141"/>
      <c r="L15" s="39"/>
      <c r="M15" s="39"/>
      <c r="N15" s="39"/>
      <c r="O15" s="39"/>
    </row>
    <row r="16" spans="1:15" s="77" customFormat="1">
      <c r="A16" s="142"/>
      <c r="B16" s="141"/>
      <c r="C16" s="141"/>
    </row>
    <row r="17" spans="12:12" s="77" customFormat="1"/>
    <row r="18" spans="12:12" s="77" customFormat="1"/>
    <row r="19" spans="12:12" s="77" customFormat="1"/>
    <row r="20" spans="12:12" s="77" customFormat="1"/>
    <row r="21" spans="12:12" s="77" customFormat="1"/>
    <row r="22" spans="12:12" s="77" customFormat="1"/>
    <row r="23" spans="12:12" s="77" customFormat="1"/>
    <row r="25" spans="12:12">
      <c r="L25" s="140"/>
    </row>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N23"/>
  <sheetViews>
    <sheetView showGridLines="0" view="pageBreakPreview" zoomScale="70" zoomScaleNormal="100" zoomScaleSheetLayoutView="70" workbookViewId="0">
      <selection activeCell="L10" sqref="L10"/>
    </sheetView>
  </sheetViews>
  <sheetFormatPr baseColWidth="10" defaultColWidth="11.42578125" defaultRowHeight="15"/>
  <cols>
    <col min="1" max="1" width="16.28515625" style="39" customWidth="1"/>
    <col min="2" max="3" width="12.28515625" style="39" customWidth="1"/>
    <col min="4" max="4" width="10.140625" style="39" customWidth="1"/>
    <col min="5" max="5" width="19.42578125" style="39" customWidth="1"/>
    <col min="6" max="6" width="10.140625" style="39" bestFit="1" customWidth="1"/>
    <col min="7" max="7" width="20.42578125" style="39" customWidth="1"/>
    <col min="8" max="8" width="21.42578125" style="39" customWidth="1"/>
    <col min="9" max="9" width="17.5703125" style="39" customWidth="1"/>
    <col min="10" max="10" width="25" style="39" customWidth="1"/>
    <col min="11" max="11" width="19.28515625" style="39" customWidth="1"/>
    <col min="12" max="12" width="26.7109375" style="39" customWidth="1"/>
    <col min="13" max="13" width="4.5703125" style="39" customWidth="1"/>
    <col min="14" max="16384" width="11.42578125" style="39"/>
  </cols>
  <sheetData>
    <row r="1" spans="1:14" s="77" customFormat="1" ht="64.5" customHeight="1">
      <c r="A1" s="2226"/>
      <c r="B1" s="2226"/>
      <c r="C1" s="2226"/>
      <c r="D1" s="2226"/>
      <c r="E1" s="2226"/>
      <c r="F1" s="2226"/>
      <c r="G1" s="2226"/>
      <c r="H1" s="2226"/>
      <c r="I1" s="2226"/>
      <c r="J1" s="2226"/>
      <c r="K1" s="2226"/>
      <c r="L1" s="2226"/>
      <c r="M1" s="143"/>
    </row>
    <row r="2" spans="1:14" s="77" customFormat="1" ht="12.75" customHeight="1">
      <c r="A2" s="134"/>
      <c r="B2" s="134"/>
      <c r="C2" s="134"/>
      <c r="D2" s="134"/>
      <c r="E2" s="134"/>
      <c r="F2" s="134"/>
      <c r="G2" s="134"/>
      <c r="H2" s="134"/>
      <c r="I2" s="134"/>
      <c r="J2" s="134"/>
      <c r="K2" s="134"/>
      <c r="L2" s="134"/>
      <c r="M2" s="143"/>
    </row>
    <row r="3" spans="1:14" s="134" customFormat="1" ht="30">
      <c r="A3" s="588" t="s">
        <v>0</v>
      </c>
      <c r="B3" s="586" t="s">
        <v>236</v>
      </c>
      <c r="C3" s="586" t="s">
        <v>235</v>
      </c>
      <c r="D3" s="586" t="s">
        <v>234</v>
      </c>
      <c r="E3" s="586" t="s">
        <v>233</v>
      </c>
      <c r="F3" s="1440" t="s">
        <v>133</v>
      </c>
      <c r="G3" s="586" t="s">
        <v>232</v>
      </c>
      <c r="H3" s="586" t="s">
        <v>231</v>
      </c>
      <c r="I3" s="586" t="s">
        <v>230</v>
      </c>
      <c r="J3" s="587" t="s">
        <v>229</v>
      </c>
    </row>
    <row r="4" spans="1:14" s="77" customFormat="1" ht="15.75" customHeight="1">
      <c r="A4" s="543" t="s">
        <v>215</v>
      </c>
      <c r="B4" s="539">
        <v>11014</v>
      </c>
      <c r="C4" s="539">
        <v>2177</v>
      </c>
      <c r="D4" s="539">
        <v>128</v>
      </c>
      <c r="E4" s="539">
        <v>1010</v>
      </c>
      <c r="F4" s="1441">
        <f t="shared" ref="F4:F11" si="0">SUM(B4:E4)</f>
        <v>14329</v>
      </c>
      <c r="G4" s="621">
        <f t="shared" ref="G4:G12" si="1">B4/F4</f>
        <v>0.76865098750785121</v>
      </c>
      <c r="H4" s="621">
        <f t="shared" ref="H4:H12" si="2">C4/F4</f>
        <v>0.15192965315095261</v>
      </c>
      <c r="I4" s="621">
        <f t="shared" ref="I4:I12" si="3">D4/F4</f>
        <v>8.9329332123665294E-3</v>
      </c>
      <c r="J4" s="622">
        <f t="shared" ref="J4:J12" si="4">E4/F4</f>
        <v>7.0486426128829646E-2</v>
      </c>
    </row>
    <row r="5" spans="1:14" s="77" customFormat="1" ht="15.75">
      <c r="A5" s="543" t="s">
        <v>184</v>
      </c>
      <c r="B5" s="539">
        <v>12997</v>
      </c>
      <c r="C5" s="539">
        <v>2524</v>
      </c>
      <c r="D5" s="539">
        <v>126</v>
      </c>
      <c r="E5" s="539">
        <v>1224</v>
      </c>
      <c r="F5" s="1441">
        <f t="shared" si="0"/>
        <v>16871</v>
      </c>
      <c r="G5" s="621">
        <f t="shared" si="1"/>
        <v>0.77037520004741866</v>
      </c>
      <c r="H5" s="621">
        <f t="shared" si="2"/>
        <v>0.14960583249362813</v>
      </c>
      <c r="I5" s="621">
        <f t="shared" si="3"/>
        <v>7.4684369628356352E-3</v>
      </c>
      <c r="J5" s="622">
        <f t="shared" si="4"/>
        <v>7.2550530496117593E-2</v>
      </c>
    </row>
    <row r="6" spans="1:14" s="77" customFormat="1" ht="15.75">
      <c r="A6" s="543" t="s">
        <v>216</v>
      </c>
      <c r="B6" s="539">
        <v>15709</v>
      </c>
      <c r="C6" s="539">
        <v>4659</v>
      </c>
      <c r="D6" s="539">
        <v>163</v>
      </c>
      <c r="E6" s="539">
        <v>658</v>
      </c>
      <c r="F6" s="1441">
        <f t="shared" si="0"/>
        <v>21189</v>
      </c>
      <c r="G6" s="621">
        <f t="shared" si="1"/>
        <v>0.74137524187078196</v>
      </c>
      <c r="H6" s="621">
        <f t="shared" si="2"/>
        <v>0.21987823870876397</v>
      </c>
      <c r="I6" s="621">
        <f t="shared" si="3"/>
        <v>7.6926707253763748E-3</v>
      </c>
      <c r="J6" s="622">
        <f t="shared" si="4"/>
        <v>3.1053848695077636E-2</v>
      </c>
    </row>
    <row r="7" spans="1:14" s="77" customFormat="1" ht="15.75">
      <c r="A7" s="543" t="s">
        <v>457</v>
      </c>
      <c r="B7" s="539">
        <v>18984</v>
      </c>
      <c r="C7" s="539">
        <v>6035</v>
      </c>
      <c r="D7" s="539">
        <v>215</v>
      </c>
      <c r="E7" s="539">
        <v>1067</v>
      </c>
      <c r="F7" s="1441">
        <f t="shared" si="0"/>
        <v>26301</v>
      </c>
      <c r="G7" s="621">
        <f t="shared" si="1"/>
        <v>0.72179765027945708</v>
      </c>
      <c r="H7" s="621">
        <f t="shared" si="2"/>
        <v>0.22945895593323448</v>
      </c>
      <c r="I7" s="621">
        <f t="shared" si="3"/>
        <v>8.1745941218965053E-3</v>
      </c>
      <c r="J7" s="622">
        <f t="shared" si="4"/>
        <v>4.0568799665411964E-2</v>
      </c>
    </row>
    <row r="8" spans="1:14" s="77" customFormat="1" ht="15.75">
      <c r="A8" s="543" t="s">
        <v>534</v>
      </c>
      <c r="B8" s="539">
        <v>19765</v>
      </c>
      <c r="C8" s="539">
        <v>7064</v>
      </c>
      <c r="D8" s="539">
        <v>243</v>
      </c>
      <c r="E8" s="539">
        <v>1680</v>
      </c>
      <c r="F8" s="1441">
        <f t="shared" si="0"/>
        <v>28752</v>
      </c>
      <c r="G8" s="621">
        <f t="shared" si="1"/>
        <v>0.68743043962159156</v>
      </c>
      <c r="H8" s="621">
        <f t="shared" si="2"/>
        <v>0.24568725653867557</v>
      </c>
      <c r="I8" s="621">
        <f t="shared" si="3"/>
        <v>8.451585976627712E-3</v>
      </c>
      <c r="J8" s="622">
        <f t="shared" si="4"/>
        <v>5.8430717863105178E-2</v>
      </c>
    </row>
    <row r="9" spans="1:14" s="77" customFormat="1" ht="15.75">
      <c r="A9" s="543" t="s">
        <v>541</v>
      </c>
      <c r="B9" s="539">
        <v>20884</v>
      </c>
      <c r="C9" s="539">
        <v>7546</v>
      </c>
      <c r="D9" s="539">
        <v>292</v>
      </c>
      <c r="E9" s="539">
        <v>1609</v>
      </c>
      <c r="F9" s="1441">
        <f t="shared" si="0"/>
        <v>30331</v>
      </c>
      <c r="G9" s="621">
        <f t="shared" si="1"/>
        <v>0.68853648082819563</v>
      </c>
      <c r="H9" s="621">
        <f t="shared" si="2"/>
        <v>0.24878836833602586</v>
      </c>
      <c r="I9" s="621">
        <f t="shared" si="3"/>
        <v>9.6271141736177512E-3</v>
      </c>
      <c r="J9" s="622">
        <f t="shared" si="4"/>
        <v>5.3048036662160826E-2</v>
      </c>
    </row>
    <row r="10" spans="1:14" s="77" customFormat="1" ht="15.75">
      <c r="A10" s="543" t="s">
        <v>900</v>
      </c>
      <c r="B10" s="539">
        <v>22708</v>
      </c>
      <c r="C10" s="539">
        <v>8933</v>
      </c>
      <c r="D10" s="539">
        <v>291</v>
      </c>
      <c r="E10" s="539">
        <v>1918</v>
      </c>
      <c r="F10" s="1441">
        <f t="shared" si="0"/>
        <v>33850</v>
      </c>
      <c r="G10" s="621">
        <f t="shared" si="1"/>
        <v>0.67084194977843425</v>
      </c>
      <c r="H10" s="621">
        <f t="shared" si="2"/>
        <v>0.26389955686853767</v>
      </c>
      <c r="I10" s="621">
        <f t="shared" si="3"/>
        <v>8.5967503692762192E-3</v>
      </c>
      <c r="J10" s="622">
        <f t="shared" si="4"/>
        <v>5.6661742983751845E-2</v>
      </c>
    </row>
    <row r="11" spans="1:14" s="77" customFormat="1" ht="15.75">
      <c r="A11" s="543" t="s">
        <v>1008</v>
      </c>
      <c r="B11" s="539">
        <f>1575+1896+2296+2118</f>
        <v>7885</v>
      </c>
      <c r="C11" s="539">
        <f>675+769+967+933</f>
        <v>3344</v>
      </c>
      <c r="D11" s="539">
        <f>17+22+20+31</f>
        <v>90</v>
      </c>
      <c r="E11" s="539">
        <v>701</v>
      </c>
      <c r="F11" s="1441">
        <f t="shared" si="0"/>
        <v>12020</v>
      </c>
      <c r="G11" s="621">
        <f t="shared" ref="G11" si="5">B11/F11</f>
        <v>0.65599001663893508</v>
      </c>
      <c r="H11" s="621">
        <f t="shared" ref="H11" si="6">C11/F11</f>
        <v>0.27820299500831946</v>
      </c>
      <c r="I11" s="621">
        <f t="shared" ref="I11" si="7">D11/F11</f>
        <v>7.4875207986688855E-3</v>
      </c>
      <c r="J11" s="622">
        <f t="shared" ref="J11" si="8">E11/F11</f>
        <v>5.8319467554076541E-2</v>
      </c>
    </row>
    <row r="12" spans="1:14" s="77" customFormat="1" ht="17.25" customHeight="1">
      <c r="A12" s="538" t="s">
        <v>23</v>
      </c>
      <c r="B12" s="544">
        <f>SUM(B4:B11)</f>
        <v>129946</v>
      </c>
      <c r="C12" s="544">
        <f>SUM(C4:C11)</f>
        <v>42282</v>
      </c>
      <c r="D12" s="544">
        <f>SUM(D4:D11)</f>
        <v>1548</v>
      </c>
      <c r="E12" s="544">
        <f>SUM(E4:E11)</f>
        <v>9867</v>
      </c>
      <c r="F12" s="1103">
        <f>SUM(F4:F11)</f>
        <v>183643</v>
      </c>
      <c r="G12" s="545">
        <f t="shared" si="1"/>
        <v>0.70760116094814396</v>
      </c>
      <c r="H12" s="545">
        <f t="shared" si="2"/>
        <v>0.23024019429000833</v>
      </c>
      <c r="I12" s="545">
        <f t="shared" si="3"/>
        <v>8.4293983435252094E-3</v>
      </c>
      <c r="J12" s="546">
        <f t="shared" si="4"/>
        <v>5.3729246418322503E-2</v>
      </c>
      <c r="K12" s="1752"/>
      <c r="L12" s="1752"/>
      <c r="N12" s="1458"/>
    </row>
    <row r="13" spans="1:14" s="77" customFormat="1">
      <c r="A13" s="2234" t="s">
        <v>465</v>
      </c>
      <c r="B13" s="2234"/>
      <c r="C13" s="2234"/>
      <c r="D13" s="2234"/>
      <c r="E13" s="2234"/>
      <c r="F13" s="2234"/>
      <c r="G13" s="2234"/>
      <c r="H13" s="2234"/>
      <c r="I13" s="2234"/>
      <c r="J13" s="2234"/>
      <c r="K13" s="1752"/>
      <c r="L13" s="1752"/>
    </row>
    <row r="14" spans="1:14" s="77" customFormat="1">
      <c r="A14" s="1752"/>
      <c r="B14" s="1752"/>
      <c r="C14" s="1752"/>
      <c r="D14" s="1752"/>
      <c r="E14" s="1752"/>
      <c r="F14" s="1752"/>
      <c r="G14" s="1752"/>
      <c r="H14" s="1752"/>
      <c r="I14" s="1752"/>
      <c r="J14" s="1752"/>
    </row>
    <row r="15" spans="1:14" s="77" customFormat="1">
      <c r="A15" s="142"/>
      <c r="B15" s="141"/>
      <c r="C15" s="141"/>
      <c r="D15" s="141"/>
      <c r="E15" s="141"/>
      <c r="N15" s="156"/>
    </row>
    <row r="16" spans="1:14" s="77" customFormat="1">
      <c r="A16" s="142"/>
      <c r="B16" s="141"/>
      <c r="C16" s="141"/>
      <c r="D16" s="141"/>
      <c r="E16" s="141"/>
    </row>
    <row r="17" spans="1:10" s="77" customFormat="1"/>
    <row r="18" spans="1:10" s="77" customFormat="1"/>
    <row r="19" spans="1:10" s="77" customFormat="1"/>
    <row r="20" spans="1:10" s="77" customFormat="1"/>
    <row r="21" spans="1:10" s="77" customFormat="1"/>
    <row r="22" spans="1:10" s="77" customFormat="1"/>
    <row r="23" spans="1:10">
      <c r="A23" s="77"/>
      <c r="B23" s="77"/>
      <c r="C23" s="77"/>
      <c r="D23" s="77"/>
      <c r="E23" s="77"/>
      <c r="F23" s="77"/>
      <c r="G23" s="77"/>
      <c r="H23" s="77"/>
      <c r="I23" s="77"/>
      <c r="J23" s="77"/>
    </row>
  </sheetData>
  <mergeCells count="2">
    <mergeCell ref="A1:L1"/>
    <mergeCell ref="A13:J13"/>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R23"/>
  <sheetViews>
    <sheetView showGridLines="0" view="pageBreakPreview" zoomScale="70" zoomScaleNormal="100" zoomScaleSheetLayoutView="70" workbookViewId="0">
      <selection activeCell="P37" sqref="P37"/>
    </sheetView>
  </sheetViews>
  <sheetFormatPr baseColWidth="10" defaultColWidth="11.42578125" defaultRowHeight="15"/>
  <cols>
    <col min="1" max="1" width="16.140625" style="39" customWidth="1"/>
    <col min="2" max="2" width="10.7109375" style="39" customWidth="1"/>
    <col min="3" max="3" width="14.85546875" style="39" customWidth="1"/>
    <col min="4" max="4" width="9.140625" style="39" customWidth="1"/>
    <col min="5" max="5" width="9.5703125" style="39" customWidth="1"/>
    <col min="6" max="6" width="11.140625" style="39" customWidth="1"/>
    <col min="7" max="7" width="16" style="39" customWidth="1"/>
    <col min="8" max="8" width="11.5703125" style="39" customWidth="1"/>
    <col min="9" max="9" width="13.85546875" style="39" customWidth="1"/>
    <col min="10" max="10" width="15" style="39" customWidth="1"/>
    <col min="11" max="11" width="13.5703125" style="39" customWidth="1"/>
    <col min="12" max="12" width="15.85546875" style="39" customWidth="1"/>
    <col min="13" max="13" width="14.140625" style="39" customWidth="1"/>
    <col min="14" max="14" width="18.28515625" style="39" customWidth="1"/>
    <col min="15" max="18" width="15.5703125" style="39" customWidth="1"/>
    <col min="19" max="16384" width="11.42578125" style="39"/>
  </cols>
  <sheetData>
    <row r="1" spans="1:18" s="77" customFormat="1" ht="65.25" customHeight="1">
      <c r="A1" s="2227"/>
      <c r="B1" s="2227"/>
      <c r="C1" s="2227"/>
      <c r="D1" s="2227"/>
      <c r="E1" s="2227"/>
      <c r="F1" s="2227"/>
      <c r="G1" s="2227"/>
      <c r="H1" s="2227"/>
      <c r="I1" s="2227"/>
      <c r="J1" s="2227"/>
      <c r="K1" s="2227"/>
      <c r="L1" s="2227"/>
      <c r="M1" s="2227"/>
      <c r="N1" s="2227"/>
      <c r="O1" s="202"/>
      <c r="P1" s="202"/>
      <c r="Q1" s="202"/>
      <c r="R1" s="202"/>
    </row>
    <row r="2" spans="1:18" s="38" customFormat="1" ht="9.75" customHeight="1">
      <c r="A2" s="559"/>
      <c r="B2" s="176"/>
      <c r="C2" s="176"/>
      <c r="D2" s="176"/>
      <c r="E2" s="176"/>
      <c r="F2" s="176"/>
      <c r="G2" s="176"/>
      <c r="H2" s="176"/>
      <c r="I2" s="176"/>
      <c r="J2" s="176"/>
      <c r="K2" s="176"/>
      <c r="L2" s="176"/>
      <c r="M2" s="176"/>
      <c r="N2" s="701"/>
      <c r="O2" s="176"/>
      <c r="P2" s="176"/>
      <c r="Q2" s="176"/>
      <c r="R2" s="176"/>
    </row>
    <row r="3" spans="1:18" s="134" customFormat="1" ht="31.5">
      <c r="A3" s="624" t="s">
        <v>0</v>
      </c>
      <c r="B3" s="541" t="s">
        <v>359</v>
      </c>
      <c r="C3" s="541" t="s">
        <v>358</v>
      </c>
      <c r="D3" s="541" t="s">
        <v>357</v>
      </c>
      <c r="E3" s="541" t="s">
        <v>356</v>
      </c>
      <c r="F3" s="541" t="s">
        <v>355</v>
      </c>
      <c r="G3" s="541" t="s">
        <v>354</v>
      </c>
      <c r="H3" s="557" t="s">
        <v>133</v>
      </c>
      <c r="I3" s="541" t="s">
        <v>353</v>
      </c>
      <c r="J3" s="541" t="s">
        <v>352</v>
      </c>
      <c r="K3" s="541" t="s">
        <v>351</v>
      </c>
      <c r="L3" s="541" t="s">
        <v>350</v>
      </c>
      <c r="M3" s="541" t="s">
        <v>349</v>
      </c>
      <c r="N3" s="542" t="s">
        <v>229</v>
      </c>
      <c r="O3" s="215"/>
      <c r="P3" s="215"/>
      <c r="Q3" s="215"/>
      <c r="R3" s="215"/>
    </row>
    <row r="4" spans="1:18" s="77" customFormat="1" ht="15.75">
      <c r="A4" s="543" t="s">
        <v>215</v>
      </c>
      <c r="B4" s="585">
        <v>6838</v>
      </c>
      <c r="C4" s="585">
        <v>5185</v>
      </c>
      <c r="D4" s="585">
        <v>853</v>
      </c>
      <c r="E4" s="585">
        <v>140</v>
      </c>
      <c r="F4" s="585">
        <v>310</v>
      </c>
      <c r="G4" s="585">
        <v>1003</v>
      </c>
      <c r="H4" s="1505">
        <f>SUM(B4:G4)</f>
        <v>14329</v>
      </c>
      <c r="I4" s="623">
        <f t="shared" ref="I4:I12" si="0">B4/H4</f>
        <v>0.47721404145439317</v>
      </c>
      <c r="J4" s="623">
        <f t="shared" ref="J4:J12" si="1">C4/H4</f>
        <v>0.36185358364156606</v>
      </c>
      <c r="K4" s="623">
        <f t="shared" ref="K4:K12" si="2">D4/H4</f>
        <v>5.9529625235536322E-2</v>
      </c>
      <c r="L4" s="623">
        <f t="shared" ref="L4:L12" si="3">E4/H4</f>
        <v>9.7703957010258913E-3</v>
      </c>
      <c r="M4" s="623">
        <f t="shared" ref="M4:M12" si="4">F4/H4</f>
        <v>2.163444762370019E-2</v>
      </c>
      <c r="N4" s="623">
        <f t="shared" ref="N4:N12" si="5">G4/H4</f>
        <v>6.9997906343778352E-2</v>
      </c>
      <c r="O4" s="585"/>
      <c r="P4" s="585"/>
      <c r="Q4" s="585"/>
      <c r="R4" s="216"/>
    </row>
    <row r="5" spans="1:18" s="77" customFormat="1" ht="15.75">
      <c r="A5" s="543" t="s">
        <v>184</v>
      </c>
      <c r="B5" s="585">
        <v>8908</v>
      </c>
      <c r="C5" s="585">
        <v>5224</v>
      </c>
      <c r="D5" s="585">
        <v>880</v>
      </c>
      <c r="E5" s="585">
        <v>148</v>
      </c>
      <c r="F5" s="585">
        <v>487</v>
      </c>
      <c r="G5" s="585">
        <v>1224</v>
      </c>
      <c r="H5" s="1505">
        <f>SUM(B5:G5)</f>
        <v>16871</v>
      </c>
      <c r="I5" s="623">
        <f t="shared" si="0"/>
        <v>0.52800663861063368</v>
      </c>
      <c r="J5" s="623">
        <f t="shared" si="1"/>
        <v>0.3096437674115346</v>
      </c>
      <c r="K5" s="623">
        <f t="shared" si="2"/>
        <v>5.2160512121391736E-2</v>
      </c>
      <c r="L5" s="623">
        <f t="shared" si="3"/>
        <v>8.7724497658704277E-3</v>
      </c>
      <c r="M5" s="623">
        <f t="shared" si="4"/>
        <v>2.8866101594452017E-2</v>
      </c>
      <c r="N5" s="623">
        <f t="shared" si="5"/>
        <v>7.2550530496117593E-2</v>
      </c>
      <c r="O5" s="585"/>
      <c r="P5" s="585"/>
      <c r="Q5" s="585"/>
      <c r="R5" s="216"/>
    </row>
    <row r="6" spans="1:18" s="77" customFormat="1" ht="15.75">
      <c r="A6" s="543" t="s">
        <v>216</v>
      </c>
      <c r="B6" s="585">
        <v>11414</v>
      </c>
      <c r="C6" s="585">
        <v>7139</v>
      </c>
      <c r="D6" s="585">
        <v>1109</v>
      </c>
      <c r="E6" s="585">
        <v>180</v>
      </c>
      <c r="F6" s="585">
        <v>689</v>
      </c>
      <c r="G6" s="585">
        <v>658</v>
      </c>
      <c r="H6" s="1505">
        <f>SUM(B6:G6)</f>
        <v>21189</v>
      </c>
      <c r="I6" s="623">
        <f t="shared" si="0"/>
        <v>0.53867572797206098</v>
      </c>
      <c r="J6" s="623">
        <f t="shared" si="1"/>
        <v>0.33692010005191375</v>
      </c>
      <c r="K6" s="623">
        <f t="shared" si="2"/>
        <v>5.2338477511916559E-2</v>
      </c>
      <c r="L6" s="623">
        <f t="shared" si="3"/>
        <v>8.4949738071640954E-3</v>
      </c>
      <c r="M6" s="623">
        <f t="shared" si="4"/>
        <v>3.2516871961867005E-2</v>
      </c>
      <c r="N6" s="623">
        <f t="shared" si="5"/>
        <v>3.1053848695077636E-2</v>
      </c>
      <c r="O6" s="585"/>
      <c r="P6" s="585"/>
      <c r="Q6" s="585"/>
      <c r="R6" s="216"/>
    </row>
    <row r="7" spans="1:18" s="77" customFormat="1" ht="15.75">
      <c r="A7" s="543" t="s">
        <v>457</v>
      </c>
      <c r="B7" s="585">
        <v>15120</v>
      </c>
      <c r="C7" s="585">
        <v>8407</v>
      </c>
      <c r="D7" s="585">
        <v>937</v>
      </c>
      <c r="E7" s="585">
        <v>154</v>
      </c>
      <c r="F7" s="585">
        <v>616</v>
      </c>
      <c r="G7" s="585">
        <v>1067</v>
      </c>
      <c r="H7" s="1506">
        <f>+B7+C7+D7+E7+F7+G7</f>
        <v>26301</v>
      </c>
      <c r="I7" s="623">
        <f t="shared" si="0"/>
        <v>0.57488308429337287</v>
      </c>
      <c r="J7" s="623">
        <f t="shared" si="1"/>
        <v>0.31964564085015779</v>
      </c>
      <c r="K7" s="623">
        <f t="shared" si="2"/>
        <v>3.562602182426524E-2</v>
      </c>
      <c r="L7" s="623">
        <f t="shared" si="3"/>
        <v>5.8552906733584272E-3</v>
      </c>
      <c r="M7" s="623">
        <f t="shared" si="4"/>
        <v>2.3421162693433709E-2</v>
      </c>
      <c r="N7" s="623">
        <f t="shared" si="5"/>
        <v>4.0568799665411964E-2</v>
      </c>
      <c r="O7" s="585"/>
      <c r="P7" s="585"/>
      <c r="Q7" s="585"/>
      <c r="R7" s="216"/>
    </row>
    <row r="8" spans="1:18" s="77" customFormat="1" ht="15.75">
      <c r="A8" s="543" t="s">
        <v>534</v>
      </c>
      <c r="B8" s="585">
        <v>16356</v>
      </c>
      <c r="C8" s="585">
        <v>9164</v>
      </c>
      <c r="D8" s="585">
        <v>1031</v>
      </c>
      <c r="E8" s="585">
        <v>158</v>
      </c>
      <c r="F8" s="585">
        <v>363</v>
      </c>
      <c r="G8" s="585">
        <v>1680</v>
      </c>
      <c r="H8" s="1506">
        <f>+B8+C8+D8+E8+F8+G8</f>
        <v>28752</v>
      </c>
      <c r="I8" s="623">
        <f t="shared" si="0"/>
        <v>0.5688647746243739</v>
      </c>
      <c r="J8" s="623">
        <f t="shared" si="1"/>
        <v>0.31872565386755702</v>
      </c>
      <c r="K8" s="623">
        <f t="shared" si="2"/>
        <v>3.5858375069560376E-2</v>
      </c>
      <c r="L8" s="623">
        <f t="shared" si="3"/>
        <v>5.4952698942682251E-3</v>
      </c>
      <c r="M8" s="623">
        <f t="shared" si="4"/>
        <v>1.2625208681135225E-2</v>
      </c>
      <c r="N8" s="623">
        <f t="shared" si="5"/>
        <v>5.8430717863105178E-2</v>
      </c>
      <c r="O8" s="585"/>
      <c r="P8" s="585"/>
      <c r="Q8" s="585"/>
      <c r="R8" s="216"/>
    </row>
    <row r="9" spans="1:18" s="77" customFormat="1" ht="15.75">
      <c r="A9" s="543" t="s">
        <v>541</v>
      </c>
      <c r="B9" s="585">
        <v>16770</v>
      </c>
      <c r="C9" s="585">
        <v>10494</v>
      </c>
      <c r="D9" s="585">
        <v>895</v>
      </c>
      <c r="E9" s="585">
        <v>220</v>
      </c>
      <c r="F9" s="585">
        <v>343</v>
      </c>
      <c r="G9" s="585">
        <v>1609</v>
      </c>
      <c r="H9" s="1506">
        <f>+B9+C9+D9+E9+F9+G9</f>
        <v>30331</v>
      </c>
      <c r="I9" s="623">
        <f t="shared" si="0"/>
        <v>0.55289967360126602</v>
      </c>
      <c r="J9" s="623">
        <f t="shared" si="1"/>
        <v>0.34598265800665984</v>
      </c>
      <c r="K9" s="623">
        <f t="shared" si="2"/>
        <v>2.9507764333520162E-2</v>
      </c>
      <c r="L9" s="623">
        <f t="shared" si="3"/>
        <v>7.2533051993010451E-3</v>
      </c>
      <c r="M9" s="623">
        <f t="shared" si="4"/>
        <v>1.1308562197092083E-2</v>
      </c>
      <c r="N9" s="623">
        <f t="shared" si="5"/>
        <v>5.3048036662160826E-2</v>
      </c>
      <c r="O9" s="585"/>
      <c r="P9" s="585"/>
      <c r="Q9" s="585"/>
      <c r="R9" s="216"/>
    </row>
    <row r="10" spans="1:18" s="77" customFormat="1" ht="15.75">
      <c r="A10" s="543" t="s">
        <v>900</v>
      </c>
      <c r="B10" s="585">
        <v>19186</v>
      </c>
      <c r="C10" s="585">
        <v>11346</v>
      </c>
      <c r="D10" s="585">
        <v>1038</v>
      </c>
      <c r="E10" s="585">
        <v>178</v>
      </c>
      <c r="F10" s="585">
        <v>185</v>
      </c>
      <c r="G10" s="585">
        <v>1917</v>
      </c>
      <c r="H10" s="1506">
        <f>+B10+C10+D10+E10+F10+G10</f>
        <v>33850</v>
      </c>
      <c r="I10" s="623">
        <f t="shared" si="0"/>
        <v>0.56679468242245201</v>
      </c>
      <c r="J10" s="623">
        <f t="shared" si="1"/>
        <v>0.33518463810930577</v>
      </c>
      <c r="K10" s="623">
        <f t="shared" si="2"/>
        <v>3.0664697193500737E-2</v>
      </c>
      <c r="L10" s="623">
        <f t="shared" si="3"/>
        <v>5.2584933530280646E-3</v>
      </c>
      <c r="M10" s="623">
        <f t="shared" si="4"/>
        <v>5.4652880354505171E-3</v>
      </c>
      <c r="N10" s="623">
        <f t="shared" si="5"/>
        <v>5.6632200886262925E-2</v>
      </c>
      <c r="O10" s="585"/>
      <c r="P10" s="585"/>
      <c r="Q10" s="585"/>
      <c r="R10" s="216"/>
    </row>
    <row r="11" spans="1:18" s="77" customFormat="1" ht="15.75">
      <c r="A11" s="543" t="s">
        <v>1008</v>
      </c>
      <c r="B11" s="585">
        <f>1366+1660+2051+1836</f>
        <v>6913</v>
      </c>
      <c r="C11" s="585">
        <f>820+933+1099+1117</f>
        <v>3969</v>
      </c>
      <c r="D11" s="585">
        <f>56+76+88+98</f>
        <v>318</v>
      </c>
      <c r="E11" s="585">
        <f>18+6+33+19</f>
        <v>76</v>
      </c>
      <c r="F11" s="585">
        <f>7+12+12+12</f>
        <v>43</v>
      </c>
      <c r="G11" s="585">
        <v>701</v>
      </c>
      <c r="H11" s="1506">
        <f>+B11+C11+D11+E11+F11+G11</f>
        <v>12020</v>
      </c>
      <c r="I11" s="623">
        <f t="shared" si="0"/>
        <v>0.57512479201331113</v>
      </c>
      <c r="J11" s="623">
        <f t="shared" si="1"/>
        <v>0.33019966722129784</v>
      </c>
      <c r="K11" s="623">
        <f t="shared" si="2"/>
        <v>2.6455906821963394E-2</v>
      </c>
      <c r="L11" s="623">
        <f t="shared" si="3"/>
        <v>6.3227953410981697E-3</v>
      </c>
      <c r="M11" s="623">
        <f t="shared" si="4"/>
        <v>3.5773710482529118E-3</v>
      </c>
      <c r="N11" s="623">
        <f t="shared" si="5"/>
        <v>5.8319467554076541E-2</v>
      </c>
      <c r="P11" s="585"/>
      <c r="Q11" s="585"/>
      <c r="R11" s="217"/>
    </row>
    <row r="12" spans="1:18" s="77" customFormat="1" ht="15.75">
      <c r="A12" s="538" t="s">
        <v>23</v>
      </c>
      <c r="B12" s="544">
        <f>SUM(B4:B11)</f>
        <v>101505</v>
      </c>
      <c r="C12" s="544">
        <f t="shared" ref="C12:G12" si="6">SUM(C4:C11)</f>
        <v>60928</v>
      </c>
      <c r="D12" s="544">
        <f t="shared" si="6"/>
        <v>7061</v>
      </c>
      <c r="E12" s="544">
        <f t="shared" si="6"/>
        <v>1254</v>
      </c>
      <c r="F12" s="544">
        <f t="shared" si="6"/>
        <v>3036</v>
      </c>
      <c r="G12" s="544">
        <f t="shared" si="6"/>
        <v>9859</v>
      </c>
      <c r="H12" s="1103">
        <f>SUM(H4:H11)</f>
        <v>183643</v>
      </c>
      <c r="I12" s="625">
        <f t="shared" si="0"/>
        <v>0.55273002510305325</v>
      </c>
      <c r="J12" s="625">
        <f t="shared" si="1"/>
        <v>0.3317741487560103</v>
      </c>
      <c r="K12" s="625">
        <f t="shared" si="2"/>
        <v>3.8449600583741278E-2</v>
      </c>
      <c r="L12" s="625">
        <f t="shared" si="3"/>
        <v>6.8284660999874758E-3</v>
      </c>
      <c r="M12" s="625">
        <f t="shared" si="4"/>
        <v>1.6532075821022309E-2</v>
      </c>
      <c r="N12" s="590">
        <f t="shared" si="5"/>
        <v>5.3685683636185422E-2</v>
      </c>
      <c r="O12" s="156"/>
    </row>
    <row r="13" spans="1:18" s="77" customFormat="1">
      <c r="A13" s="142"/>
      <c r="B13" s="141"/>
      <c r="C13" s="141"/>
      <c r="D13" s="141"/>
      <c r="E13" s="141"/>
      <c r="F13" s="141"/>
      <c r="G13" s="141"/>
      <c r="O13" s="156"/>
    </row>
    <row r="14" spans="1:18" s="77" customFormat="1">
      <c r="A14" s="142"/>
      <c r="B14" s="141"/>
      <c r="C14" s="141"/>
      <c r="D14" s="141"/>
      <c r="E14" s="141"/>
      <c r="F14" s="141"/>
      <c r="G14" s="141"/>
    </row>
    <row r="15" spans="1:18" s="77" customFormat="1">
      <c r="A15" s="142"/>
      <c r="B15" s="141"/>
      <c r="C15" s="141"/>
      <c r="D15" s="141"/>
      <c r="E15" s="141"/>
      <c r="F15" s="141"/>
      <c r="G15" s="141"/>
      <c r="O15" s="156"/>
    </row>
    <row r="16" spans="1:18" s="77" customFormat="1">
      <c r="A16" s="142"/>
      <c r="B16" s="141"/>
      <c r="C16" s="141"/>
      <c r="D16" s="141"/>
      <c r="E16" s="141"/>
      <c r="F16" s="141"/>
      <c r="G16" s="141"/>
      <c r="O16" s="156"/>
    </row>
    <row r="17" spans="1:15" s="77" customFormat="1">
      <c r="O17" s="156"/>
    </row>
    <row r="18" spans="1:15" s="77" customFormat="1">
      <c r="O18" s="156"/>
    </row>
    <row r="19" spans="1:15" s="77" customFormat="1">
      <c r="O19" s="156"/>
    </row>
    <row r="20" spans="1:15" s="77" customFormat="1"/>
    <row r="21" spans="1:15" s="77" customFormat="1"/>
    <row r="22" spans="1:15" s="77" customFormat="1"/>
    <row r="23" spans="1:15">
      <c r="A23" s="77"/>
      <c r="B23" s="77"/>
      <c r="C23" s="77"/>
      <c r="D23" s="77"/>
      <c r="E23" s="77"/>
      <c r="F23" s="77"/>
      <c r="G23" s="77"/>
      <c r="H23" s="77"/>
      <c r="I23" s="77"/>
      <c r="J23" s="77"/>
      <c r="K23" s="77"/>
      <c r="L23" s="77"/>
      <c r="M23" s="77"/>
      <c r="N23" s="77"/>
    </row>
  </sheetData>
  <mergeCells count="1">
    <mergeCell ref="A1:N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9" tint="-0.499984740745262"/>
    <pageSetUpPr fitToPage="1"/>
  </sheetPr>
  <dimension ref="A2:T44"/>
  <sheetViews>
    <sheetView showGridLines="0" view="pageBreakPreview" zoomScale="55" zoomScaleNormal="85" zoomScaleSheetLayoutView="55" workbookViewId="0">
      <selection activeCell="A4" sqref="A4"/>
    </sheetView>
  </sheetViews>
  <sheetFormatPr baseColWidth="10" defaultColWidth="11.42578125" defaultRowHeight="13.5" customHeight="1"/>
  <cols>
    <col min="1" max="1" width="24.140625" style="70" customWidth="1"/>
    <col min="2" max="2" width="18" style="70" customWidth="1"/>
    <col min="3" max="3" width="17.5703125" style="70" hidden="1" customWidth="1"/>
    <col min="4" max="4" width="19.28515625" style="70" customWidth="1"/>
    <col min="5" max="5" width="14.85546875" style="70" customWidth="1"/>
    <col min="6" max="6" width="2.85546875" style="70" hidden="1" customWidth="1"/>
    <col min="7" max="7" width="19.140625" style="70" customWidth="1"/>
    <col min="8" max="8" width="18.7109375" style="70" customWidth="1"/>
    <col min="9" max="9" width="13.85546875" style="70" customWidth="1"/>
    <col min="10" max="10" width="30.7109375" style="70" customWidth="1"/>
    <col min="11" max="11" width="28.42578125" style="70" customWidth="1"/>
    <col min="12" max="12" width="32.28515625" style="70" customWidth="1"/>
    <col min="13" max="13" width="23.7109375" style="70" customWidth="1"/>
    <col min="14" max="14" width="28.85546875" style="70" customWidth="1"/>
    <col min="15" max="15" width="2.85546875" style="70" customWidth="1"/>
    <col min="16" max="16" width="11.28515625" style="953" customWidth="1"/>
    <col min="17" max="17" width="23.28515625" style="953" customWidth="1"/>
    <col min="18" max="18" width="13.7109375" style="70" customWidth="1"/>
    <col min="19" max="16384" width="11.42578125" style="70"/>
  </cols>
  <sheetData>
    <row r="2" spans="1:20" ht="65.25" customHeight="1">
      <c r="P2" s="1306"/>
      <c r="Q2" s="70"/>
    </row>
    <row r="3" spans="1:20" ht="21.75" customHeight="1">
      <c r="A3" s="2062"/>
      <c r="B3" s="2062"/>
      <c r="C3" s="2062"/>
      <c r="D3" s="2062"/>
      <c r="E3" s="2062"/>
      <c r="F3" s="2062"/>
      <c r="G3" s="2062"/>
      <c r="H3" s="2062"/>
      <c r="I3" s="2062"/>
      <c r="J3" s="2062"/>
      <c r="K3" s="2062"/>
      <c r="L3" s="2062"/>
      <c r="M3" s="2062"/>
      <c r="N3" s="2062"/>
      <c r="P3" s="954"/>
      <c r="Q3" s="70"/>
    </row>
    <row r="4" spans="1:20" s="289" customFormat="1" ht="33.75" customHeight="1">
      <c r="A4" s="873" t="s">
        <v>609</v>
      </c>
      <c r="B4" s="873" t="s">
        <v>120</v>
      </c>
      <c r="C4" s="875" t="s">
        <v>518</v>
      </c>
      <c r="D4" s="875" t="s">
        <v>625</v>
      </c>
      <c r="E4" s="875" t="s">
        <v>68</v>
      </c>
      <c r="F4" s="875" t="s">
        <v>540</v>
      </c>
      <c r="G4" s="872" t="s">
        <v>626</v>
      </c>
      <c r="H4" s="872" t="s">
        <v>23</v>
      </c>
      <c r="I4" s="981" t="s">
        <v>35</v>
      </c>
      <c r="J4" s="285"/>
      <c r="K4" s="285"/>
      <c r="L4" s="286"/>
      <c r="M4" s="286"/>
      <c r="N4" s="286"/>
      <c r="O4" s="286"/>
      <c r="P4" s="1294"/>
      <c r="Q4" s="957"/>
      <c r="T4" s="290"/>
    </row>
    <row r="5" spans="1:20" ht="21.75" customHeight="1">
      <c r="A5" s="876" t="s">
        <v>610</v>
      </c>
      <c r="B5" s="1242">
        <v>16040</v>
      </c>
      <c r="C5" s="1127"/>
      <c r="D5" s="1128">
        <f>B5/H5</f>
        <v>0.5979496738117428</v>
      </c>
      <c r="E5" s="1242">
        <v>10785</v>
      </c>
      <c r="F5" s="1127"/>
      <c r="G5" s="1128">
        <f>E5/H5</f>
        <v>0.4020503261882572</v>
      </c>
      <c r="H5" s="1862">
        <f>B5+E5</f>
        <v>26825</v>
      </c>
      <c r="I5" s="980">
        <f>+H5/$H$20</f>
        <v>1.4605006046173053E-2</v>
      </c>
      <c r="J5" s="119"/>
      <c r="K5" s="119"/>
      <c r="L5" s="244"/>
      <c r="M5" s="241"/>
      <c r="N5" s="241"/>
      <c r="O5" s="242"/>
      <c r="P5" s="1295"/>
      <c r="Q5" s="243"/>
      <c r="T5" s="161"/>
    </row>
    <row r="6" spans="1:20" ht="21.75" customHeight="1">
      <c r="A6" s="877" t="s">
        <v>611</v>
      </c>
      <c r="B6" s="1242">
        <v>132644</v>
      </c>
      <c r="C6" s="1127"/>
      <c r="D6" s="1128">
        <f t="shared" ref="D6:D19" si="0">B6/H6</f>
        <v>0.58131554612825898</v>
      </c>
      <c r="E6" s="1242">
        <v>95535</v>
      </c>
      <c r="F6" s="1127"/>
      <c r="G6" s="1128">
        <f t="shared" ref="G6:G19" si="1">E6/H6</f>
        <v>0.41868445387174102</v>
      </c>
      <c r="H6" s="1863">
        <f t="shared" ref="H6:H20" si="2">B6+E6</f>
        <v>228179</v>
      </c>
      <c r="I6" s="982">
        <f t="shared" ref="I6:I19" si="3">+H6/$H$20</f>
        <v>0.12423320315413686</v>
      </c>
      <c r="J6" s="156"/>
      <c r="K6" s="119"/>
      <c r="L6" s="244"/>
      <c r="M6" s="241"/>
      <c r="N6" s="241"/>
      <c r="O6" s="242"/>
      <c r="P6" s="1295"/>
      <c r="Q6" s="243"/>
      <c r="T6" s="161"/>
    </row>
    <row r="7" spans="1:20" ht="21.75" customHeight="1">
      <c r="A7" s="877" t="s">
        <v>612</v>
      </c>
      <c r="B7" s="1242">
        <v>165049</v>
      </c>
      <c r="C7" s="1127"/>
      <c r="D7" s="1128">
        <f t="shared" si="0"/>
        <v>0.56407723855092273</v>
      </c>
      <c r="E7" s="1242">
        <v>127551</v>
      </c>
      <c r="F7" s="1127"/>
      <c r="G7" s="1128">
        <f t="shared" si="1"/>
        <v>0.43592276144907721</v>
      </c>
      <c r="H7" s="1863">
        <f t="shared" si="2"/>
        <v>292600</v>
      </c>
      <c r="I7" s="982">
        <f t="shared" si="3"/>
        <v>0.15930754032097802</v>
      </c>
      <c r="J7" s="119"/>
      <c r="K7" s="119"/>
      <c r="L7" s="244"/>
      <c r="M7" s="241"/>
      <c r="N7" s="241"/>
      <c r="O7" s="242"/>
      <c r="P7" s="1295"/>
      <c r="Q7" s="958"/>
      <c r="T7" s="161"/>
    </row>
    <row r="8" spans="1:20" ht="21.75" customHeight="1">
      <c r="A8" s="877" t="s">
        <v>613</v>
      </c>
      <c r="B8" s="1242">
        <v>147011</v>
      </c>
      <c r="C8" s="1127"/>
      <c r="D8" s="1128">
        <f t="shared" si="0"/>
        <v>0.54651538864745708</v>
      </c>
      <c r="E8" s="1242">
        <v>121986</v>
      </c>
      <c r="F8" s="1127"/>
      <c r="G8" s="1128">
        <f t="shared" si="1"/>
        <v>0.45348461135254298</v>
      </c>
      <c r="H8" s="1863">
        <f t="shared" si="2"/>
        <v>268997</v>
      </c>
      <c r="I8" s="982">
        <f t="shared" si="3"/>
        <v>0.14645676836542079</v>
      </c>
      <c r="J8" s="243"/>
      <c r="K8" s="243" t="s">
        <v>31</v>
      </c>
      <c r="L8" s="245"/>
      <c r="M8" s="241"/>
      <c r="N8" s="241"/>
      <c r="O8" s="242"/>
      <c r="P8" s="1295"/>
      <c r="Q8" s="959"/>
    </row>
    <row r="9" spans="1:20" ht="21.75" customHeight="1">
      <c r="A9" s="877" t="s">
        <v>614</v>
      </c>
      <c r="B9" s="1242">
        <v>134228</v>
      </c>
      <c r="C9" s="1127"/>
      <c r="D9" s="1128">
        <f t="shared" si="0"/>
        <v>0.53674453570486014</v>
      </c>
      <c r="E9" s="1242">
        <v>115850</v>
      </c>
      <c r="F9" s="1127"/>
      <c r="G9" s="1128">
        <f t="shared" si="1"/>
        <v>0.46325546429513992</v>
      </c>
      <c r="H9" s="1863">
        <f t="shared" si="2"/>
        <v>250078</v>
      </c>
      <c r="I9" s="982">
        <f t="shared" si="3"/>
        <v>0.13615622374705927</v>
      </c>
      <c r="J9" s="246"/>
      <c r="K9" s="246"/>
      <c r="L9" s="245"/>
      <c r="M9" s="241"/>
      <c r="N9" s="241"/>
      <c r="O9" s="242"/>
      <c r="P9" s="1295"/>
      <c r="Q9" s="959"/>
      <c r="T9" s="161"/>
    </row>
    <row r="10" spans="1:20" ht="21.75" customHeight="1">
      <c r="A10" s="877" t="s">
        <v>615</v>
      </c>
      <c r="B10" s="1242">
        <v>112791</v>
      </c>
      <c r="C10" s="1127"/>
      <c r="D10" s="1128">
        <f t="shared" si="0"/>
        <v>0.53884483088094781</v>
      </c>
      <c r="E10" s="1242">
        <v>96529</v>
      </c>
      <c r="F10" s="1127"/>
      <c r="G10" s="1128">
        <f t="shared" si="1"/>
        <v>0.46115516911905219</v>
      </c>
      <c r="H10" s="1863">
        <f t="shared" si="2"/>
        <v>209320</v>
      </c>
      <c r="I10" s="982">
        <f t="shared" si="3"/>
        <v>0.11396532583727655</v>
      </c>
      <c r="J10" s="119"/>
      <c r="K10" s="119"/>
      <c r="L10" s="245"/>
      <c r="M10" s="241"/>
      <c r="N10" s="241"/>
      <c r="O10" s="242"/>
      <c r="P10" s="1295"/>
      <c r="Q10" s="959"/>
    </row>
    <row r="11" spans="1:20" ht="21.75" customHeight="1">
      <c r="A11" s="877" t="s">
        <v>616</v>
      </c>
      <c r="B11" s="1242">
        <v>97738</v>
      </c>
      <c r="C11" s="1127"/>
      <c r="D11" s="1128">
        <f t="shared" si="0"/>
        <v>0.54208240664222607</v>
      </c>
      <c r="E11" s="1242">
        <v>82563</v>
      </c>
      <c r="F11" s="1127"/>
      <c r="G11" s="1128">
        <f t="shared" si="1"/>
        <v>0.45791759335777393</v>
      </c>
      <c r="H11" s="1863">
        <f t="shared" si="2"/>
        <v>180301</v>
      </c>
      <c r="I11" s="982">
        <f t="shared" si="3"/>
        <v>9.8165785466208674E-2</v>
      </c>
      <c r="J11" s="119"/>
      <c r="K11" s="119"/>
      <c r="L11" s="245"/>
      <c r="M11" s="241"/>
      <c r="N11" s="241"/>
      <c r="O11" s="242"/>
      <c r="P11" s="1295"/>
      <c r="Q11" s="959"/>
    </row>
    <row r="12" spans="1:20" ht="21.75" customHeight="1">
      <c r="A12" s="877" t="s">
        <v>617</v>
      </c>
      <c r="B12" s="1242">
        <v>79678</v>
      </c>
      <c r="C12" s="1127"/>
      <c r="D12" s="1128">
        <f t="shared" si="0"/>
        <v>0.55443601697863754</v>
      </c>
      <c r="E12" s="1242">
        <v>64032</v>
      </c>
      <c r="F12" s="1127"/>
      <c r="G12" s="1128">
        <f t="shared" si="1"/>
        <v>0.44556398302136246</v>
      </c>
      <c r="H12" s="1863">
        <f t="shared" si="2"/>
        <v>143710</v>
      </c>
      <c r="I12" s="982">
        <f t="shared" si="3"/>
        <v>7.8243631645686096E-2</v>
      </c>
      <c r="J12" s="100"/>
      <c r="K12" s="100"/>
      <c r="L12" s="245" t="s">
        <v>975</v>
      </c>
      <c r="M12" s="241"/>
      <c r="N12" s="241"/>
      <c r="O12" s="246"/>
      <c r="P12" s="1295"/>
      <c r="Q12" s="959"/>
    </row>
    <row r="13" spans="1:20" ht="21.75" customHeight="1">
      <c r="A13" s="877" t="s">
        <v>618</v>
      </c>
      <c r="B13" s="1242">
        <v>57605</v>
      </c>
      <c r="C13" s="1127"/>
      <c r="D13" s="1128">
        <f t="shared" si="0"/>
        <v>0.57346938775510203</v>
      </c>
      <c r="E13" s="1242">
        <v>42845</v>
      </c>
      <c r="F13" s="1127"/>
      <c r="G13" s="1128">
        <f t="shared" si="1"/>
        <v>0.42653061224489797</v>
      </c>
      <c r="H13" s="1863">
        <f t="shared" si="2"/>
        <v>100450</v>
      </c>
      <c r="I13" s="982">
        <f t="shared" si="3"/>
        <v>5.4690507263302261E-2</v>
      </c>
      <c r="J13" s="100"/>
      <c r="K13" s="100"/>
      <c r="L13" s="247"/>
      <c r="M13" s="241"/>
      <c r="N13" s="241"/>
      <c r="O13" s="242"/>
      <c r="P13" s="1300"/>
      <c r="Q13" s="959"/>
    </row>
    <row r="14" spans="1:20" ht="21.75" customHeight="1">
      <c r="A14" s="877" t="s">
        <v>619</v>
      </c>
      <c r="B14" s="1242">
        <v>39674</v>
      </c>
      <c r="C14" s="1127"/>
      <c r="D14" s="1128">
        <f t="shared" si="0"/>
        <v>0.60434438215939557</v>
      </c>
      <c r="E14" s="1242">
        <v>25974</v>
      </c>
      <c r="F14" s="1127"/>
      <c r="G14" s="1128">
        <f t="shared" si="1"/>
        <v>0.39565561784060443</v>
      </c>
      <c r="H14" s="1863">
        <f t="shared" si="2"/>
        <v>65648</v>
      </c>
      <c r="I14" s="982">
        <f t="shared" si="3"/>
        <v>3.5742383482541232E-2</v>
      </c>
      <c r="J14" s="100"/>
      <c r="K14" s="100"/>
      <c r="L14" s="247"/>
      <c r="M14" s="241"/>
      <c r="N14" s="241"/>
      <c r="O14" s="242"/>
      <c r="P14" s="1301"/>
      <c r="Q14" s="959"/>
    </row>
    <row r="15" spans="1:20" ht="21.75" customHeight="1">
      <c r="A15" s="877" t="s">
        <v>620</v>
      </c>
      <c r="B15" s="1242">
        <v>22813</v>
      </c>
      <c r="C15" s="1127"/>
      <c r="D15" s="1128">
        <f t="shared" si="0"/>
        <v>0.63295599578269801</v>
      </c>
      <c r="E15" s="1242">
        <v>13229</v>
      </c>
      <c r="F15" s="1127"/>
      <c r="G15" s="1128">
        <f t="shared" si="1"/>
        <v>0.36704400421730204</v>
      </c>
      <c r="H15" s="1863">
        <f t="shared" si="2"/>
        <v>36042</v>
      </c>
      <c r="I15" s="982">
        <f t="shared" si="3"/>
        <v>1.9623248011786363E-2</v>
      </c>
      <c r="J15" s="100"/>
      <c r="K15" s="100"/>
      <c r="L15" s="100"/>
      <c r="M15" s="100"/>
      <c r="P15" s="1301"/>
      <c r="Q15" s="959"/>
    </row>
    <row r="16" spans="1:20" ht="21.75" customHeight="1">
      <c r="A16" s="877" t="s">
        <v>621</v>
      </c>
      <c r="B16" s="1242">
        <v>11770</v>
      </c>
      <c r="C16" s="874"/>
      <c r="D16" s="1128">
        <f t="shared" si="0"/>
        <v>0.66677996827554953</v>
      </c>
      <c r="E16" s="1242">
        <v>5882</v>
      </c>
      <c r="F16" s="874"/>
      <c r="G16" s="1128">
        <f t="shared" si="1"/>
        <v>0.33322003172445047</v>
      </c>
      <c r="H16" s="1863">
        <f t="shared" si="2"/>
        <v>17652</v>
      </c>
      <c r="I16" s="982">
        <f t="shared" si="3"/>
        <v>9.6107201016606431E-3</v>
      </c>
      <c r="J16" s="100"/>
      <c r="K16" s="100"/>
      <c r="L16" s="100"/>
      <c r="M16" s="100"/>
      <c r="P16" s="1301"/>
      <c r="Q16" s="959"/>
    </row>
    <row r="17" spans="1:18" ht="21.75" customHeight="1">
      <c r="A17" s="877" t="s">
        <v>622</v>
      </c>
      <c r="B17" s="1242">
        <v>6287</v>
      </c>
      <c r="C17" s="874"/>
      <c r="D17" s="1128">
        <f t="shared" si="0"/>
        <v>0.66486886632825715</v>
      </c>
      <c r="E17" s="1242">
        <v>3169</v>
      </c>
      <c r="F17" s="874"/>
      <c r="G17" s="1128">
        <f t="shared" si="1"/>
        <v>0.3351311336717428</v>
      </c>
      <c r="H17" s="1863">
        <f t="shared" si="2"/>
        <v>9456</v>
      </c>
      <c r="I17" s="982">
        <f t="shared" si="3"/>
        <v>5.1483667165931925E-3</v>
      </c>
      <c r="J17" s="100"/>
      <c r="K17" s="100" t="s">
        <v>31</v>
      </c>
      <c r="L17" s="100"/>
      <c r="M17" s="100"/>
      <c r="P17" s="1301"/>
      <c r="Q17" s="959"/>
    </row>
    <row r="18" spans="1:18" ht="21.75" customHeight="1">
      <c r="A18" s="877" t="s">
        <v>623</v>
      </c>
      <c r="B18" s="1242">
        <v>2944</v>
      </c>
      <c r="C18" s="874"/>
      <c r="D18" s="1128">
        <f t="shared" si="0"/>
        <v>0.65817124972054553</v>
      </c>
      <c r="E18" s="1242">
        <v>1529</v>
      </c>
      <c r="F18" s="874"/>
      <c r="G18" s="1128">
        <f t="shared" si="1"/>
        <v>0.34182875027945453</v>
      </c>
      <c r="H18" s="1863">
        <f t="shared" si="2"/>
        <v>4473</v>
      </c>
      <c r="I18" s="982">
        <f t="shared" si="3"/>
        <v>2.4353473269163864E-3</v>
      </c>
      <c r="J18" s="100"/>
      <c r="K18" s="100"/>
      <c r="L18" s="100"/>
      <c r="M18" s="100"/>
      <c r="P18" s="1301"/>
      <c r="Q18" s="70"/>
    </row>
    <row r="19" spans="1:18" ht="21.75" customHeight="1">
      <c r="A19" s="878" t="s">
        <v>624</v>
      </c>
      <c r="B19" s="1242">
        <v>1972</v>
      </c>
      <c r="C19" s="874"/>
      <c r="D19" s="1128">
        <f t="shared" si="0"/>
        <v>0.66442048517520214</v>
      </c>
      <c r="E19" s="1242">
        <v>996</v>
      </c>
      <c r="F19" s="874"/>
      <c r="G19" s="1128">
        <f t="shared" si="1"/>
        <v>0.33557951482479786</v>
      </c>
      <c r="H19" s="1863">
        <f t="shared" si="2"/>
        <v>2968</v>
      </c>
      <c r="I19" s="983">
        <f t="shared" si="3"/>
        <v>1.6159425142606382E-3</v>
      </c>
      <c r="J19" s="100"/>
      <c r="K19" s="100"/>
      <c r="L19" s="100"/>
      <c r="M19" s="100"/>
      <c r="P19" s="1295"/>
      <c r="Q19" s="956"/>
      <c r="R19" s="243"/>
    </row>
    <row r="20" spans="1:18" s="289" customFormat="1" ht="20.25" customHeight="1">
      <c r="A20" s="1018" t="s">
        <v>23</v>
      </c>
      <c r="B20" s="1019">
        <f>SUM(B5:B19)</f>
        <v>1028244</v>
      </c>
      <c r="C20" s="1020"/>
      <c r="D20" s="1020"/>
      <c r="E20" s="1021">
        <f>SUM(E5:E19)</f>
        <v>808455</v>
      </c>
      <c r="F20" s="1020"/>
      <c r="G20" s="1020"/>
      <c r="H20" s="1864">
        <f t="shared" si="2"/>
        <v>1836699</v>
      </c>
      <c r="I20" s="1022">
        <f>SUM(I5:I19)</f>
        <v>1</v>
      </c>
      <c r="J20" s="1023"/>
      <c r="K20" s="1023"/>
      <c r="L20" s="1023"/>
      <c r="M20" s="1023"/>
      <c r="P20" s="1299"/>
      <c r="Q20" s="1296"/>
      <c r="R20" s="1297"/>
    </row>
    <row r="21" spans="1:18" ht="27" customHeight="1">
      <c r="A21" s="100"/>
      <c r="B21" s="100"/>
      <c r="C21" s="100"/>
      <c r="D21" s="100"/>
      <c r="E21" s="100"/>
      <c r="F21" s="100"/>
      <c r="G21" s="100"/>
      <c r="H21" s="100"/>
      <c r="I21" s="100"/>
      <c r="J21" s="100"/>
      <c r="K21" s="100"/>
      <c r="L21" s="100"/>
      <c r="M21" s="100"/>
      <c r="P21" s="1299"/>
      <c r="Q21" s="1296"/>
      <c r="R21" s="243"/>
    </row>
    <row r="22" spans="1:18" ht="17.25" customHeight="1">
      <c r="A22" s="100"/>
      <c r="B22" s="100"/>
      <c r="C22" s="100"/>
      <c r="D22" s="100"/>
      <c r="E22" s="100"/>
      <c r="F22" s="100"/>
      <c r="G22" s="100"/>
      <c r="H22" s="100"/>
      <c r="I22" s="100"/>
      <c r="J22" s="100"/>
      <c r="K22" s="100"/>
      <c r="L22" s="100"/>
      <c r="M22" s="100"/>
      <c r="Q22" s="956"/>
      <c r="R22" s="243"/>
    </row>
    <row r="23" spans="1:18" ht="17.25" customHeight="1">
      <c r="A23" s="100"/>
      <c r="B23" s="100"/>
      <c r="C23" s="100"/>
      <c r="D23" s="100"/>
      <c r="E23" s="100"/>
      <c r="F23" s="100"/>
      <c r="G23" s="100"/>
      <c r="H23" s="100"/>
      <c r="I23" s="100"/>
      <c r="J23" s="100"/>
      <c r="K23" s="100"/>
      <c r="L23" s="100"/>
      <c r="M23" s="100"/>
      <c r="P23" s="1295"/>
      <c r="Q23" s="956"/>
      <c r="R23" s="243"/>
    </row>
    <row r="24" spans="1:18" ht="17.25" customHeight="1">
      <c r="A24" s="100"/>
      <c r="B24" s="100"/>
      <c r="C24" s="100"/>
      <c r="D24" s="100"/>
      <c r="E24" s="100"/>
      <c r="F24" s="100"/>
      <c r="G24" s="100"/>
      <c r="H24" s="100"/>
      <c r="I24" s="100"/>
      <c r="J24" s="100"/>
      <c r="K24" s="100"/>
      <c r="L24" s="100"/>
      <c r="M24" s="100"/>
      <c r="P24" s="1295"/>
      <c r="Q24" s="1298"/>
      <c r="R24" s="243"/>
    </row>
    <row r="25" spans="1:18" ht="17.25" customHeight="1">
      <c r="A25" s="100"/>
      <c r="B25" s="100"/>
      <c r="C25" s="100"/>
      <c r="D25" s="100"/>
      <c r="E25" s="100"/>
      <c r="F25" s="100"/>
      <c r="G25" s="100"/>
      <c r="H25" s="100"/>
      <c r="I25" s="100"/>
      <c r="J25" s="100"/>
      <c r="K25" s="100"/>
      <c r="L25" s="100"/>
      <c r="M25" s="100"/>
      <c r="Q25" s="956"/>
      <c r="R25" s="243"/>
    </row>
    <row r="26" spans="1:18" ht="17.25" customHeight="1">
      <c r="A26" s="100"/>
      <c r="B26" s="100"/>
      <c r="C26" s="100"/>
      <c r="D26" s="100"/>
      <c r="E26" s="100"/>
      <c r="F26" s="100"/>
      <c r="G26" s="100"/>
      <c r="H26" s="100"/>
      <c r="I26" s="100"/>
      <c r="J26" s="100"/>
      <c r="K26" s="100"/>
      <c r="L26" s="100"/>
      <c r="M26" s="100"/>
      <c r="P26" s="1295"/>
      <c r="Q26" s="956"/>
      <c r="R26" s="243"/>
    </row>
    <row r="27" spans="1:18" ht="17.25" customHeight="1">
      <c r="A27" s="100"/>
      <c r="B27" s="100"/>
      <c r="C27" s="100"/>
      <c r="D27" s="100"/>
      <c r="E27" s="100"/>
      <c r="F27" s="100"/>
      <c r="G27" s="100"/>
      <c r="H27" s="100"/>
      <c r="I27" s="100"/>
      <c r="J27" s="100"/>
      <c r="K27" s="100"/>
      <c r="L27" s="100"/>
      <c r="M27" s="100"/>
      <c r="P27" s="1295"/>
      <c r="Q27" s="956"/>
      <c r="R27" s="243"/>
    </row>
    <row r="28" spans="1:18" ht="17.25" customHeight="1">
      <c r="A28" s="100"/>
      <c r="B28" s="100"/>
      <c r="C28" s="100"/>
      <c r="D28" s="100"/>
      <c r="E28" s="100"/>
      <c r="F28" s="100"/>
      <c r="G28" s="100"/>
      <c r="H28" s="100"/>
      <c r="I28" s="100"/>
      <c r="J28" s="100"/>
      <c r="K28" s="100"/>
      <c r="L28" s="100"/>
      <c r="M28" s="100"/>
      <c r="P28" s="1295"/>
      <c r="Q28" s="955"/>
    </row>
    <row r="29" spans="1:18" ht="37.5" customHeight="1">
      <c r="A29" s="100"/>
      <c r="B29" s="100"/>
      <c r="C29" s="100"/>
      <c r="D29" s="100"/>
      <c r="E29" s="100"/>
      <c r="F29" s="100"/>
      <c r="G29" s="100"/>
      <c r="H29" s="100"/>
      <c r="I29" s="100"/>
      <c r="J29" s="100"/>
      <c r="K29" s="100"/>
      <c r="L29" s="100"/>
      <c r="M29" s="100"/>
      <c r="P29" s="1295"/>
      <c r="Q29" s="1344"/>
    </row>
    <row r="30" spans="1:18" ht="17.25" customHeight="1">
      <c r="A30" s="100"/>
      <c r="B30" s="100"/>
      <c r="C30" s="100"/>
      <c r="D30" s="100"/>
      <c r="E30" s="100"/>
      <c r="F30" s="100"/>
      <c r="G30" s="100"/>
      <c r="H30" s="100"/>
      <c r="I30" s="100"/>
      <c r="J30" s="100"/>
      <c r="K30" s="100"/>
      <c r="L30" s="100"/>
      <c r="M30" s="100"/>
      <c r="P30" s="1295"/>
      <c r="Q30" s="955"/>
    </row>
    <row r="31" spans="1:18" ht="17.25" customHeight="1">
      <c r="A31" s="100"/>
      <c r="B31" s="100"/>
      <c r="C31" s="100"/>
      <c r="D31" s="100"/>
      <c r="E31" s="100"/>
      <c r="F31" s="100"/>
      <c r="G31" s="100"/>
      <c r="H31" s="100"/>
      <c r="I31" s="100"/>
      <c r="J31" s="100"/>
      <c r="K31" s="100"/>
      <c r="L31" s="100"/>
      <c r="M31" s="100"/>
      <c r="P31" s="1295"/>
      <c r="Q31" s="955"/>
    </row>
    <row r="32" spans="1:18" ht="17.25" customHeight="1">
      <c r="A32" s="100"/>
      <c r="B32" s="100"/>
      <c r="C32" s="100"/>
      <c r="D32" s="100"/>
      <c r="E32" s="100"/>
      <c r="F32" s="100"/>
      <c r="G32" s="100"/>
      <c r="H32" s="100"/>
      <c r="I32" s="100"/>
      <c r="J32" s="100"/>
      <c r="K32" s="100"/>
      <c r="L32" s="100"/>
      <c r="M32" s="100"/>
      <c r="P32" s="1295"/>
      <c r="Q32" s="955"/>
    </row>
    <row r="33" spans="1:17" ht="17.25" customHeight="1">
      <c r="A33" s="100"/>
      <c r="B33" s="100"/>
      <c r="C33" s="100"/>
      <c r="D33" s="100"/>
      <c r="E33" s="100"/>
      <c r="F33" s="100"/>
      <c r="G33" s="100"/>
      <c r="H33" s="100"/>
      <c r="I33" s="100"/>
      <c r="J33" s="100"/>
      <c r="K33" s="100"/>
      <c r="L33" s="100"/>
      <c r="M33" s="100"/>
      <c r="P33" s="1295"/>
      <c r="Q33" s="955"/>
    </row>
    <row r="34" spans="1:17" ht="17.25" customHeight="1">
      <c r="A34" s="100"/>
      <c r="B34" s="100"/>
      <c r="C34" s="100"/>
      <c r="D34" s="100"/>
      <c r="E34" s="100"/>
      <c r="F34" s="100"/>
      <c r="G34" s="100"/>
      <c r="H34" s="100"/>
      <c r="I34" s="100"/>
      <c r="J34" s="100"/>
      <c r="K34" s="100"/>
      <c r="L34" s="100"/>
      <c r="M34" s="100"/>
      <c r="P34" s="1295"/>
      <c r="Q34" s="955"/>
    </row>
    <row r="35" spans="1:17" ht="17.25" customHeight="1">
      <c r="A35" s="100"/>
      <c r="B35" s="100"/>
      <c r="C35" s="100"/>
      <c r="D35" s="100"/>
      <c r="E35" s="100"/>
      <c r="F35" s="100"/>
      <c r="G35" s="100"/>
      <c r="H35" s="100"/>
      <c r="I35" s="100"/>
      <c r="J35" s="100"/>
      <c r="K35" s="100"/>
      <c r="L35" s="100"/>
      <c r="M35" s="100"/>
      <c r="P35" s="955"/>
      <c r="Q35" s="955"/>
    </row>
    <row r="36" spans="1:17" ht="17.25" customHeight="1">
      <c r="A36" s="100"/>
      <c r="B36" s="100"/>
      <c r="C36" s="100"/>
      <c r="D36" s="100"/>
      <c r="E36" s="100"/>
      <c r="F36" s="100"/>
      <c r="G36" s="100"/>
      <c r="H36" s="100"/>
      <c r="I36" s="100"/>
      <c r="J36" s="100"/>
      <c r="K36" s="100"/>
      <c r="L36" s="100"/>
      <c r="M36" s="100"/>
      <c r="P36" s="955"/>
      <c r="Q36" s="955"/>
    </row>
    <row r="37" spans="1:17" ht="17.25" customHeight="1">
      <c r="A37" s="100"/>
      <c r="B37" s="100"/>
      <c r="C37" s="100"/>
      <c r="D37" s="100"/>
      <c r="E37" s="100"/>
      <c r="F37" s="100"/>
      <c r="G37" s="100"/>
      <c r="H37" s="100"/>
      <c r="I37" s="100"/>
      <c r="J37" s="100"/>
      <c r="K37" s="100"/>
      <c r="L37" s="100"/>
      <c r="M37" s="100"/>
      <c r="P37" s="955"/>
      <c r="Q37" s="955"/>
    </row>
    <row r="38" spans="1:17" ht="17.25" customHeight="1">
      <c r="P38" s="955"/>
      <c r="Q38" s="955"/>
    </row>
    <row r="39" spans="1:17" ht="13.5" customHeight="1">
      <c r="P39" s="955"/>
      <c r="Q39" s="955"/>
    </row>
    <row r="40" spans="1:17" ht="13.5" customHeight="1">
      <c r="P40" s="955"/>
      <c r="Q40" s="955"/>
    </row>
    <row r="41" spans="1:17" ht="13.5" customHeight="1">
      <c r="P41" s="955"/>
      <c r="Q41" s="955"/>
    </row>
    <row r="42" spans="1:17" ht="13.5" customHeight="1">
      <c r="P42" s="955"/>
      <c r="Q42" s="955"/>
    </row>
    <row r="43" spans="1:17" ht="13.5" customHeight="1">
      <c r="P43" s="955"/>
      <c r="Q43" s="955"/>
    </row>
    <row r="44" spans="1:17" ht="13.5" customHeight="1">
      <c r="P44" s="955"/>
      <c r="Q44" s="955"/>
    </row>
  </sheetData>
  <mergeCells count="1">
    <mergeCell ref="A3:N3"/>
  </mergeCells>
  <printOptions horizontalCentered="1" verticalCentered="1"/>
  <pageMargins left="0.4" right="0.4" top="0.25" bottom="0.25" header="0.31496062992126" footer="0.31496062992126"/>
  <pageSetup scale="48"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W23"/>
  <sheetViews>
    <sheetView showGridLines="0" view="pageBreakPreview" zoomScale="70" zoomScaleNormal="100" zoomScaleSheetLayoutView="70" workbookViewId="0">
      <selection activeCell="W33" sqref="W33"/>
    </sheetView>
  </sheetViews>
  <sheetFormatPr baseColWidth="10" defaultColWidth="11.42578125" defaultRowHeight="15"/>
  <cols>
    <col min="1" max="1" width="17.28515625" style="152" customWidth="1"/>
    <col min="2" max="7" width="14.28515625" style="39" customWidth="1"/>
    <col min="8" max="8" width="14.28515625" style="187" customWidth="1"/>
    <col min="9" max="13" width="17" style="39" customWidth="1"/>
    <col min="14" max="14" width="14.5703125" style="39" customWidth="1"/>
    <col min="15" max="15" width="9.140625" style="39" bestFit="1" customWidth="1"/>
    <col min="16" max="22" width="11.42578125" style="39" hidden="1" customWidth="1"/>
    <col min="23" max="16384" width="11.42578125" style="39"/>
  </cols>
  <sheetData>
    <row r="1" spans="1:23" s="77" customFormat="1" ht="83.25" customHeight="1">
      <c r="A1" s="2227"/>
      <c r="B1" s="2227"/>
      <c r="C1" s="2227"/>
      <c r="D1" s="2227"/>
      <c r="E1" s="2227"/>
      <c r="F1" s="2227"/>
      <c r="G1" s="2227"/>
      <c r="H1" s="2227"/>
      <c r="I1" s="2227"/>
      <c r="J1" s="2227"/>
      <c r="K1" s="2227"/>
      <c r="L1" s="2227"/>
      <c r="M1" s="2227"/>
      <c r="N1" s="2227"/>
      <c r="O1" s="143"/>
      <c r="P1" s="143"/>
    </row>
    <row r="2" spans="1:23" s="38" customFormat="1" ht="3" customHeight="1">
      <c r="A2" s="626"/>
      <c r="B2" s="193"/>
      <c r="C2" s="193"/>
      <c r="D2" s="193"/>
      <c r="E2" s="193"/>
      <c r="F2" s="193"/>
      <c r="G2" s="193"/>
      <c r="H2" s="1753"/>
      <c r="I2" s="193"/>
      <c r="J2" s="193"/>
      <c r="K2" s="193"/>
      <c r="L2" s="193"/>
      <c r="M2" s="193"/>
      <c r="N2" s="627"/>
      <c r="O2" s="178"/>
      <c r="P2" s="178"/>
    </row>
    <row r="3" spans="1:23" s="134" customFormat="1" ht="54.75" customHeight="1">
      <c r="A3" s="557" t="s">
        <v>0</v>
      </c>
      <c r="B3" s="541" t="s">
        <v>369</v>
      </c>
      <c r="C3" s="541" t="s">
        <v>368</v>
      </c>
      <c r="D3" s="541" t="s">
        <v>367</v>
      </c>
      <c r="E3" s="541" t="s">
        <v>366</v>
      </c>
      <c r="F3" s="541" t="s">
        <v>365</v>
      </c>
      <c r="G3" s="541" t="s">
        <v>424</v>
      </c>
      <c r="H3" s="557" t="s">
        <v>133</v>
      </c>
      <c r="I3" s="541" t="s">
        <v>364</v>
      </c>
      <c r="J3" s="541" t="s">
        <v>363</v>
      </c>
      <c r="K3" s="541" t="s">
        <v>362</v>
      </c>
      <c r="L3" s="541" t="s">
        <v>361</v>
      </c>
      <c r="M3" s="541" t="s">
        <v>360</v>
      </c>
      <c r="N3" s="542" t="s">
        <v>229</v>
      </c>
      <c r="W3" s="173"/>
    </row>
    <row r="4" spans="1:23" s="77" customFormat="1" ht="15.75">
      <c r="A4" s="563" t="s">
        <v>215</v>
      </c>
      <c r="B4" s="539">
        <v>372</v>
      </c>
      <c r="C4" s="539">
        <v>339</v>
      </c>
      <c r="D4" s="539">
        <v>498</v>
      </c>
      <c r="E4" s="539">
        <v>11663</v>
      </c>
      <c r="F4" s="539">
        <v>458</v>
      </c>
      <c r="G4" s="539">
        <v>999</v>
      </c>
      <c r="H4" s="1798">
        <f>SUM(B4:G4)</f>
        <v>14329</v>
      </c>
      <c r="I4" s="621">
        <f t="shared" ref="I4:I12" si="0">B4/H4</f>
        <v>2.5961337148440226E-2</v>
      </c>
      <c r="J4" s="621">
        <f t="shared" ref="J4:J12" si="1">C4/H4</f>
        <v>2.3658315304626979E-2</v>
      </c>
      <c r="K4" s="621">
        <f t="shared" ref="K4:K12" si="2">D4/H4</f>
        <v>3.4754693279363529E-2</v>
      </c>
      <c r="L4" s="621">
        <f t="shared" ref="L4:L12" si="3">E4/H4</f>
        <v>0.81394375043617839</v>
      </c>
      <c r="M4" s="621">
        <f t="shared" ref="M4:M12" si="4">F4/H4</f>
        <v>3.196315165049899E-2</v>
      </c>
      <c r="N4" s="622">
        <f t="shared" ref="N4:N12" si="5">G4/H4</f>
        <v>6.9718752180891894E-2</v>
      </c>
    </row>
    <row r="5" spans="1:23" s="77" customFormat="1" ht="17.25" customHeight="1">
      <c r="A5" s="563" t="s">
        <v>184</v>
      </c>
      <c r="B5" s="539">
        <v>415</v>
      </c>
      <c r="C5" s="539">
        <v>357</v>
      </c>
      <c r="D5" s="539">
        <v>484</v>
      </c>
      <c r="E5" s="539">
        <v>13583</v>
      </c>
      <c r="F5" s="539">
        <v>519</v>
      </c>
      <c r="G5" s="539">
        <v>1513</v>
      </c>
      <c r="H5" s="1798">
        <f t="shared" ref="H5:H10" si="6">SUM(B5:G5)</f>
        <v>16871</v>
      </c>
      <c r="I5" s="621">
        <f t="shared" si="0"/>
        <v>2.4598423329974514E-2</v>
      </c>
      <c r="J5" s="621">
        <f t="shared" si="1"/>
        <v>2.1160571394700966E-2</v>
      </c>
      <c r="K5" s="621">
        <f t="shared" si="2"/>
        <v>2.8688281666765455E-2</v>
      </c>
      <c r="L5" s="621">
        <f t="shared" si="3"/>
        <v>0.80510935925552729</v>
      </c>
      <c r="M5" s="621">
        <f t="shared" si="4"/>
        <v>3.0762847489775355E-2</v>
      </c>
      <c r="N5" s="622">
        <f t="shared" si="5"/>
        <v>8.9680516863256482E-2</v>
      </c>
    </row>
    <row r="6" spans="1:23" s="77" customFormat="1" ht="15.75">
      <c r="A6" s="563" t="s">
        <v>216</v>
      </c>
      <c r="B6" s="539">
        <v>472</v>
      </c>
      <c r="C6" s="539">
        <v>799</v>
      </c>
      <c r="D6" s="539">
        <v>550</v>
      </c>
      <c r="E6" s="539">
        <v>17568</v>
      </c>
      <c r="F6" s="539">
        <v>540</v>
      </c>
      <c r="G6" s="539">
        <v>1260</v>
      </c>
      <c r="H6" s="1798">
        <f t="shared" si="6"/>
        <v>21189</v>
      </c>
      <c r="I6" s="621">
        <f t="shared" si="0"/>
        <v>2.2275709094341404E-2</v>
      </c>
      <c r="J6" s="621">
        <f t="shared" si="1"/>
        <v>3.770824484402284E-2</v>
      </c>
      <c r="K6" s="621">
        <f t="shared" si="2"/>
        <v>2.5956864410779178E-2</v>
      </c>
      <c r="L6" s="621">
        <f t="shared" si="3"/>
        <v>0.82910944357921568</v>
      </c>
      <c r="M6" s="621">
        <f t="shared" si="4"/>
        <v>2.5484921421492283E-2</v>
      </c>
      <c r="N6" s="622">
        <f t="shared" si="5"/>
        <v>5.9464816650148661E-2</v>
      </c>
    </row>
    <row r="7" spans="1:23" s="77" customFormat="1" ht="15.75">
      <c r="A7" s="563" t="s">
        <v>457</v>
      </c>
      <c r="B7" s="539">
        <v>554</v>
      </c>
      <c r="C7" s="539">
        <v>1203</v>
      </c>
      <c r="D7" s="539">
        <v>541</v>
      </c>
      <c r="E7" s="539">
        <v>22091</v>
      </c>
      <c r="F7" s="539">
        <v>651</v>
      </c>
      <c r="G7" s="539">
        <v>1261</v>
      </c>
      <c r="H7" s="1798">
        <f t="shared" si="6"/>
        <v>26301</v>
      </c>
      <c r="I7" s="621">
        <f t="shared" si="0"/>
        <v>2.1063837876886812E-2</v>
      </c>
      <c r="J7" s="621">
        <f t="shared" si="1"/>
        <v>4.5739705714611611E-2</v>
      </c>
      <c r="K7" s="621">
        <f t="shared" si="2"/>
        <v>2.0569560092772138E-2</v>
      </c>
      <c r="L7" s="621">
        <f t="shared" si="3"/>
        <v>0.83993004068286381</v>
      </c>
      <c r="M7" s="621">
        <f t="shared" si="4"/>
        <v>2.4751910573742444E-2</v>
      </c>
      <c r="N7" s="622">
        <f t="shared" si="5"/>
        <v>4.794494505912323E-2</v>
      </c>
    </row>
    <row r="8" spans="1:23" s="77" customFormat="1" ht="15.75">
      <c r="A8" s="563" t="s">
        <v>534</v>
      </c>
      <c r="B8" s="539">
        <v>1154</v>
      </c>
      <c r="C8" s="539">
        <v>954</v>
      </c>
      <c r="D8" s="539">
        <v>428</v>
      </c>
      <c r="E8" s="539">
        <v>23762</v>
      </c>
      <c r="F8" s="539">
        <v>650</v>
      </c>
      <c r="G8" s="539">
        <v>1804</v>
      </c>
      <c r="H8" s="1798">
        <f t="shared" si="6"/>
        <v>28752</v>
      </c>
      <c r="I8" s="621">
        <f t="shared" si="0"/>
        <v>4.013633834168058E-2</v>
      </c>
      <c r="J8" s="621">
        <f t="shared" si="1"/>
        <v>3.3180300500834724E-2</v>
      </c>
      <c r="K8" s="621">
        <f t="shared" si="2"/>
        <v>1.4885920979410128E-2</v>
      </c>
      <c r="L8" s="621">
        <f t="shared" si="3"/>
        <v>0.82644685587089595</v>
      </c>
      <c r="M8" s="621">
        <f t="shared" si="4"/>
        <v>2.2607122982749025E-2</v>
      </c>
      <c r="N8" s="622">
        <f t="shared" si="5"/>
        <v>6.2743461324429609E-2</v>
      </c>
      <c r="O8" s="156"/>
    </row>
    <row r="9" spans="1:23" s="77" customFormat="1" ht="15.75">
      <c r="A9" s="563" t="s">
        <v>541</v>
      </c>
      <c r="B9" s="539">
        <v>1182</v>
      </c>
      <c r="C9" s="539">
        <v>1127</v>
      </c>
      <c r="D9" s="539">
        <v>628</v>
      </c>
      <c r="E9" s="539">
        <v>24972</v>
      </c>
      <c r="F9" s="539">
        <v>777</v>
      </c>
      <c r="G9" s="539">
        <v>1645</v>
      </c>
      <c r="H9" s="1798">
        <f t="shared" si="6"/>
        <v>30331</v>
      </c>
      <c r="I9" s="621">
        <f t="shared" si="0"/>
        <v>3.8970030661699254E-2</v>
      </c>
      <c r="J9" s="621">
        <f t="shared" si="1"/>
        <v>3.7156704361873988E-2</v>
      </c>
      <c r="K9" s="621">
        <f t="shared" si="2"/>
        <v>2.070488938709571E-2</v>
      </c>
      <c r="L9" s="621">
        <f t="shared" si="3"/>
        <v>0.82331607925884409</v>
      </c>
      <c r="M9" s="621">
        <f t="shared" si="4"/>
        <v>2.5617355181167784E-2</v>
      </c>
      <c r="N9" s="622">
        <f t="shared" si="5"/>
        <v>5.4234941149319177E-2</v>
      </c>
    </row>
    <row r="10" spans="1:23" s="77" customFormat="1" ht="15.75">
      <c r="A10" s="563" t="s">
        <v>900</v>
      </c>
      <c r="B10" s="539">
        <v>1070</v>
      </c>
      <c r="C10" s="539">
        <v>1209</v>
      </c>
      <c r="D10" s="539">
        <v>222</v>
      </c>
      <c r="E10" s="539">
        <v>28671</v>
      </c>
      <c r="F10" s="539">
        <v>761</v>
      </c>
      <c r="G10" s="539">
        <v>1917</v>
      </c>
      <c r="H10" s="1798">
        <f t="shared" si="6"/>
        <v>33850</v>
      </c>
      <c r="I10" s="621">
        <f t="shared" si="0"/>
        <v>3.1610044313146235E-2</v>
      </c>
      <c r="J10" s="621">
        <f t="shared" si="1"/>
        <v>3.5716395864106354E-2</v>
      </c>
      <c r="K10" s="621">
        <f t="shared" si="2"/>
        <v>6.5583456425406207E-3</v>
      </c>
      <c r="L10" s="621">
        <f t="shared" si="3"/>
        <v>0.8470014771048745</v>
      </c>
      <c r="M10" s="621">
        <f t="shared" si="4"/>
        <v>2.2481536189069423E-2</v>
      </c>
      <c r="N10" s="622">
        <f t="shared" si="5"/>
        <v>5.6632200886262925E-2</v>
      </c>
    </row>
    <row r="11" spans="1:23" s="77" customFormat="1" ht="15.75">
      <c r="A11" s="563" t="s">
        <v>1012</v>
      </c>
      <c r="B11" s="539">
        <f>89+116+153+138</f>
        <v>496</v>
      </c>
      <c r="C11" s="539">
        <f>91+123+111+90</f>
        <v>415</v>
      </c>
      <c r="D11" s="539">
        <f>15+19+22+14</f>
        <v>70</v>
      </c>
      <c r="E11" s="539">
        <f>2007+2380+2908+2759</f>
        <v>10054</v>
      </c>
      <c r="F11" s="539">
        <f>65+49+89+81</f>
        <v>284</v>
      </c>
      <c r="G11" s="539">
        <v>701</v>
      </c>
      <c r="H11" s="1798">
        <f>SUM(B11:G11)</f>
        <v>12020</v>
      </c>
      <c r="I11" s="621">
        <f t="shared" ref="I11" si="7">B11/H11</f>
        <v>4.1264559068219631E-2</v>
      </c>
      <c r="J11" s="621">
        <f t="shared" ref="J11" si="8">C11/H11</f>
        <v>3.4525790349417634E-2</v>
      </c>
      <c r="K11" s="621">
        <f t="shared" ref="K11" si="9">D11/H11</f>
        <v>5.8236272878535774E-3</v>
      </c>
      <c r="L11" s="621">
        <f t="shared" ref="L11" si="10">E11/H11</f>
        <v>0.83643926788685519</v>
      </c>
      <c r="M11" s="621">
        <f t="shared" ref="M11" si="11">F11/H11</f>
        <v>2.3627287853577372E-2</v>
      </c>
      <c r="N11" s="622">
        <f t="shared" ref="N11" si="12">G11/H11</f>
        <v>5.8319467554076541E-2</v>
      </c>
      <c r="O11" s="1458"/>
    </row>
    <row r="12" spans="1:23" s="879" customFormat="1" ht="15.75">
      <c r="A12" s="557" t="s">
        <v>23</v>
      </c>
      <c r="B12" s="633">
        <f>SUM(B4:B11)</f>
        <v>5715</v>
      </c>
      <c r="C12" s="633">
        <f t="shared" ref="C12:G12" si="13">SUM(C4:C11)</f>
        <v>6403</v>
      </c>
      <c r="D12" s="633">
        <f t="shared" si="13"/>
        <v>3421</v>
      </c>
      <c r="E12" s="633">
        <f t="shared" si="13"/>
        <v>152364</v>
      </c>
      <c r="F12" s="633">
        <f t="shared" si="13"/>
        <v>4640</v>
      </c>
      <c r="G12" s="633">
        <f t="shared" si="13"/>
        <v>11100</v>
      </c>
      <c r="H12" s="1530">
        <f>SUM(H4:H11)</f>
        <v>183643</v>
      </c>
      <c r="I12" s="635">
        <f t="shared" si="0"/>
        <v>3.1120162489177372E-2</v>
      </c>
      <c r="J12" s="635">
        <f t="shared" si="1"/>
        <v>3.4866561752966353E-2</v>
      </c>
      <c r="K12" s="635">
        <f t="shared" si="2"/>
        <v>1.8628534711369341E-2</v>
      </c>
      <c r="L12" s="635">
        <f t="shared" si="3"/>
        <v>0.82967496719177969</v>
      </c>
      <c r="M12" s="635">
        <f t="shared" si="4"/>
        <v>2.5266413639507088E-2</v>
      </c>
      <c r="N12" s="636">
        <f t="shared" si="5"/>
        <v>6.0443360215200144E-2</v>
      </c>
    </row>
    <row r="13" spans="1:23" s="77" customFormat="1">
      <c r="A13" s="628"/>
      <c r="B13" s="629"/>
      <c r="C13" s="629"/>
      <c r="D13" s="629"/>
      <c r="E13" s="629"/>
      <c r="F13" s="629"/>
      <c r="G13" s="629"/>
      <c r="H13" s="1799"/>
      <c r="I13" s="74"/>
      <c r="J13" s="74"/>
      <c r="K13" s="74"/>
      <c r="L13" s="74"/>
      <c r="M13" s="74"/>
      <c r="N13" s="74"/>
    </row>
    <row r="14" spans="1:23" s="77" customFormat="1">
      <c r="A14" s="150"/>
      <c r="B14" s="141"/>
      <c r="C14" s="141"/>
      <c r="D14" s="141"/>
      <c r="E14" s="141"/>
      <c r="F14" s="141"/>
      <c r="G14" s="141"/>
      <c r="H14" s="1754"/>
    </row>
    <row r="15" spans="1:23" s="77" customFormat="1">
      <c r="A15" s="150"/>
      <c r="B15" s="141"/>
      <c r="C15" s="141"/>
      <c r="D15" s="141"/>
      <c r="E15" s="141"/>
      <c r="F15" s="141"/>
      <c r="G15" s="141"/>
      <c r="H15" s="1754"/>
    </row>
    <row r="16" spans="1:23" s="77" customFormat="1">
      <c r="A16" s="150"/>
      <c r="B16" s="141"/>
      <c r="C16" s="141"/>
      <c r="D16" s="141"/>
      <c r="E16" s="141"/>
      <c r="F16" s="141"/>
      <c r="G16" s="141"/>
      <c r="H16" s="1754"/>
    </row>
    <row r="17" spans="1:14" s="77" customFormat="1">
      <c r="A17" s="151"/>
      <c r="H17" s="1754"/>
    </row>
    <row r="18" spans="1:14" s="77" customFormat="1">
      <c r="A18" s="151"/>
      <c r="H18" s="1754"/>
    </row>
    <row r="19" spans="1:14" s="77" customFormat="1">
      <c r="A19" s="151"/>
      <c r="H19" s="1754"/>
    </row>
    <row r="20" spans="1:14" s="77" customFormat="1">
      <c r="A20" s="151"/>
      <c r="H20" s="1754"/>
    </row>
    <row r="21" spans="1:14" s="77" customFormat="1">
      <c r="A21" s="151"/>
      <c r="H21" s="1754"/>
    </row>
    <row r="22" spans="1:14" s="77" customFormat="1">
      <c r="A22" s="151"/>
      <c r="H22" s="1754"/>
    </row>
    <row r="23" spans="1:14">
      <c r="A23" s="151"/>
      <c r="B23" s="77"/>
      <c r="C23" s="77"/>
      <c r="D23" s="77"/>
      <c r="E23" s="77"/>
      <c r="F23" s="77"/>
      <c r="G23" s="77"/>
      <c r="H23" s="1754"/>
      <c r="I23" s="77"/>
      <c r="J23" s="77"/>
      <c r="K23" s="77"/>
      <c r="L23" s="77"/>
      <c r="M23" s="77"/>
      <c r="N23" s="77"/>
    </row>
  </sheetData>
  <mergeCells count="1">
    <mergeCell ref="A1:N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P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P7" sqref="P7"/>
    </sheetView>
  </sheetViews>
  <sheetFormatPr baseColWidth="10" defaultColWidth="11.42578125" defaultRowHeight="15"/>
  <cols>
    <col min="1" max="1" width="33" style="39" customWidth="1"/>
    <col min="2" max="2" width="12" style="39" customWidth="1"/>
    <col min="3" max="3" width="12.5703125" style="39" customWidth="1"/>
    <col min="4" max="4" width="13.28515625" style="39" customWidth="1"/>
    <col min="5" max="7" width="14.42578125" style="39" customWidth="1"/>
    <col min="8" max="9" width="16.140625" style="39" customWidth="1"/>
    <col min="10" max="10" width="14.28515625" style="39" customWidth="1"/>
    <col min="11" max="11" width="18.85546875" style="39" customWidth="1"/>
    <col min="12" max="12" width="13.28515625" style="39" customWidth="1"/>
    <col min="13" max="14" width="11.42578125" style="39" customWidth="1"/>
    <col min="15" max="16384" width="11.42578125" style="39"/>
  </cols>
  <sheetData>
    <row r="1" spans="1:16" s="77" customFormat="1" ht="68.25" customHeight="1">
      <c r="A1" s="2227"/>
      <c r="B1" s="2227"/>
      <c r="C1" s="2227"/>
      <c r="D1" s="2227"/>
      <c r="E1" s="2227"/>
      <c r="F1" s="2227"/>
      <c r="G1" s="2227"/>
      <c r="H1" s="2227"/>
      <c r="I1" s="2227"/>
      <c r="J1" s="2227"/>
      <c r="K1" s="2227"/>
      <c r="L1" s="2227"/>
      <c r="M1" s="2227"/>
      <c r="N1" s="2227"/>
      <c r="O1" s="2227"/>
    </row>
    <row r="2" spans="1:16" s="77" customFormat="1" ht="8.25" customHeight="1">
      <c r="A2" s="2235"/>
      <c r="B2" s="2236"/>
      <c r="C2" s="2236"/>
      <c r="D2" s="2236"/>
      <c r="E2" s="2236"/>
      <c r="F2" s="2236"/>
      <c r="G2" s="2236"/>
      <c r="H2" s="2236"/>
      <c r="I2" s="2236"/>
      <c r="J2" s="2236"/>
      <c r="K2" s="2236"/>
      <c r="L2" s="2236"/>
      <c r="M2" s="2236"/>
      <c r="N2" s="2236"/>
      <c r="O2" s="2236"/>
    </row>
    <row r="3" spans="1:16" s="77" customFormat="1" ht="21" customHeight="1">
      <c r="A3" s="531" t="s">
        <v>371</v>
      </c>
      <c r="B3" s="534" t="s">
        <v>215</v>
      </c>
      <c r="C3" s="534" t="s">
        <v>184</v>
      </c>
      <c r="D3" s="534" t="s">
        <v>216</v>
      </c>
      <c r="E3" s="534" t="s">
        <v>457</v>
      </c>
      <c r="F3" s="534" t="s">
        <v>534</v>
      </c>
      <c r="G3" s="534" t="s">
        <v>541</v>
      </c>
      <c r="H3" s="534" t="s">
        <v>900</v>
      </c>
      <c r="I3" s="534" t="s">
        <v>1008</v>
      </c>
      <c r="J3" s="532" t="s">
        <v>133</v>
      </c>
      <c r="K3" s="535" t="s">
        <v>370</v>
      </c>
    </row>
    <row r="4" spans="1:16" s="77" customFormat="1" ht="15.75">
      <c r="A4" s="643" t="s">
        <v>373</v>
      </c>
      <c r="B4" s="533">
        <v>24</v>
      </c>
      <c r="C4" s="533">
        <v>18</v>
      </c>
      <c r="D4" s="533">
        <v>15</v>
      </c>
      <c r="E4" s="533">
        <v>17</v>
      </c>
      <c r="F4" s="533">
        <v>27</v>
      </c>
      <c r="G4" s="533">
        <v>17</v>
      </c>
      <c r="H4" s="533">
        <v>17</v>
      </c>
      <c r="I4" s="533">
        <v>8</v>
      </c>
      <c r="J4" s="943">
        <f>SUM(B4:I4)</f>
        <v>143</v>
      </c>
      <c r="K4" s="641">
        <f t="shared" ref="K4:K11" si="0">J4/$J$12</f>
        <v>7.7868473070032617E-4</v>
      </c>
      <c r="L4" s="18"/>
      <c r="M4" s="156"/>
    </row>
    <row r="5" spans="1:16" s="77" customFormat="1" ht="15.75">
      <c r="A5" s="643" t="s">
        <v>378</v>
      </c>
      <c r="B5" s="533">
        <v>81</v>
      </c>
      <c r="C5" s="533">
        <v>107</v>
      </c>
      <c r="D5" s="533">
        <v>174</v>
      </c>
      <c r="E5" s="533">
        <v>203</v>
      </c>
      <c r="F5" s="533">
        <v>236</v>
      </c>
      <c r="G5" s="533">
        <v>274</v>
      </c>
      <c r="H5" s="533">
        <v>297</v>
      </c>
      <c r="I5" s="533">
        <v>109</v>
      </c>
      <c r="J5" s="943">
        <f t="shared" ref="J5:J11" si="1">SUM(B5:I5)</f>
        <v>1481</v>
      </c>
      <c r="K5" s="641">
        <f t="shared" si="0"/>
        <v>8.0645600431271548E-3</v>
      </c>
      <c r="L5" s="18"/>
      <c r="M5" s="156"/>
    </row>
    <row r="6" spans="1:16" s="77" customFormat="1" ht="15.75">
      <c r="A6" s="643" t="s">
        <v>375</v>
      </c>
      <c r="B6" s="533">
        <v>542</v>
      </c>
      <c r="C6" s="533">
        <v>772</v>
      </c>
      <c r="D6" s="533">
        <v>743</v>
      </c>
      <c r="E6" s="533">
        <v>794</v>
      </c>
      <c r="F6" s="533">
        <v>879</v>
      </c>
      <c r="G6" s="533">
        <v>927</v>
      </c>
      <c r="H6" s="533">
        <v>988</v>
      </c>
      <c r="I6" s="533">
        <v>354</v>
      </c>
      <c r="J6" s="943">
        <f t="shared" si="1"/>
        <v>5999</v>
      </c>
      <c r="K6" s="641">
        <f t="shared" si="0"/>
        <v>3.2666641255043753E-2</v>
      </c>
      <c r="L6" s="18"/>
      <c r="M6" s="156"/>
    </row>
    <row r="7" spans="1:16" s="77" customFormat="1" ht="15.75">
      <c r="A7" s="643" t="s">
        <v>376</v>
      </c>
      <c r="B7" s="533">
        <v>1851</v>
      </c>
      <c r="C7" s="533">
        <v>1583</v>
      </c>
      <c r="D7" s="533">
        <v>1961</v>
      </c>
      <c r="E7" s="533">
        <v>2379</v>
      </c>
      <c r="F7" s="533">
        <v>2516</v>
      </c>
      <c r="G7" s="533">
        <v>2625</v>
      </c>
      <c r="H7" s="533">
        <v>2898</v>
      </c>
      <c r="I7" s="533">
        <v>641</v>
      </c>
      <c r="J7" s="943">
        <f t="shared" si="1"/>
        <v>16454</v>
      </c>
      <c r="K7" s="641">
        <f t="shared" si="0"/>
        <v>8.9597752160441732E-2</v>
      </c>
      <c r="L7" s="18"/>
      <c r="M7" s="156"/>
      <c r="P7" s="173"/>
    </row>
    <row r="8" spans="1:16" s="77" customFormat="1" ht="15.75">
      <c r="A8" s="643" t="s">
        <v>372</v>
      </c>
      <c r="B8" s="533">
        <v>2275</v>
      </c>
      <c r="C8" s="533">
        <v>2675</v>
      </c>
      <c r="D8" s="533">
        <v>2605</v>
      </c>
      <c r="E8" s="533">
        <v>3392</v>
      </c>
      <c r="F8" s="533">
        <v>4101</v>
      </c>
      <c r="G8" s="533">
        <v>4185</v>
      </c>
      <c r="H8" s="533">
        <v>4518</v>
      </c>
      <c r="I8" s="533">
        <v>1618</v>
      </c>
      <c r="J8" s="943">
        <f t="shared" si="1"/>
        <v>25369</v>
      </c>
      <c r="K8" s="641">
        <f t="shared" si="0"/>
        <v>0.13814302750445157</v>
      </c>
      <c r="L8" s="18"/>
      <c r="M8" s="156"/>
    </row>
    <row r="9" spans="1:16" s="77" customFormat="1" ht="15.75">
      <c r="A9" s="643" t="s">
        <v>379</v>
      </c>
      <c r="B9" s="533">
        <v>2805</v>
      </c>
      <c r="C9" s="533">
        <v>3727</v>
      </c>
      <c r="D9" s="533">
        <v>4775</v>
      </c>
      <c r="E9" s="533">
        <v>5981</v>
      </c>
      <c r="F9" s="533">
        <v>6728</v>
      </c>
      <c r="G9" s="533">
        <v>7364</v>
      </c>
      <c r="H9" s="533">
        <v>8853</v>
      </c>
      <c r="I9" s="533">
        <v>3268</v>
      </c>
      <c r="J9" s="943">
        <f t="shared" si="1"/>
        <v>43501</v>
      </c>
      <c r="K9" s="641">
        <f t="shared" si="0"/>
        <v>0.23687807321814608</v>
      </c>
      <c r="L9" s="18"/>
      <c r="M9" s="156"/>
    </row>
    <row r="10" spans="1:16" s="77" customFormat="1" ht="15.75">
      <c r="A10" s="643" t="s">
        <v>377</v>
      </c>
      <c r="B10" s="533">
        <v>3659</v>
      </c>
      <c r="C10" s="533">
        <v>4591</v>
      </c>
      <c r="D10" s="533">
        <v>5297</v>
      </c>
      <c r="E10" s="533">
        <v>6168</v>
      </c>
      <c r="F10" s="533">
        <v>5944</v>
      </c>
      <c r="G10" s="533">
        <v>6041</v>
      </c>
      <c r="H10" s="533">
        <v>6079</v>
      </c>
      <c r="I10" s="533">
        <v>2239</v>
      </c>
      <c r="J10" s="943">
        <f t="shared" si="1"/>
        <v>40018</v>
      </c>
      <c r="K10" s="641">
        <f t="shared" si="0"/>
        <v>0.21791192694521436</v>
      </c>
      <c r="L10" s="18"/>
      <c r="M10" s="156"/>
    </row>
    <row r="11" spans="1:16" s="77" customFormat="1" ht="15.75">
      <c r="A11" s="643" t="s">
        <v>374</v>
      </c>
      <c r="B11" s="533">
        <v>3092</v>
      </c>
      <c r="C11" s="533">
        <v>3398</v>
      </c>
      <c r="D11" s="533">
        <v>5619</v>
      </c>
      <c r="E11" s="533">
        <v>7367</v>
      </c>
      <c r="F11" s="533">
        <v>8321</v>
      </c>
      <c r="G11" s="533">
        <v>8898</v>
      </c>
      <c r="H11" s="533">
        <v>10200</v>
      </c>
      <c r="I11" s="533">
        <v>3783</v>
      </c>
      <c r="J11" s="943">
        <f t="shared" si="1"/>
        <v>50678</v>
      </c>
      <c r="K11" s="641">
        <f t="shared" si="0"/>
        <v>0.27595933414287505</v>
      </c>
      <c r="M11" s="156"/>
    </row>
    <row r="12" spans="1:16" s="77" customFormat="1" ht="15.75">
      <c r="A12" s="532" t="s">
        <v>23</v>
      </c>
      <c r="B12" s="634">
        <f>SUM(B4:B11)</f>
        <v>14329</v>
      </c>
      <c r="C12" s="634">
        <f>SUM(C4:C11)</f>
        <v>16871</v>
      </c>
      <c r="D12" s="634">
        <f t="shared" ref="D12:J12" si="2">SUM(D4:D11)</f>
        <v>21189</v>
      </c>
      <c r="E12" s="634">
        <f t="shared" si="2"/>
        <v>26301</v>
      </c>
      <c r="F12" s="634">
        <f t="shared" si="2"/>
        <v>28752</v>
      </c>
      <c r="G12" s="634">
        <f t="shared" si="2"/>
        <v>30331</v>
      </c>
      <c r="H12" s="1800">
        <f t="shared" si="2"/>
        <v>33850</v>
      </c>
      <c r="I12" s="1800">
        <f t="shared" si="2"/>
        <v>12020</v>
      </c>
      <c r="J12" s="1110">
        <f t="shared" si="2"/>
        <v>183643</v>
      </c>
      <c r="K12" s="642">
        <f>SUM(K4:K11)</f>
        <v>1</v>
      </c>
      <c r="L12" s="560"/>
    </row>
    <row r="13" spans="1:16" s="77" customFormat="1">
      <c r="I13" s="1458"/>
    </row>
    <row r="14" spans="1:16" s="77" customFormat="1">
      <c r="I14" s="1458"/>
    </row>
    <row r="15" spans="1:16" s="77" customFormat="1">
      <c r="I15" s="1458"/>
      <c r="P15" s="268"/>
    </row>
    <row r="16" spans="1:16" s="77" customFormat="1">
      <c r="I16" s="1458"/>
    </row>
    <row r="17" spans="9:16" s="77" customFormat="1">
      <c r="I17" s="1458"/>
    </row>
    <row r="18" spans="9:16" s="77" customFormat="1">
      <c r="I18" s="1458"/>
    </row>
    <row r="19" spans="9:16" s="77" customFormat="1">
      <c r="I19" s="1458"/>
    </row>
    <row r="20" spans="9:16" s="77" customFormat="1">
      <c r="I20" s="1458"/>
    </row>
    <row r="21" spans="9:16" s="77" customFormat="1">
      <c r="I21" s="1458"/>
      <c r="P21" s="268"/>
    </row>
    <row r="22" spans="9:16" s="77" customFormat="1">
      <c r="I22" s="1458"/>
      <c r="P22" s="268"/>
    </row>
    <row r="23" spans="9:16" s="77" customFormat="1">
      <c r="I23" s="1458"/>
    </row>
  </sheetData>
  <sortState ref="A4:K12">
    <sortCondition ref="J4"/>
  </sortState>
  <mergeCells count="2">
    <mergeCell ref="A1:O1"/>
    <mergeCell ref="A2:O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N23"/>
  <sheetViews>
    <sheetView showGridLines="0" view="pageBreakPreview" zoomScale="70" zoomScaleNormal="100" zoomScaleSheetLayoutView="70" workbookViewId="0">
      <pane xSplit="1" ySplit="3" topLeftCell="E5" activePane="bottomRight" state="frozen"/>
      <selection pane="topRight" activeCell="B1" sqref="B1"/>
      <selection pane="bottomLeft" activeCell="A4" sqref="A4"/>
      <selection pane="bottomRight" activeCell="P43" sqref="P43"/>
    </sheetView>
  </sheetViews>
  <sheetFormatPr baseColWidth="10" defaultColWidth="11.42578125" defaultRowHeight="15"/>
  <cols>
    <col min="1" max="1" width="45.42578125" style="39" customWidth="1"/>
    <col min="2" max="8" width="15.28515625" style="187" customWidth="1"/>
    <col min="9" max="9" width="17.7109375" style="187" customWidth="1"/>
    <col min="10" max="10" width="14.28515625" style="39" customWidth="1"/>
    <col min="11" max="11" width="25" style="39" customWidth="1"/>
    <col min="12" max="12" width="16.7109375" style="39" customWidth="1"/>
    <col min="13" max="13" width="19.28515625" style="39" customWidth="1"/>
    <col min="14" max="14" width="13" style="39" customWidth="1"/>
    <col min="15" max="16384" width="11.42578125" style="39"/>
  </cols>
  <sheetData>
    <row r="1" spans="1:14" s="77" customFormat="1" ht="74.25" customHeight="1">
      <c r="A1" s="2116"/>
      <c r="B1" s="2116"/>
      <c r="C1" s="2116"/>
      <c r="D1" s="2116"/>
      <c r="E1" s="2116"/>
      <c r="F1" s="2116"/>
      <c r="G1" s="2116"/>
      <c r="H1" s="2116"/>
      <c r="I1" s="2116"/>
      <c r="J1" s="2116"/>
      <c r="K1" s="2116"/>
      <c r="L1" s="2116"/>
      <c r="M1" s="2116"/>
      <c r="N1" s="2116"/>
    </row>
    <row r="2" spans="1:14" s="77" customFormat="1" ht="21" customHeight="1">
      <c r="A2" s="134"/>
      <c r="B2" s="151"/>
      <c r="C2" s="151"/>
      <c r="D2" s="151"/>
      <c r="E2" s="151"/>
      <c r="F2" s="151"/>
      <c r="G2" s="151"/>
      <c r="H2" s="151"/>
      <c r="I2" s="151"/>
      <c r="J2" s="134"/>
      <c r="K2" s="134"/>
      <c r="L2" s="134"/>
      <c r="M2" s="134"/>
      <c r="N2" s="134"/>
    </row>
    <row r="3" spans="1:14" s="931" customFormat="1" ht="23.25" customHeight="1">
      <c r="A3" s="644" t="s">
        <v>388</v>
      </c>
      <c r="B3" s="1062" t="s">
        <v>215</v>
      </c>
      <c r="C3" s="1062" t="s">
        <v>184</v>
      </c>
      <c r="D3" s="1062" t="s">
        <v>216</v>
      </c>
      <c r="E3" s="1116" t="s">
        <v>457</v>
      </c>
      <c r="F3" s="1116" t="s">
        <v>534</v>
      </c>
      <c r="G3" s="1116" t="s">
        <v>541</v>
      </c>
      <c r="H3" s="1116" t="s">
        <v>900</v>
      </c>
      <c r="I3" s="1116" t="s">
        <v>1008</v>
      </c>
      <c r="J3" s="1117" t="s">
        <v>133</v>
      </c>
      <c r="K3" s="1063" t="s">
        <v>370</v>
      </c>
    </row>
    <row r="4" spans="1:14" s="77" customFormat="1" ht="16.5" customHeight="1">
      <c r="A4" s="646" t="s">
        <v>387</v>
      </c>
      <c r="B4" s="975">
        <v>892</v>
      </c>
      <c r="C4" s="975">
        <v>730</v>
      </c>
      <c r="D4" s="975">
        <v>663</v>
      </c>
      <c r="E4" s="975">
        <v>372</v>
      </c>
      <c r="F4" s="975">
        <v>726</v>
      </c>
      <c r="G4" s="975">
        <v>843</v>
      </c>
      <c r="H4" s="975">
        <v>1039</v>
      </c>
      <c r="I4" s="975">
        <v>262</v>
      </c>
      <c r="J4" s="1102">
        <f>SUM(B4:I4)</f>
        <v>5527</v>
      </c>
      <c r="K4" s="1105">
        <f t="shared" ref="K4:K12" si="0">J4/$J$13</f>
        <v>3.0096437108955962E-2</v>
      </c>
    </row>
    <row r="5" spans="1:14" s="77" customFormat="1" ht="16.5" customHeight="1">
      <c r="A5" s="646" t="s">
        <v>386</v>
      </c>
      <c r="B5" s="975">
        <v>6315</v>
      </c>
      <c r="C5" s="975">
        <v>8043</v>
      </c>
      <c r="D5" s="975">
        <v>9764</v>
      </c>
      <c r="E5" s="975">
        <v>9145</v>
      </c>
      <c r="F5" s="975">
        <v>11271</v>
      </c>
      <c r="G5" s="975">
        <v>12179</v>
      </c>
      <c r="H5" s="975">
        <v>13564</v>
      </c>
      <c r="I5" s="975">
        <f>961+1134+1287+1271</f>
        <v>4653</v>
      </c>
      <c r="J5" s="1102">
        <f t="shared" ref="J5:J12" si="1">SUM(B5:I5)</f>
        <v>74934</v>
      </c>
      <c r="K5" s="1105">
        <f t="shared" si="0"/>
        <v>0.4080416895825052</v>
      </c>
    </row>
    <row r="6" spans="1:14" s="77" customFormat="1" ht="16.5" customHeight="1">
      <c r="A6" s="646" t="s">
        <v>385</v>
      </c>
      <c r="B6" s="975">
        <v>110</v>
      </c>
      <c r="C6" s="975">
        <v>78</v>
      </c>
      <c r="D6" s="975">
        <v>95</v>
      </c>
      <c r="E6" s="975">
        <v>60</v>
      </c>
      <c r="F6" s="975">
        <v>69</v>
      </c>
      <c r="G6" s="975">
        <v>70</v>
      </c>
      <c r="H6" s="975">
        <v>97</v>
      </c>
      <c r="I6" s="975">
        <f>7+7+19+23</f>
        <v>56</v>
      </c>
      <c r="J6" s="1102">
        <f t="shared" si="1"/>
        <v>635</v>
      </c>
      <c r="K6" s="1105">
        <f t="shared" si="0"/>
        <v>3.4577958321308192E-3</v>
      </c>
    </row>
    <row r="7" spans="1:14" s="77" customFormat="1" ht="16.5" customHeight="1">
      <c r="A7" s="646" t="s">
        <v>384</v>
      </c>
      <c r="B7" s="975">
        <v>475</v>
      </c>
      <c r="C7" s="975">
        <v>516</v>
      </c>
      <c r="D7" s="975">
        <v>610</v>
      </c>
      <c r="E7" s="975">
        <v>550</v>
      </c>
      <c r="F7" s="975">
        <v>810</v>
      </c>
      <c r="G7" s="975">
        <v>1067</v>
      </c>
      <c r="H7" s="975">
        <v>990</v>
      </c>
      <c r="I7" s="975">
        <f>54+86+97+88</f>
        <v>325</v>
      </c>
      <c r="J7" s="1102">
        <f t="shared" si="1"/>
        <v>5343</v>
      </c>
      <c r="K7" s="1105">
        <f t="shared" si="0"/>
        <v>2.9094493119803097E-2</v>
      </c>
    </row>
    <row r="8" spans="1:14" s="77" customFormat="1" ht="16.5" customHeight="1">
      <c r="A8" s="646" t="s">
        <v>383</v>
      </c>
      <c r="B8" s="975">
        <v>491</v>
      </c>
      <c r="C8" s="975">
        <v>567</v>
      </c>
      <c r="D8" s="975">
        <v>791</v>
      </c>
      <c r="E8" s="975">
        <v>588</v>
      </c>
      <c r="F8" s="975">
        <v>968</v>
      </c>
      <c r="G8" s="975">
        <v>1128</v>
      </c>
      <c r="H8" s="975">
        <v>1088</v>
      </c>
      <c r="I8" s="975">
        <f>82+92+116+135</f>
        <v>425</v>
      </c>
      <c r="J8" s="1102">
        <f t="shared" si="1"/>
        <v>6046</v>
      </c>
      <c r="K8" s="1105">
        <f t="shared" si="0"/>
        <v>3.2922572600099106E-2</v>
      </c>
    </row>
    <row r="9" spans="1:14" s="77" customFormat="1" ht="16.5" customHeight="1">
      <c r="A9" s="646" t="s">
        <v>382</v>
      </c>
      <c r="B9" s="975">
        <v>134</v>
      </c>
      <c r="C9" s="975">
        <v>151</v>
      </c>
      <c r="D9" s="975">
        <v>163</v>
      </c>
      <c r="E9" s="975">
        <v>103</v>
      </c>
      <c r="F9" s="975">
        <v>180</v>
      </c>
      <c r="G9" s="975">
        <v>228</v>
      </c>
      <c r="H9" s="975">
        <v>233</v>
      </c>
      <c r="I9" s="975">
        <f>127+188+325+198</f>
        <v>838</v>
      </c>
      <c r="J9" s="1102">
        <f t="shared" si="1"/>
        <v>2030</v>
      </c>
      <c r="K9" s="1105">
        <f t="shared" si="0"/>
        <v>1.105405596728435E-2</v>
      </c>
    </row>
    <row r="10" spans="1:14" s="77" customFormat="1" ht="16.5" customHeight="1">
      <c r="A10" s="646" t="s">
        <v>381</v>
      </c>
      <c r="B10" s="975">
        <v>1093</v>
      </c>
      <c r="C10" s="975">
        <v>1015</v>
      </c>
      <c r="D10" s="975">
        <v>1167</v>
      </c>
      <c r="E10" s="975">
        <v>1027</v>
      </c>
      <c r="F10" s="975">
        <v>1628</v>
      </c>
      <c r="G10" s="975">
        <v>1662</v>
      </c>
      <c r="H10" s="975">
        <v>1968</v>
      </c>
      <c r="I10" s="975">
        <f>127+188+325+198</f>
        <v>838</v>
      </c>
      <c r="J10" s="1102">
        <f t="shared" si="1"/>
        <v>10398</v>
      </c>
      <c r="K10" s="1105">
        <f t="shared" si="0"/>
        <v>5.6620726082671269E-2</v>
      </c>
    </row>
    <row r="11" spans="1:14" s="77" customFormat="1" ht="16.5" customHeight="1">
      <c r="A11" s="646" t="s">
        <v>380</v>
      </c>
      <c r="B11" s="975">
        <v>3053</v>
      </c>
      <c r="C11" s="975">
        <v>3558</v>
      </c>
      <c r="D11" s="975">
        <v>6057</v>
      </c>
      <c r="E11" s="975">
        <v>5508</v>
      </c>
      <c r="F11" s="975">
        <v>8078</v>
      </c>
      <c r="G11" s="975">
        <v>9780</v>
      </c>
      <c r="H11" s="975">
        <v>11075</v>
      </c>
      <c r="I11" s="975">
        <f>845+942+1146+1092</f>
        <v>4025</v>
      </c>
      <c r="J11" s="1102">
        <f t="shared" si="1"/>
        <v>51134</v>
      </c>
      <c r="K11" s="1105">
        <f t="shared" si="0"/>
        <v>0.27844241272468867</v>
      </c>
    </row>
    <row r="12" spans="1:14" s="77" customFormat="1" ht="16.5" customHeight="1">
      <c r="A12" s="646" t="s">
        <v>139</v>
      </c>
      <c r="B12" s="975">
        <v>1766</v>
      </c>
      <c r="C12" s="975">
        <v>2213</v>
      </c>
      <c r="D12" s="975">
        <v>1879</v>
      </c>
      <c r="E12" s="975">
        <f>26301-17353</f>
        <v>8948</v>
      </c>
      <c r="F12" s="975">
        <f>28752-23730</f>
        <v>5022</v>
      </c>
      <c r="G12" s="975">
        <f>30331-26957</f>
        <v>3374</v>
      </c>
      <c r="H12" s="975">
        <v>3796</v>
      </c>
      <c r="I12" s="975">
        <v>598</v>
      </c>
      <c r="J12" s="1102">
        <f t="shared" si="1"/>
        <v>27596</v>
      </c>
      <c r="K12" s="1105">
        <f t="shared" si="0"/>
        <v>0.15026981698186154</v>
      </c>
    </row>
    <row r="13" spans="1:14" s="77" customFormat="1" ht="18.75">
      <c r="A13" s="645" t="s">
        <v>23</v>
      </c>
      <c r="B13" s="544">
        <f t="shared" ref="B13:K13" si="2">SUM(B4:B12)</f>
        <v>14329</v>
      </c>
      <c r="C13" s="544">
        <f t="shared" si="2"/>
        <v>16871</v>
      </c>
      <c r="D13" s="544">
        <f t="shared" si="2"/>
        <v>21189</v>
      </c>
      <c r="E13" s="544">
        <f t="shared" si="2"/>
        <v>26301</v>
      </c>
      <c r="F13" s="544">
        <f t="shared" si="2"/>
        <v>28752</v>
      </c>
      <c r="G13" s="544">
        <f t="shared" si="2"/>
        <v>30331</v>
      </c>
      <c r="H13" s="544">
        <f t="shared" si="2"/>
        <v>33850</v>
      </c>
      <c r="I13" s="544">
        <f t="shared" si="2"/>
        <v>12020</v>
      </c>
      <c r="J13" s="1103">
        <f t="shared" si="2"/>
        <v>183643</v>
      </c>
      <c r="K13" s="1107">
        <f t="shared" si="2"/>
        <v>1</v>
      </c>
    </row>
    <row r="14" spans="1:14" s="77" customFormat="1" ht="15.75">
      <c r="B14" s="1661"/>
      <c r="C14" s="1661"/>
      <c r="D14" s="1661"/>
      <c r="E14" s="1661"/>
      <c r="F14" s="1661"/>
      <c r="G14" s="1661"/>
      <c r="H14" s="1661"/>
      <c r="I14" s="1754"/>
      <c r="J14" s="540"/>
    </row>
    <row r="15" spans="1:14" s="77" customFormat="1">
      <c r="B15" s="1661"/>
      <c r="C15" s="1661"/>
      <c r="D15" s="1661"/>
      <c r="E15" s="1661"/>
      <c r="F15" s="1661"/>
      <c r="G15" s="1661"/>
      <c r="H15" s="1661"/>
      <c r="I15" s="1754"/>
    </row>
    <row r="16" spans="1:14" s="77" customFormat="1">
      <c r="B16" s="1661"/>
      <c r="C16" s="1661"/>
      <c r="D16" s="1661"/>
      <c r="E16" s="1661"/>
      <c r="F16" s="1661"/>
      <c r="G16" s="1661"/>
      <c r="H16" s="1661"/>
      <c r="I16" s="1754"/>
    </row>
    <row r="17" spans="2:9" s="77" customFormat="1">
      <c r="B17" s="1661"/>
      <c r="C17" s="1661"/>
      <c r="D17" s="1661"/>
      <c r="E17" s="1661"/>
      <c r="F17" s="1661"/>
      <c r="G17" s="1661"/>
      <c r="H17" s="1661"/>
      <c r="I17" s="1754"/>
    </row>
    <row r="18" spans="2:9" s="77" customFormat="1">
      <c r="B18" s="1661"/>
      <c r="C18" s="1661"/>
      <c r="D18" s="1661"/>
      <c r="E18" s="1661"/>
      <c r="F18" s="1661"/>
      <c r="G18" s="1661"/>
      <c r="H18" s="1661"/>
      <c r="I18" s="1754"/>
    </row>
    <row r="19" spans="2:9" s="77" customFormat="1">
      <c r="B19" s="1661"/>
      <c r="C19" s="1661"/>
      <c r="D19" s="1661"/>
      <c r="E19" s="1661"/>
      <c r="F19" s="1661"/>
      <c r="G19" s="1661"/>
      <c r="H19" s="1661"/>
      <c r="I19" s="1754"/>
    </row>
    <row r="20" spans="2:9" s="77" customFormat="1">
      <c r="B20" s="1661"/>
      <c r="C20" s="1661"/>
      <c r="D20" s="1661"/>
      <c r="E20" s="1661"/>
      <c r="F20" s="1661"/>
      <c r="G20" s="1661"/>
      <c r="H20" s="1661"/>
      <c r="I20" s="1754"/>
    </row>
    <row r="21" spans="2:9" s="77" customFormat="1">
      <c r="B21" s="1661"/>
      <c r="C21" s="1661"/>
      <c r="D21" s="1661"/>
      <c r="E21" s="1661"/>
      <c r="F21" s="1661"/>
      <c r="G21" s="1661"/>
      <c r="H21" s="1661"/>
      <c r="I21" s="1754"/>
    </row>
    <row r="22" spans="2:9" s="77" customFormat="1">
      <c r="B22" s="1661"/>
      <c r="C22" s="1661"/>
      <c r="D22" s="1661"/>
      <c r="E22" s="1661"/>
      <c r="F22" s="1661"/>
      <c r="G22" s="1661"/>
      <c r="H22" s="1661"/>
      <c r="I22" s="1754"/>
    </row>
    <row r="23" spans="2:9" s="77" customFormat="1">
      <c r="B23" s="1661"/>
      <c r="C23" s="1661"/>
      <c r="D23" s="1661"/>
      <c r="E23" s="1661"/>
      <c r="F23" s="1661"/>
      <c r="G23" s="1661"/>
      <c r="H23" s="1661"/>
      <c r="I23" s="1754"/>
    </row>
  </sheetData>
  <mergeCells count="1">
    <mergeCell ref="A1:N1"/>
  </mergeCells>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3"/>
  <sheetViews>
    <sheetView showGridLines="0" view="pageBreakPreview" zoomScale="55" zoomScaleNormal="100" zoomScaleSheetLayoutView="55" workbookViewId="0">
      <selection activeCell="Q46" sqref="Q46"/>
    </sheetView>
  </sheetViews>
  <sheetFormatPr baseColWidth="10" defaultColWidth="11.42578125" defaultRowHeight="15"/>
  <cols>
    <col min="1" max="1" width="23.5703125" style="39" customWidth="1"/>
    <col min="2" max="2" width="26.5703125" style="39" customWidth="1"/>
    <col min="3" max="3" width="22.85546875" style="39" customWidth="1"/>
    <col min="4" max="4" width="12.28515625" style="39" customWidth="1"/>
    <col min="5" max="5" width="14.140625" style="39" customWidth="1"/>
    <col min="6" max="7" width="12.28515625" style="39" customWidth="1"/>
    <col min="8" max="8" width="15.7109375" style="39" customWidth="1"/>
    <col min="9" max="11" width="21.28515625" style="39" customWidth="1"/>
    <col min="12" max="13" width="13.28515625" style="39" customWidth="1"/>
    <col min="14" max="14" width="13.7109375" style="39" customWidth="1"/>
    <col min="15" max="16" width="11.7109375" style="39" customWidth="1"/>
    <col min="17" max="16384" width="11.42578125" style="39"/>
  </cols>
  <sheetData>
    <row r="1" spans="1:16" s="77" customFormat="1" ht="75" customHeight="1">
      <c r="A1" s="2107"/>
      <c r="B1" s="2107"/>
      <c r="C1" s="2107"/>
      <c r="D1" s="2107"/>
      <c r="E1" s="2107"/>
      <c r="F1" s="2107"/>
      <c r="G1" s="2107"/>
      <c r="H1" s="2107"/>
      <c r="I1" s="2107"/>
      <c r="J1" s="2107"/>
      <c r="K1" s="2107"/>
      <c r="L1" s="2107"/>
      <c r="M1" s="2107"/>
      <c r="N1" s="2107"/>
      <c r="O1" s="2107"/>
      <c r="P1" s="143"/>
    </row>
    <row r="2" spans="1:16" ht="3.75" customHeight="1">
      <c r="A2" s="177"/>
      <c r="B2" s="177"/>
      <c r="C2" s="978"/>
      <c r="D2" s="177"/>
      <c r="E2" s="177"/>
      <c r="F2" s="177"/>
      <c r="G2" s="177"/>
      <c r="H2" s="177"/>
      <c r="I2" s="177"/>
      <c r="J2" s="177"/>
      <c r="K2" s="177"/>
      <c r="L2" s="177"/>
      <c r="M2" s="177"/>
      <c r="N2" s="177"/>
      <c r="O2" s="177"/>
      <c r="P2" s="178"/>
    </row>
    <row r="3" spans="1:16" s="77" customFormat="1" ht="36.75" customHeight="1">
      <c r="A3" s="624" t="s">
        <v>0</v>
      </c>
      <c r="B3" s="630" t="s">
        <v>400</v>
      </c>
      <c r="C3" s="541" t="s">
        <v>696</v>
      </c>
      <c r="D3" s="557" t="s">
        <v>35</v>
      </c>
    </row>
    <row r="4" spans="1:16" s="77" customFormat="1" ht="18.75" customHeight="1">
      <c r="A4" s="1663" t="s">
        <v>215</v>
      </c>
      <c r="B4" s="1665">
        <v>10456</v>
      </c>
      <c r="C4" s="1665">
        <v>14329</v>
      </c>
      <c r="D4" s="1510">
        <f t="shared" ref="D4:D11" si="0">+B4/C4</f>
        <v>0.72970898178519084</v>
      </c>
    </row>
    <row r="5" spans="1:16" s="77" customFormat="1" ht="18.75" customHeight="1">
      <c r="A5" s="543" t="s">
        <v>184</v>
      </c>
      <c r="B5" s="1665">
        <v>13140</v>
      </c>
      <c r="C5" s="1665">
        <v>16871</v>
      </c>
      <c r="D5" s="1510">
        <f t="shared" si="0"/>
        <v>0.77885128326714481</v>
      </c>
    </row>
    <row r="6" spans="1:16" s="77" customFormat="1" ht="18.75" customHeight="1">
      <c r="A6" s="543" t="s">
        <v>216</v>
      </c>
      <c r="B6" s="1665">
        <v>17313</v>
      </c>
      <c r="C6" s="1665">
        <v>21189</v>
      </c>
      <c r="D6" s="1510">
        <f t="shared" si="0"/>
        <v>0.8170748973523998</v>
      </c>
      <c r="G6" s="750"/>
    </row>
    <row r="7" spans="1:16" s="77" customFormat="1" ht="18.75" customHeight="1">
      <c r="A7" s="543" t="s">
        <v>457</v>
      </c>
      <c r="B7" s="1665">
        <v>20883</v>
      </c>
      <c r="C7" s="1665">
        <v>26301</v>
      </c>
      <c r="D7" s="1510">
        <f t="shared" si="0"/>
        <v>0.79400022812820803</v>
      </c>
    </row>
    <row r="8" spans="1:16" s="77" customFormat="1" ht="18.75" customHeight="1">
      <c r="A8" s="543" t="s">
        <v>534</v>
      </c>
      <c r="B8" s="1665">
        <v>22389</v>
      </c>
      <c r="C8" s="1665">
        <v>28752</v>
      </c>
      <c r="D8" s="1510">
        <f t="shared" si="0"/>
        <v>0.77869365609348917</v>
      </c>
      <c r="F8" s="156"/>
      <c r="G8" s="539"/>
      <c r="H8" s="539"/>
    </row>
    <row r="9" spans="1:16" s="77" customFormat="1" ht="18.75" customHeight="1">
      <c r="A9" s="543" t="s">
        <v>541</v>
      </c>
      <c r="B9" s="1665">
        <v>25583</v>
      </c>
      <c r="C9" s="1665">
        <v>30331</v>
      </c>
      <c r="D9" s="1510">
        <f t="shared" si="0"/>
        <v>0.8434604859714484</v>
      </c>
      <c r="G9" s="539"/>
      <c r="H9" s="539"/>
    </row>
    <row r="10" spans="1:16" s="77" customFormat="1" ht="18.75" customHeight="1">
      <c r="A10" s="543" t="s">
        <v>900</v>
      </c>
      <c r="B10" s="1665">
        <v>29539</v>
      </c>
      <c r="C10" s="1665">
        <f>+'V.4.19. EC. x  lugar de accid.'!H13</f>
        <v>33850</v>
      </c>
      <c r="D10" s="1510">
        <f t="shared" si="0"/>
        <v>0.87264401772525846</v>
      </c>
      <c r="G10" s="539"/>
      <c r="H10" s="539"/>
    </row>
    <row r="11" spans="1:16" s="879" customFormat="1" ht="19.5" customHeight="1">
      <c r="A11" s="1664" t="s">
        <v>1008</v>
      </c>
      <c r="B11" s="1665">
        <f>2222+2831+2879+2800</f>
        <v>10732</v>
      </c>
      <c r="C11" s="1665">
        <f>+'V.4.19. EC. x  lugar de accid.'!I13</f>
        <v>12020</v>
      </c>
      <c r="D11" s="1510">
        <f t="shared" si="0"/>
        <v>0.89284525790349423</v>
      </c>
      <c r="G11" s="561"/>
      <c r="H11" s="561"/>
    </row>
    <row r="12" spans="1:16" s="77" customFormat="1" ht="15.75">
      <c r="A12" s="1530" t="s">
        <v>23</v>
      </c>
      <c r="B12" s="1666">
        <f>SUM(B4:B11)</f>
        <v>150035</v>
      </c>
      <c r="C12" s="1666">
        <f>SUM(C4:C11)</f>
        <v>183643</v>
      </c>
      <c r="D12" s="1509">
        <f>AVERAGE(D4:D11)</f>
        <v>0.8134098510283293</v>
      </c>
      <c r="E12" s="141"/>
      <c r="F12" s="141"/>
      <c r="G12" s="539"/>
      <c r="H12" s="539"/>
    </row>
    <row r="13" spans="1:16" s="77" customFormat="1" ht="15.75">
      <c r="A13" s="142"/>
      <c r="B13" s="141"/>
      <c r="C13" s="141"/>
      <c r="D13" s="141"/>
      <c r="E13" s="141"/>
      <c r="F13" s="141"/>
      <c r="G13" s="539"/>
      <c r="H13" s="539"/>
    </row>
    <row r="14" spans="1:16" s="77" customFormat="1" ht="15.75">
      <c r="A14" s="142"/>
      <c r="B14" s="141"/>
      <c r="C14" s="141"/>
      <c r="D14" s="141"/>
      <c r="E14" s="141"/>
      <c r="F14" s="141"/>
      <c r="G14" s="539"/>
      <c r="H14" s="539"/>
    </row>
    <row r="15" spans="1:16" s="77" customFormat="1">
      <c r="A15" s="142"/>
      <c r="B15" s="141"/>
      <c r="C15" s="141"/>
      <c r="D15" s="141"/>
      <c r="E15" s="141"/>
      <c r="F15" s="141"/>
      <c r="G15" s="141"/>
      <c r="H15" s="141"/>
    </row>
    <row r="16" spans="1:16" s="77" customFormat="1">
      <c r="A16" s="142"/>
      <c r="B16" s="141"/>
      <c r="C16" s="141"/>
      <c r="D16" s="141"/>
    </row>
    <row r="17" spans="1:4" s="77" customFormat="1"/>
    <row r="18" spans="1:4" s="77" customFormat="1"/>
    <row r="19" spans="1:4" s="77" customFormat="1"/>
    <row r="20" spans="1:4" s="77" customFormat="1"/>
    <row r="21" spans="1:4" s="77" customFormat="1"/>
    <row r="22" spans="1:4" s="77" customFormat="1"/>
    <row r="23" spans="1:4">
      <c r="A23" s="77"/>
      <c r="B23" s="77"/>
      <c r="C23" s="77"/>
      <c r="D23" s="77"/>
    </row>
  </sheetData>
  <mergeCells count="1">
    <mergeCell ref="A1:O1"/>
  </mergeCells>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4"/>
  <sheetViews>
    <sheetView showGridLines="0" view="pageBreakPreview" zoomScale="55" zoomScaleNormal="100" zoomScaleSheetLayoutView="55" workbookViewId="0">
      <selection activeCell="A4" sqref="A4"/>
    </sheetView>
  </sheetViews>
  <sheetFormatPr baseColWidth="10" defaultColWidth="11.42578125" defaultRowHeight="15"/>
  <cols>
    <col min="1" max="1" width="21" style="39" customWidth="1"/>
    <col min="2" max="2" width="13.28515625" style="39" customWidth="1"/>
    <col min="3" max="3" width="17.28515625" style="39" customWidth="1"/>
    <col min="4" max="4" width="13.85546875" style="187" customWidth="1"/>
    <col min="5" max="5" width="18.7109375" style="39" customWidth="1"/>
    <col min="6" max="6" width="17.85546875" style="39" customWidth="1"/>
    <col min="7" max="7" width="11.7109375" style="39" customWidth="1"/>
    <col min="8" max="8" width="13.7109375" style="39" customWidth="1"/>
    <col min="9" max="9" width="20" style="39" customWidth="1"/>
    <col min="10" max="10" width="18.85546875" style="39" customWidth="1"/>
    <col min="11" max="11" width="22.85546875" style="39" customWidth="1"/>
    <col min="12" max="12" width="14.140625" style="39" customWidth="1"/>
    <col min="13" max="13" width="11.42578125" style="39" customWidth="1"/>
    <col min="14" max="16384" width="11.42578125" style="39"/>
  </cols>
  <sheetData>
    <row r="1" spans="1:13" s="77" customFormat="1" ht="75.75" customHeight="1">
      <c r="A1" s="2227"/>
      <c r="B1" s="2227"/>
      <c r="C1" s="2227"/>
      <c r="D1" s="2227"/>
      <c r="E1" s="2227"/>
      <c r="F1" s="2227"/>
      <c r="G1" s="2227"/>
      <c r="H1" s="2227"/>
      <c r="I1" s="2227"/>
      <c r="J1" s="2227"/>
      <c r="K1" s="2227"/>
      <c r="L1" s="2227"/>
      <c r="M1" s="143"/>
    </row>
    <row r="2" spans="1:13" ht="3.75" customHeight="1">
      <c r="A2" s="2237"/>
      <c r="B2" s="2237"/>
      <c r="C2" s="2237"/>
      <c r="D2" s="2237"/>
      <c r="E2" s="2237"/>
      <c r="F2" s="2237"/>
      <c r="G2" s="2237"/>
      <c r="H2" s="2237"/>
      <c r="I2" s="2237"/>
      <c r="J2" s="2237"/>
      <c r="K2" s="2237"/>
      <c r="L2" s="2237"/>
      <c r="M2" s="178"/>
    </row>
    <row r="3" spans="1:13" s="77" customFormat="1" ht="24" customHeight="1">
      <c r="A3" s="1061" t="s">
        <v>0</v>
      </c>
      <c r="B3" s="1062" t="s">
        <v>346</v>
      </c>
      <c r="C3" s="1062" t="s">
        <v>345</v>
      </c>
      <c r="D3" s="1117" t="s">
        <v>133</v>
      </c>
      <c r="E3" s="1511" t="s">
        <v>391</v>
      </c>
      <c r="F3" s="1063" t="s">
        <v>390</v>
      </c>
    </row>
    <row r="4" spans="1:13" s="77" customFormat="1" ht="18.75">
      <c r="A4" s="346" t="s">
        <v>215</v>
      </c>
      <c r="B4" s="1064">
        <v>53</v>
      </c>
      <c r="C4" s="1065">
        <v>45</v>
      </c>
      <c r="D4" s="1514">
        <f t="shared" ref="D4:D9" si="0">SUM(B4:C4)</f>
        <v>98</v>
      </c>
      <c r="E4" s="1512">
        <f t="shared" ref="E4:E12" si="1">B4/D4</f>
        <v>0.54081632653061229</v>
      </c>
      <c r="F4" s="1066">
        <f t="shared" ref="F4:F12" si="2">C4/D4</f>
        <v>0.45918367346938777</v>
      </c>
      <c r="G4" s="18"/>
    </row>
    <row r="5" spans="1:13" s="77" customFormat="1" ht="18.75">
      <c r="A5" s="346" t="s">
        <v>184</v>
      </c>
      <c r="B5" s="1064">
        <v>95</v>
      </c>
      <c r="C5" s="1065">
        <v>153</v>
      </c>
      <c r="D5" s="1514">
        <f t="shared" si="0"/>
        <v>248</v>
      </c>
      <c r="E5" s="1512">
        <f t="shared" si="1"/>
        <v>0.38306451612903225</v>
      </c>
      <c r="F5" s="1066">
        <f t="shared" si="2"/>
        <v>0.61693548387096775</v>
      </c>
      <c r="G5" s="18"/>
      <c r="M5" s="39"/>
    </row>
    <row r="6" spans="1:13" s="77" customFormat="1" ht="18.75">
      <c r="A6" s="346" t="s">
        <v>216</v>
      </c>
      <c r="B6" s="1064">
        <v>226</v>
      </c>
      <c r="C6" s="1065">
        <v>169</v>
      </c>
      <c r="D6" s="1514">
        <f t="shared" si="0"/>
        <v>395</v>
      </c>
      <c r="E6" s="1512">
        <f t="shared" si="1"/>
        <v>0.57215189873417727</v>
      </c>
      <c r="F6" s="1066">
        <f t="shared" si="2"/>
        <v>0.42784810126582279</v>
      </c>
      <c r="G6" s="18"/>
      <c r="M6" s="39"/>
    </row>
    <row r="7" spans="1:13" s="77" customFormat="1" ht="18.75">
      <c r="A7" s="346" t="s">
        <v>457</v>
      </c>
      <c r="B7" s="1064">
        <v>191</v>
      </c>
      <c r="C7" s="1065">
        <v>251</v>
      </c>
      <c r="D7" s="1514">
        <f t="shared" si="0"/>
        <v>442</v>
      </c>
      <c r="E7" s="1512">
        <f t="shared" si="1"/>
        <v>0.4321266968325792</v>
      </c>
      <c r="F7" s="1066">
        <f t="shared" si="2"/>
        <v>0.5678733031674208</v>
      </c>
      <c r="G7" s="18"/>
      <c r="M7" s="39"/>
    </row>
    <row r="8" spans="1:13" s="77" customFormat="1" ht="18.75">
      <c r="A8" s="346" t="s">
        <v>534</v>
      </c>
      <c r="B8" s="1064">
        <v>118</v>
      </c>
      <c r="C8" s="1065">
        <v>384</v>
      </c>
      <c r="D8" s="1514">
        <f t="shared" si="0"/>
        <v>502</v>
      </c>
      <c r="E8" s="1512">
        <f>B8/D8</f>
        <v>0.23505976095617531</v>
      </c>
      <c r="F8" s="1066">
        <f>C8/D8</f>
        <v>0.76494023904382469</v>
      </c>
      <c r="G8" s="18"/>
      <c r="M8" s="39"/>
    </row>
    <row r="9" spans="1:13" s="77" customFormat="1" ht="18.75">
      <c r="A9" s="346" t="s">
        <v>541</v>
      </c>
      <c r="B9" s="1064">
        <v>122</v>
      </c>
      <c r="C9" s="1065">
        <v>300</v>
      </c>
      <c r="D9" s="1514">
        <f t="shared" si="0"/>
        <v>422</v>
      </c>
      <c r="E9" s="1512">
        <f>B9/D9</f>
        <v>0.2890995260663507</v>
      </c>
      <c r="F9" s="1066">
        <f>C9/D9</f>
        <v>0.7109004739336493</v>
      </c>
      <c r="G9" s="18"/>
      <c r="M9" s="39"/>
    </row>
    <row r="10" spans="1:13" s="77" customFormat="1" ht="18.75">
      <c r="A10" s="346" t="s">
        <v>900</v>
      </c>
      <c r="B10" s="1064">
        <v>102</v>
      </c>
      <c r="C10" s="1065">
        <v>243</v>
      </c>
      <c r="D10" s="1514">
        <f>SUM(B10:C10)</f>
        <v>345</v>
      </c>
      <c r="E10" s="1512">
        <f>B10/D10</f>
        <v>0.29565217391304349</v>
      </c>
      <c r="F10" s="1066">
        <f>C10/D10</f>
        <v>0.70434782608695656</v>
      </c>
      <c r="G10" s="18"/>
      <c r="M10" s="39"/>
    </row>
    <row r="11" spans="1:13" s="77" customFormat="1" ht="18.75">
      <c r="A11" s="346" t="s">
        <v>1008</v>
      </c>
      <c r="B11" s="1064">
        <f>4+7+7+11</f>
        <v>29</v>
      </c>
      <c r="C11" s="1065">
        <f>22+13+20+42</f>
        <v>97</v>
      </c>
      <c r="D11" s="1514">
        <f>SUM(B11:C11)</f>
        <v>126</v>
      </c>
      <c r="E11" s="1512">
        <f>B11/D11</f>
        <v>0.23015873015873015</v>
      </c>
      <c r="F11" s="1066">
        <f>C11/D11</f>
        <v>0.76984126984126988</v>
      </c>
      <c r="G11" s="18"/>
      <c r="M11" s="39"/>
    </row>
    <row r="12" spans="1:13" s="77" customFormat="1" ht="18.75">
      <c r="A12" s="645" t="s">
        <v>23</v>
      </c>
      <c r="B12" s="1118">
        <f>SUM(B4:B11)</f>
        <v>936</v>
      </c>
      <c r="C12" s="1118">
        <f>SUM(C4:C11)</f>
        <v>1642</v>
      </c>
      <c r="D12" s="1515">
        <f>SUM(D4:D11)</f>
        <v>2578</v>
      </c>
      <c r="E12" s="1513">
        <f t="shared" si="1"/>
        <v>0.36307214895267648</v>
      </c>
      <c r="F12" s="1067">
        <f t="shared" si="2"/>
        <v>0.63692785104732352</v>
      </c>
      <c r="M12" s="39"/>
    </row>
    <row r="13" spans="1:13" s="77" customFormat="1">
      <c r="A13" s="142"/>
      <c r="B13" s="141"/>
      <c r="C13" s="141"/>
      <c r="D13" s="1507"/>
      <c r="L13" s="39"/>
      <c r="M13" s="39"/>
    </row>
    <row r="14" spans="1:13" s="77" customFormat="1">
      <c r="A14" s="142"/>
      <c r="B14" s="141"/>
      <c r="C14" s="141"/>
      <c r="D14" s="1507"/>
      <c r="L14" s="39"/>
      <c r="M14" s="39"/>
    </row>
    <row r="15" spans="1:13" s="77" customFormat="1">
      <c r="A15" s="142"/>
      <c r="B15" s="141"/>
      <c r="C15" s="141"/>
      <c r="D15" s="1507"/>
    </row>
    <row r="16" spans="1:13" s="77" customFormat="1">
      <c r="A16" s="142"/>
      <c r="B16" s="141"/>
      <c r="C16" s="141"/>
      <c r="D16" s="1507"/>
    </row>
    <row r="17" spans="1:12" s="77" customFormat="1">
      <c r="D17" s="1507"/>
    </row>
    <row r="18" spans="1:12" s="77" customFormat="1">
      <c r="D18" s="1507"/>
    </row>
    <row r="19" spans="1:12" s="77" customFormat="1">
      <c r="D19" s="1507"/>
    </row>
    <row r="20" spans="1:12" s="77" customFormat="1">
      <c r="D20" s="1507"/>
    </row>
    <row r="21" spans="1:12" s="77" customFormat="1">
      <c r="D21" s="1507"/>
    </row>
    <row r="22" spans="1:12" s="77" customFormat="1">
      <c r="D22" s="1507"/>
    </row>
    <row r="23" spans="1:12">
      <c r="A23" s="77"/>
      <c r="B23" s="77"/>
      <c r="C23" s="77"/>
      <c r="D23" s="1507"/>
      <c r="E23" s="77"/>
      <c r="F23" s="77"/>
    </row>
    <row r="24" spans="1:12">
      <c r="L24" s="140"/>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5"/>
  <sheetViews>
    <sheetView showGridLines="0" view="pageBreakPreview" zoomScale="70" zoomScaleNormal="100" zoomScaleSheetLayoutView="70" workbookViewId="0">
      <selection activeCell="I6" sqref="I6"/>
    </sheetView>
  </sheetViews>
  <sheetFormatPr baseColWidth="10" defaultColWidth="11.42578125" defaultRowHeight="15"/>
  <cols>
    <col min="1" max="1" width="16" style="39" customWidth="1"/>
    <col min="2" max="3" width="12.28515625" style="39" customWidth="1"/>
    <col min="4" max="4" width="14.42578125" style="39" customWidth="1"/>
    <col min="5" max="5" width="13.42578125" style="39" customWidth="1"/>
    <col min="6" max="6" width="13.8554687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1.42578125" style="39" customWidth="1"/>
    <col min="14" max="16384" width="11.42578125" style="39"/>
  </cols>
  <sheetData>
    <row r="1" spans="1:13" s="77" customFormat="1" ht="66" customHeight="1">
      <c r="A1" s="2238"/>
      <c r="B1" s="2238"/>
      <c r="C1" s="2238"/>
      <c r="D1" s="2238"/>
      <c r="E1" s="2238"/>
      <c r="F1" s="2238"/>
      <c r="G1" s="2238"/>
      <c r="H1" s="2238"/>
      <c r="I1" s="2238"/>
      <c r="J1" s="2238"/>
      <c r="K1" s="2238"/>
      <c r="L1" s="2238"/>
      <c r="M1" s="143"/>
    </row>
    <row r="2" spans="1:13" ht="8.25" customHeight="1">
      <c r="A2" s="193"/>
      <c r="B2" s="193"/>
      <c r="C2" s="193"/>
      <c r="D2" s="193"/>
      <c r="E2" s="193"/>
      <c r="F2" s="193"/>
      <c r="G2" s="193"/>
      <c r="H2" s="193"/>
      <c r="I2" s="193"/>
      <c r="J2" s="193"/>
      <c r="K2" s="193"/>
      <c r="L2" s="193"/>
      <c r="M2" s="178"/>
    </row>
    <row r="3" spans="1:13" s="77" customFormat="1" ht="21.75" customHeight="1">
      <c r="A3" s="1802" t="s">
        <v>0</v>
      </c>
      <c r="B3" s="1516" t="s">
        <v>346</v>
      </c>
      <c r="C3" s="1516" t="s">
        <v>345</v>
      </c>
      <c r="D3" s="558" t="s">
        <v>133</v>
      </c>
      <c r="E3" s="1517" t="s">
        <v>391</v>
      </c>
      <c r="F3" s="1518" t="s">
        <v>390</v>
      </c>
    </row>
    <row r="4" spans="1:13" s="77" customFormat="1" ht="15.75">
      <c r="A4" s="1801" t="s">
        <v>215</v>
      </c>
      <c r="B4" s="1519">
        <v>65</v>
      </c>
      <c r="C4" s="1520">
        <v>86</v>
      </c>
      <c r="D4" s="1521">
        <f t="shared" ref="D4:D11" si="0">SUM(B4:C4)</f>
        <v>151</v>
      </c>
      <c r="E4" s="1522">
        <f>B5/D4</f>
        <v>0.58940397350993379</v>
      </c>
      <c r="F4" s="1523">
        <f>C5/D4</f>
        <v>0.37748344370860926</v>
      </c>
      <c r="G4" s="18"/>
    </row>
    <row r="5" spans="1:13" s="77" customFormat="1" ht="15.75">
      <c r="A5" s="620" t="s">
        <v>184</v>
      </c>
      <c r="B5" s="1519">
        <v>89</v>
      </c>
      <c r="C5" s="1520">
        <v>57</v>
      </c>
      <c r="D5" s="1521">
        <f t="shared" si="0"/>
        <v>146</v>
      </c>
      <c r="E5" s="1522">
        <f t="shared" ref="E5:E12" si="1">B5/D5</f>
        <v>0.6095890410958904</v>
      </c>
      <c r="F5" s="1523">
        <f t="shared" ref="F5:F12" si="2">C5/D5</f>
        <v>0.3904109589041096</v>
      </c>
      <c r="G5" s="18"/>
      <c r="M5" s="39"/>
    </row>
    <row r="6" spans="1:13" s="77" customFormat="1" ht="15.75">
      <c r="A6" s="620" t="s">
        <v>216</v>
      </c>
      <c r="B6" s="1519">
        <v>86</v>
      </c>
      <c r="C6" s="1520">
        <v>86</v>
      </c>
      <c r="D6" s="1521">
        <f t="shared" si="0"/>
        <v>172</v>
      </c>
      <c r="E6" s="1522">
        <f t="shared" si="1"/>
        <v>0.5</v>
      </c>
      <c r="F6" s="1523">
        <f t="shared" si="2"/>
        <v>0.5</v>
      </c>
      <c r="G6" s="18"/>
      <c r="M6" s="39"/>
    </row>
    <row r="7" spans="1:13" s="77" customFormat="1" ht="15.75">
      <c r="A7" s="611" t="s">
        <v>457</v>
      </c>
      <c r="B7" s="1519">
        <v>45</v>
      </c>
      <c r="C7" s="1520">
        <v>77</v>
      </c>
      <c r="D7" s="1521">
        <f t="shared" si="0"/>
        <v>122</v>
      </c>
      <c r="E7" s="1522">
        <f t="shared" si="1"/>
        <v>0.36885245901639346</v>
      </c>
      <c r="F7" s="1523">
        <f t="shared" si="2"/>
        <v>0.63114754098360659</v>
      </c>
      <c r="G7" s="18"/>
      <c r="M7" s="39"/>
    </row>
    <row r="8" spans="1:13" s="77" customFormat="1" ht="15.75">
      <c r="A8" s="611" t="s">
        <v>534</v>
      </c>
      <c r="B8" s="1519">
        <v>79</v>
      </c>
      <c r="C8" s="1520">
        <v>133</v>
      </c>
      <c r="D8" s="1521">
        <f t="shared" si="0"/>
        <v>212</v>
      </c>
      <c r="E8" s="1522">
        <f t="shared" si="1"/>
        <v>0.37264150943396224</v>
      </c>
      <c r="F8" s="1523">
        <f t="shared" si="2"/>
        <v>0.62735849056603776</v>
      </c>
      <c r="G8" s="18"/>
      <c r="M8" s="39"/>
    </row>
    <row r="9" spans="1:13" s="77" customFormat="1" ht="15.75">
      <c r="A9" s="611" t="s">
        <v>541</v>
      </c>
      <c r="B9" s="1519">
        <v>66</v>
      </c>
      <c r="C9" s="1520">
        <v>115</v>
      </c>
      <c r="D9" s="1521">
        <f t="shared" si="0"/>
        <v>181</v>
      </c>
      <c r="E9" s="1522">
        <f t="shared" si="1"/>
        <v>0.36464088397790057</v>
      </c>
      <c r="F9" s="1523">
        <f t="shared" si="2"/>
        <v>0.63535911602209949</v>
      </c>
      <c r="G9" s="18"/>
      <c r="M9" s="39"/>
    </row>
    <row r="10" spans="1:13" s="77" customFormat="1" ht="15.75">
      <c r="A10" s="611" t="s">
        <v>900</v>
      </c>
      <c r="B10" s="1519">
        <v>99</v>
      </c>
      <c r="C10" s="1520">
        <v>176</v>
      </c>
      <c r="D10" s="1521">
        <f t="shared" si="0"/>
        <v>275</v>
      </c>
      <c r="E10" s="1522">
        <f t="shared" si="1"/>
        <v>0.36</v>
      </c>
      <c r="F10" s="1523">
        <f t="shared" si="2"/>
        <v>0.64</v>
      </c>
      <c r="G10" s="18"/>
      <c r="M10" s="39"/>
    </row>
    <row r="11" spans="1:13" s="1458" customFormat="1" ht="15.75">
      <c r="A11" s="632" t="s">
        <v>1012</v>
      </c>
      <c r="B11" s="1911">
        <f>10+11+12+17</f>
        <v>50</v>
      </c>
      <c r="C11" s="1665">
        <f>11+17+9+25</f>
        <v>62</v>
      </c>
      <c r="D11" s="1912">
        <f t="shared" si="0"/>
        <v>112</v>
      </c>
      <c r="E11" s="1522">
        <f t="shared" ref="E11" si="3">B11/D11</f>
        <v>0.44642857142857145</v>
      </c>
      <c r="F11" s="1523">
        <f t="shared" ref="F11" si="4">C11/D11</f>
        <v>0.5535714285714286</v>
      </c>
      <c r="G11" s="18"/>
      <c r="M11" s="39"/>
    </row>
    <row r="12" spans="1:13" s="77" customFormat="1" ht="15.75">
      <c r="A12" s="1803" t="s">
        <v>23</v>
      </c>
      <c r="B12" s="1524">
        <f>SUM(B4:B11)</f>
        <v>579</v>
      </c>
      <c r="C12" s="1524">
        <f>SUM(C4:C11)</f>
        <v>792</v>
      </c>
      <c r="D12" s="1525">
        <f>SUM(D4:D10)</f>
        <v>1259</v>
      </c>
      <c r="E12" s="1526">
        <f t="shared" si="1"/>
        <v>0.45988880063542492</v>
      </c>
      <c r="F12" s="1527">
        <f t="shared" si="2"/>
        <v>0.62907069102462276</v>
      </c>
      <c r="G12" s="18"/>
      <c r="M12" s="39"/>
    </row>
    <row r="13" spans="1:13" s="77" customFormat="1">
      <c r="A13" s="142"/>
      <c r="B13" s="141"/>
      <c r="C13" s="141"/>
      <c r="M13" s="39"/>
    </row>
    <row r="14" spans="1:13" s="77" customFormat="1">
      <c r="A14" s="142"/>
      <c r="B14" s="141"/>
      <c r="C14" s="141"/>
      <c r="L14" s="39"/>
      <c r="M14" s="39"/>
    </row>
    <row r="15" spans="1:13" s="77" customFormat="1">
      <c r="A15" s="142"/>
      <c r="B15" s="141"/>
      <c r="C15" s="141"/>
      <c r="L15" s="39"/>
      <c r="M15" s="39"/>
    </row>
    <row r="16" spans="1:13" s="77" customFormat="1">
      <c r="A16" s="142"/>
      <c r="B16" s="141"/>
      <c r="C16" s="141"/>
    </row>
    <row r="17" spans="12:12" s="77" customFormat="1"/>
    <row r="18" spans="12:12" s="77" customFormat="1"/>
    <row r="19" spans="12:12" s="77" customFormat="1"/>
    <row r="20" spans="12:12" s="77" customFormat="1"/>
    <row r="21" spans="12:12" s="77" customFormat="1"/>
    <row r="22" spans="12:12" s="77" customFormat="1"/>
    <row r="23" spans="12:12" s="77" customFormat="1"/>
    <row r="25" spans="12:12">
      <c r="L25" s="140"/>
    </row>
  </sheetData>
  <mergeCells count="1">
    <mergeCell ref="A1:L1"/>
  </mergeCells>
  <printOptions horizontalCentered="1"/>
  <pageMargins left="0.39370078740157483" right="0.39370078740157483" top="0.23622047244094491" bottom="0.23622047244094491" header="0.31496062992125984" footer="0.31496062992125984"/>
  <pageSetup scale="81"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W25"/>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5.5703125" style="39" customWidth="1"/>
    <col min="2" max="4" width="12.28515625" style="39" customWidth="1"/>
    <col min="5" max="5" width="14.85546875" style="39" hidden="1" customWidth="1"/>
    <col min="6" max="6" width="14.42578125" style="39" customWidth="1"/>
    <col min="7" max="8" width="13.28515625" style="39" customWidth="1"/>
    <col min="9" max="9" width="13.42578125" style="39" customWidth="1"/>
    <col min="10" max="10" width="15.28515625" style="39" customWidth="1"/>
    <col min="11" max="11" width="19.140625" style="39" customWidth="1"/>
    <col min="12" max="12" width="22.28515625" style="39" customWidth="1"/>
    <col min="13" max="13" width="23.5703125" style="39" customWidth="1"/>
    <col min="14" max="14" width="11.42578125" style="39"/>
    <col min="15" max="15" width="16.28515625" style="39" customWidth="1"/>
    <col min="16" max="16" width="11.42578125" style="39" customWidth="1"/>
    <col min="17" max="16384" width="11.42578125" style="39"/>
  </cols>
  <sheetData>
    <row r="1" spans="1:23" s="77" customFormat="1" ht="67.5" customHeight="1">
      <c r="A1" s="2226"/>
      <c r="B1" s="2226"/>
      <c r="C1" s="2226"/>
      <c r="D1" s="2226"/>
      <c r="E1" s="2226"/>
      <c r="F1" s="2226"/>
      <c r="G1" s="2226"/>
      <c r="H1" s="2226"/>
      <c r="I1" s="2226"/>
      <c r="J1" s="2226"/>
      <c r="K1" s="2226"/>
      <c r="L1" s="2226"/>
      <c r="M1" s="2226"/>
      <c r="N1" s="143"/>
      <c r="O1" s="143"/>
      <c r="P1" s="143"/>
    </row>
    <row r="2" spans="1:23" ht="9" customHeight="1">
      <c r="A2" s="176"/>
      <c r="B2" s="176"/>
      <c r="C2" s="176"/>
      <c r="D2" s="176"/>
      <c r="E2" s="176"/>
      <c r="F2" s="176"/>
      <c r="G2" s="176"/>
      <c r="H2" s="176"/>
      <c r="I2" s="176"/>
      <c r="J2" s="176"/>
      <c r="K2" s="176"/>
      <c r="L2" s="176"/>
      <c r="M2" s="176"/>
      <c r="N2" s="178"/>
      <c r="O2" s="178"/>
      <c r="P2" s="178"/>
    </row>
    <row r="3" spans="1:23" s="77" customFormat="1" ht="31.5">
      <c r="A3" s="624" t="s">
        <v>0</v>
      </c>
      <c r="B3" s="541" t="s">
        <v>236</v>
      </c>
      <c r="C3" s="541" t="s">
        <v>235</v>
      </c>
      <c r="D3" s="541" t="s">
        <v>234</v>
      </c>
      <c r="E3" s="541" t="s">
        <v>233</v>
      </c>
      <c r="F3" s="557" t="s">
        <v>133</v>
      </c>
      <c r="G3" s="562" t="s">
        <v>232</v>
      </c>
      <c r="H3" s="541" t="s">
        <v>231</v>
      </c>
      <c r="I3" s="541" t="s">
        <v>230</v>
      </c>
      <c r="J3" s="542" t="s">
        <v>229</v>
      </c>
    </row>
    <row r="4" spans="1:23" s="77" customFormat="1" ht="15.75">
      <c r="A4" s="631" t="s">
        <v>215</v>
      </c>
      <c r="B4" s="1057">
        <v>34</v>
      </c>
      <c r="C4" s="1057">
        <v>28</v>
      </c>
      <c r="D4" s="1057">
        <v>2</v>
      </c>
      <c r="E4" s="1057">
        <v>1</v>
      </c>
      <c r="F4" s="1533">
        <f t="shared" ref="F4:F9" si="0">SUM(B4:E4)</f>
        <v>65</v>
      </c>
      <c r="G4" s="1528">
        <f t="shared" ref="G4:G12" si="1">B4/F4</f>
        <v>0.52307692307692311</v>
      </c>
      <c r="H4" s="637">
        <f t="shared" ref="H4:H12" si="2">C4/F4</f>
        <v>0.43076923076923079</v>
      </c>
      <c r="I4" s="637">
        <f t="shared" ref="I4:I12" si="3">D4/F4</f>
        <v>3.0769230769230771E-2</v>
      </c>
      <c r="J4" s="638">
        <f t="shared" ref="J4:J12" si="4">E4/F4</f>
        <v>1.5384615384615385E-2</v>
      </c>
    </row>
    <row r="5" spans="1:23" s="77" customFormat="1" ht="15.75">
      <c r="A5" s="631" t="s">
        <v>184</v>
      </c>
      <c r="B5" s="1057">
        <v>20</v>
      </c>
      <c r="C5" s="1057">
        <v>64</v>
      </c>
      <c r="D5" s="1057">
        <v>5</v>
      </c>
      <c r="E5" s="1057">
        <v>0</v>
      </c>
      <c r="F5" s="1533">
        <f t="shared" si="0"/>
        <v>89</v>
      </c>
      <c r="G5" s="1528">
        <f t="shared" si="1"/>
        <v>0.2247191011235955</v>
      </c>
      <c r="H5" s="637">
        <f t="shared" si="2"/>
        <v>0.7191011235955056</v>
      </c>
      <c r="I5" s="637">
        <f t="shared" si="3"/>
        <v>5.6179775280898875E-2</v>
      </c>
      <c r="J5" s="638">
        <f t="shared" si="4"/>
        <v>0</v>
      </c>
      <c r="P5" s="39"/>
    </row>
    <row r="6" spans="1:23" s="77" customFormat="1" ht="15.75">
      <c r="A6" s="415" t="s">
        <v>216</v>
      </c>
      <c r="B6" s="422">
        <v>29</v>
      </c>
      <c r="C6" s="422">
        <v>54</v>
      </c>
      <c r="D6" s="422">
        <v>3</v>
      </c>
      <c r="E6" s="422">
        <v>0</v>
      </c>
      <c r="F6" s="1534">
        <f t="shared" si="0"/>
        <v>86</v>
      </c>
      <c r="G6" s="1528">
        <f t="shared" si="1"/>
        <v>0.33720930232558138</v>
      </c>
      <c r="H6" s="637">
        <f t="shared" si="2"/>
        <v>0.62790697674418605</v>
      </c>
      <c r="I6" s="637">
        <f t="shared" si="3"/>
        <v>3.4883720930232558E-2</v>
      </c>
      <c r="J6" s="638">
        <f t="shared" si="4"/>
        <v>0</v>
      </c>
    </row>
    <row r="7" spans="1:23" s="77" customFormat="1" ht="15.75">
      <c r="A7" s="415" t="s">
        <v>457</v>
      </c>
      <c r="B7" s="422">
        <v>15</v>
      </c>
      <c r="C7" s="422">
        <v>26</v>
      </c>
      <c r="D7" s="422">
        <v>4</v>
      </c>
      <c r="E7" s="422"/>
      <c r="F7" s="1534">
        <f t="shared" si="0"/>
        <v>45</v>
      </c>
      <c r="G7" s="1528">
        <f t="shared" si="1"/>
        <v>0.33333333333333331</v>
      </c>
      <c r="H7" s="637">
        <f t="shared" si="2"/>
        <v>0.57777777777777772</v>
      </c>
      <c r="I7" s="637">
        <f t="shared" si="3"/>
        <v>8.8888888888888892E-2</v>
      </c>
      <c r="J7" s="638">
        <f t="shared" si="4"/>
        <v>0</v>
      </c>
    </row>
    <row r="8" spans="1:23" s="77" customFormat="1" ht="15.75">
      <c r="A8" s="415" t="s">
        <v>534</v>
      </c>
      <c r="B8" s="422">
        <v>40</v>
      </c>
      <c r="C8" s="422">
        <v>38</v>
      </c>
      <c r="D8" s="422">
        <v>1</v>
      </c>
      <c r="E8" s="422"/>
      <c r="F8" s="1534">
        <f t="shared" si="0"/>
        <v>79</v>
      </c>
      <c r="G8" s="1528">
        <f t="shared" si="1"/>
        <v>0.50632911392405067</v>
      </c>
      <c r="H8" s="637">
        <f t="shared" si="2"/>
        <v>0.48101265822784811</v>
      </c>
      <c r="I8" s="637">
        <f t="shared" si="3"/>
        <v>1.2658227848101266E-2</v>
      </c>
      <c r="J8" s="638">
        <f t="shared" si="4"/>
        <v>0</v>
      </c>
    </row>
    <row r="9" spans="1:23" s="77" customFormat="1" ht="15.75">
      <c r="A9" s="415" t="s">
        <v>541</v>
      </c>
      <c r="B9" s="422">
        <v>31</v>
      </c>
      <c r="C9" s="422">
        <v>32</v>
      </c>
      <c r="D9" s="422">
        <v>3</v>
      </c>
      <c r="E9" s="422"/>
      <c r="F9" s="1534">
        <f t="shared" si="0"/>
        <v>66</v>
      </c>
      <c r="G9" s="1528">
        <f t="shared" si="1"/>
        <v>0.46969696969696972</v>
      </c>
      <c r="H9" s="637">
        <f t="shared" si="2"/>
        <v>0.48484848484848486</v>
      </c>
      <c r="I9" s="637">
        <f t="shared" si="3"/>
        <v>4.5454545454545456E-2</v>
      </c>
      <c r="J9" s="638">
        <f t="shared" si="4"/>
        <v>0</v>
      </c>
    </row>
    <row r="10" spans="1:23" s="77" customFormat="1" ht="15.75">
      <c r="A10" s="415" t="s">
        <v>900</v>
      </c>
      <c r="B10" s="422">
        <v>51</v>
      </c>
      <c r="C10" s="422">
        <v>48</v>
      </c>
      <c r="D10" s="422">
        <v>0</v>
      </c>
      <c r="E10" s="422"/>
      <c r="F10" s="1534">
        <f>SUM(B10:E10)</f>
        <v>99</v>
      </c>
      <c r="G10" s="1528">
        <f t="shared" si="1"/>
        <v>0.51515151515151514</v>
      </c>
      <c r="H10" s="637">
        <f t="shared" si="2"/>
        <v>0.48484848484848486</v>
      </c>
      <c r="I10" s="637">
        <f t="shared" si="3"/>
        <v>0</v>
      </c>
      <c r="J10" s="638">
        <f t="shared" si="4"/>
        <v>0</v>
      </c>
    </row>
    <row r="11" spans="1:23" s="1458" customFormat="1" ht="15.75">
      <c r="A11" s="415" t="s">
        <v>1012</v>
      </c>
      <c r="B11" s="422">
        <f>7+6+8+11</f>
        <v>32</v>
      </c>
      <c r="C11" s="422">
        <f>3+5+3+6</f>
        <v>17</v>
      </c>
      <c r="D11" s="422">
        <v>1</v>
      </c>
      <c r="E11" s="422"/>
      <c r="F11" s="1534">
        <f>SUM(B11:E11)</f>
        <v>50</v>
      </c>
      <c r="G11" s="1528">
        <f t="shared" ref="G11" si="5">B11/F11</f>
        <v>0.64</v>
      </c>
      <c r="H11" s="637">
        <f t="shared" ref="H11" si="6">C11/F11</f>
        <v>0.34</v>
      </c>
      <c r="I11" s="637">
        <f t="shared" ref="I11" si="7">D11/F11</f>
        <v>0.02</v>
      </c>
      <c r="J11" s="638">
        <f t="shared" ref="J11" si="8">E11/F11</f>
        <v>0</v>
      </c>
    </row>
    <row r="12" spans="1:23" s="77" customFormat="1" ht="15.75">
      <c r="A12" s="557" t="s">
        <v>23</v>
      </c>
      <c r="B12" s="633">
        <f>SUM(B4:B11)</f>
        <v>252</v>
      </c>
      <c r="C12" s="633">
        <f t="shared" ref="C12:E12" si="9">SUM(C4:C11)</f>
        <v>307</v>
      </c>
      <c r="D12" s="633">
        <f t="shared" si="9"/>
        <v>19</v>
      </c>
      <c r="E12" s="633">
        <f t="shared" si="9"/>
        <v>1</v>
      </c>
      <c r="F12" s="1530">
        <f>SUM(F4:F11)</f>
        <v>579</v>
      </c>
      <c r="G12" s="1529">
        <f t="shared" si="1"/>
        <v>0.43523316062176165</v>
      </c>
      <c r="H12" s="635">
        <f t="shared" si="2"/>
        <v>0.53022452504317785</v>
      </c>
      <c r="I12" s="635">
        <f t="shared" si="3"/>
        <v>3.281519861830743E-2</v>
      </c>
      <c r="J12" s="636">
        <f t="shared" si="4"/>
        <v>1.7271157167530224E-3</v>
      </c>
    </row>
    <row r="13" spans="1:23" s="77" customFormat="1" ht="17.25" customHeight="1">
      <c r="A13" s="142" t="s">
        <v>945</v>
      </c>
      <c r="B13" s="141"/>
      <c r="C13" s="141"/>
      <c r="D13" s="141"/>
      <c r="E13" s="141"/>
      <c r="P13" s="198"/>
      <c r="Q13" s="198"/>
      <c r="R13" s="198"/>
      <c r="S13" s="198"/>
      <c r="T13" s="198"/>
      <c r="U13" s="198"/>
      <c r="V13" s="198"/>
      <c r="W13" s="198"/>
    </row>
    <row r="14" spans="1:23" s="77" customFormat="1">
      <c r="A14" s="142"/>
      <c r="B14" s="141"/>
      <c r="C14" s="141"/>
      <c r="D14" s="141"/>
      <c r="E14" s="141"/>
      <c r="O14" s="39"/>
      <c r="P14" s="198"/>
      <c r="Q14" s="198"/>
      <c r="R14" s="198"/>
      <c r="S14" s="198"/>
      <c r="T14" s="198"/>
      <c r="U14" s="198"/>
      <c r="V14" s="198"/>
      <c r="W14" s="198"/>
    </row>
    <row r="15" spans="1:23" s="77" customFormat="1">
      <c r="A15" s="142"/>
      <c r="B15" s="141"/>
      <c r="C15" s="141"/>
      <c r="D15" s="141"/>
      <c r="E15" s="141"/>
      <c r="O15" s="39"/>
      <c r="P15" s="198"/>
      <c r="Q15" s="198"/>
      <c r="R15" s="198"/>
      <c r="S15" s="198"/>
      <c r="T15" s="198"/>
      <c r="U15" s="198"/>
      <c r="V15" s="198"/>
      <c r="W15" s="198"/>
    </row>
    <row r="16" spans="1:23" s="77" customFormat="1">
      <c r="A16" s="142"/>
      <c r="B16" s="141"/>
      <c r="C16" s="141"/>
      <c r="D16" s="141"/>
      <c r="E16" s="141"/>
      <c r="P16" s="198"/>
      <c r="Q16" s="198"/>
      <c r="R16" s="198"/>
      <c r="S16" s="198"/>
      <c r="T16" s="198"/>
      <c r="U16" s="198"/>
      <c r="V16" s="198"/>
      <c r="W16" s="198"/>
    </row>
    <row r="17" spans="15:15" s="77" customFormat="1"/>
    <row r="18" spans="15:15" s="77" customFormat="1"/>
    <row r="19" spans="15:15" s="77" customFormat="1"/>
    <row r="20" spans="15:15" s="77" customFormat="1"/>
    <row r="21" spans="15:15" s="77" customFormat="1"/>
    <row r="22" spans="15:15" s="77" customFormat="1"/>
    <row r="23" spans="15:15" s="77" customFormat="1"/>
    <row r="25" spans="15:15">
      <c r="O25" s="140"/>
    </row>
  </sheetData>
  <mergeCells count="1">
    <mergeCell ref="A1:M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3"/>
  <sheetViews>
    <sheetView showGridLines="0" view="pageBreakPreview" zoomScale="85" zoomScaleNormal="100" zoomScaleSheetLayoutView="85" workbookViewId="0">
      <selection activeCell="A3" sqref="A3"/>
    </sheetView>
  </sheetViews>
  <sheetFormatPr baseColWidth="10" defaultColWidth="11.42578125" defaultRowHeight="15"/>
  <cols>
    <col min="1" max="1" width="17.7109375" style="39" customWidth="1"/>
    <col min="2" max="6" width="11.42578125" style="39" customWidth="1"/>
    <col min="7" max="7" width="16.7109375" style="39" customWidth="1"/>
    <col min="8" max="8" width="17.5703125" style="39" customWidth="1"/>
    <col min="9" max="10" width="14.85546875" style="39" customWidth="1"/>
    <col min="11" max="11" width="18.140625" style="39" customWidth="1"/>
    <col min="12" max="12" width="17.140625" style="39" customWidth="1"/>
    <col min="13" max="16384" width="11.42578125" style="39"/>
  </cols>
  <sheetData>
    <row r="1" spans="1:13" s="77" customFormat="1" ht="69" customHeight="1">
      <c r="A1" s="2238"/>
      <c r="B1" s="2238"/>
      <c r="C1" s="2238"/>
      <c r="D1" s="2238"/>
      <c r="E1" s="2238"/>
      <c r="F1" s="2238"/>
      <c r="G1" s="2238"/>
      <c r="H1" s="2238"/>
      <c r="I1" s="2238"/>
      <c r="J1" s="2238"/>
      <c r="K1" s="2238"/>
      <c r="L1" s="2238"/>
      <c r="M1" s="143"/>
    </row>
    <row r="2" spans="1:13" ht="3" customHeight="1">
      <c r="A2" s="193"/>
      <c r="B2" s="193"/>
      <c r="C2" s="193"/>
      <c r="D2" s="193"/>
      <c r="E2" s="193"/>
      <c r="F2" s="193"/>
      <c r="G2" s="193"/>
      <c r="H2" s="193"/>
      <c r="I2" s="193"/>
      <c r="J2" s="193"/>
      <c r="K2" s="193"/>
      <c r="L2" s="193"/>
      <c r="M2" s="178"/>
    </row>
    <row r="3" spans="1:13" s="77" customFormat="1" ht="24" customHeight="1">
      <c r="A3" s="624" t="s">
        <v>0</v>
      </c>
      <c r="B3" s="541" t="s">
        <v>359</v>
      </c>
      <c r="C3" s="541" t="s">
        <v>358</v>
      </c>
      <c r="D3" s="541" t="s">
        <v>357</v>
      </c>
      <c r="E3" s="541" t="s">
        <v>356</v>
      </c>
      <c r="F3" s="557" t="s">
        <v>133</v>
      </c>
      <c r="G3" s="562" t="s">
        <v>392</v>
      </c>
      <c r="H3" s="541" t="s">
        <v>352</v>
      </c>
      <c r="I3" s="541" t="s">
        <v>351</v>
      </c>
      <c r="J3" s="542" t="s">
        <v>350</v>
      </c>
    </row>
    <row r="4" spans="1:13" s="77" customFormat="1" ht="16.5" customHeight="1">
      <c r="A4" s="631" t="s">
        <v>215</v>
      </c>
      <c r="B4" s="561">
        <v>11</v>
      </c>
      <c r="C4" s="561">
        <v>50</v>
      </c>
      <c r="D4" s="561">
        <v>2</v>
      </c>
      <c r="E4" s="561">
        <v>2</v>
      </c>
      <c r="F4" s="1531">
        <f t="shared" ref="F4:F10" si="0">SUM(B4:E4)</f>
        <v>65</v>
      </c>
      <c r="G4" s="1528">
        <f t="shared" ref="G4:G12" si="1">B4/F4</f>
        <v>0.16923076923076924</v>
      </c>
      <c r="H4" s="637">
        <f t="shared" ref="H4:H12" si="2">C4/F4</f>
        <v>0.76923076923076927</v>
      </c>
      <c r="I4" s="637">
        <f t="shared" ref="I4:I12" si="3">D4/F4</f>
        <v>3.0769230769230771E-2</v>
      </c>
      <c r="J4" s="638">
        <f t="shared" ref="J4:J12" si="4">E4/F4</f>
        <v>3.0769230769230771E-2</v>
      </c>
    </row>
    <row r="5" spans="1:13" s="77" customFormat="1" ht="16.5" customHeight="1">
      <c r="A5" s="631" t="s">
        <v>184</v>
      </c>
      <c r="B5" s="561">
        <v>7</v>
      </c>
      <c r="C5" s="561">
        <v>60</v>
      </c>
      <c r="D5" s="561">
        <v>14</v>
      </c>
      <c r="E5" s="561">
        <v>8</v>
      </c>
      <c r="F5" s="1531">
        <f t="shared" si="0"/>
        <v>89</v>
      </c>
      <c r="G5" s="1528">
        <f t="shared" si="1"/>
        <v>7.8651685393258425E-2</v>
      </c>
      <c r="H5" s="637">
        <f t="shared" si="2"/>
        <v>0.6741573033707865</v>
      </c>
      <c r="I5" s="637">
        <f t="shared" si="3"/>
        <v>0.15730337078651685</v>
      </c>
      <c r="J5" s="638">
        <f t="shared" si="4"/>
        <v>8.98876404494382E-2</v>
      </c>
    </row>
    <row r="6" spans="1:13" s="77" customFormat="1" ht="16.5" customHeight="1">
      <c r="A6" s="415" t="s">
        <v>216</v>
      </c>
      <c r="B6" s="533">
        <v>6</v>
      </c>
      <c r="C6" s="533">
        <v>64</v>
      </c>
      <c r="D6" s="533">
        <v>10</v>
      </c>
      <c r="E6" s="533">
        <v>6</v>
      </c>
      <c r="F6" s="1532">
        <f t="shared" si="0"/>
        <v>86</v>
      </c>
      <c r="G6" s="1528">
        <f t="shared" si="1"/>
        <v>6.9767441860465115E-2</v>
      </c>
      <c r="H6" s="637">
        <f t="shared" si="2"/>
        <v>0.7441860465116279</v>
      </c>
      <c r="I6" s="637">
        <f t="shared" si="3"/>
        <v>0.11627906976744186</v>
      </c>
      <c r="J6" s="638">
        <f t="shared" si="4"/>
        <v>6.9767441860465115E-2</v>
      </c>
    </row>
    <row r="7" spans="1:13" s="77" customFormat="1" ht="16.5" customHeight="1">
      <c r="A7" s="415" t="s">
        <v>457</v>
      </c>
      <c r="B7" s="533">
        <v>6</v>
      </c>
      <c r="C7" s="533">
        <v>26</v>
      </c>
      <c r="D7" s="533">
        <v>10</v>
      </c>
      <c r="E7" s="533">
        <v>3</v>
      </c>
      <c r="F7" s="1532">
        <f t="shared" si="0"/>
        <v>45</v>
      </c>
      <c r="G7" s="1528">
        <f t="shared" si="1"/>
        <v>0.13333333333333333</v>
      </c>
      <c r="H7" s="637">
        <f t="shared" si="2"/>
        <v>0.57777777777777772</v>
      </c>
      <c r="I7" s="637">
        <f t="shared" si="3"/>
        <v>0.22222222222222221</v>
      </c>
      <c r="J7" s="638">
        <f t="shared" si="4"/>
        <v>6.6666666666666666E-2</v>
      </c>
    </row>
    <row r="8" spans="1:13" s="77" customFormat="1" ht="16.5" customHeight="1">
      <c r="A8" s="415" t="s">
        <v>534</v>
      </c>
      <c r="B8" s="533">
        <v>8</v>
      </c>
      <c r="C8" s="533">
        <v>58</v>
      </c>
      <c r="D8" s="533">
        <v>8</v>
      </c>
      <c r="E8" s="533">
        <v>5</v>
      </c>
      <c r="F8" s="1532">
        <f t="shared" si="0"/>
        <v>79</v>
      </c>
      <c r="G8" s="1528">
        <f t="shared" si="1"/>
        <v>0.10126582278481013</v>
      </c>
      <c r="H8" s="637">
        <f t="shared" si="2"/>
        <v>0.73417721518987344</v>
      </c>
      <c r="I8" s="637">
        <f t="shared" si="3"/>
        <v>0.10126582278481013</v>
      </c>
      <c r="J8" s="638">
        <f t="shared" si="4"/>
        <v>6.3291139240506333E-2</v>
      </c>
    </row>
    <row r="9" spans="1:13" s="77" customFormat="1" ht="16.5" customHeight="1">
      <c r="A9" s="415" t="s">
        <v>541</v>
      </c>
      <c r="B9" s="533">
        <v>7</v>
      </c>
      <c r="C9" s="533">
        <v>49</v>
      </c>
      <c r="D9" s="533">
        <v>8</v>
      </c>
      <c r="E9" s="533">
        <v>2</v>
      </c>
      <c r="F9" s="1532">
        <f t="shared" si="0"/>
        <v>66</v>
      </c>
      <c r="G9" s="1528">
        <f t="shared" si="1"/>
        <v>0.10606060606060606</v>
      </c>
      <c r="H9" s="637">
        <f t="shared" si="2"/>
        <v>0.74242424242424243</v>
      </c>
      <c r="I9" s="637">
        <f t="shared" si="3"/>
        <v>0.12121212121212122</v>
      </c>
      <c r="J9" s="638">
        <f t="shared" si="4"/>
        <v>3.0303030303030304E-2</v>
      </c>
    </row>
    <row r="10" spans="1:13" s="77" customFormat="1" ht="16.5" customHeight="1">
      <c r="A10" s="415" t="s">
        <v>900</v>
      </c>
      <c r="B10" s="533">
        <v>22</v>
      </c>
      <c r="C10" s="533">
        <v>66</v>
      </c>
      <c r="D10" s="533">
        <v>5</v>
      </c>
      <c r="E10" s="533">
        <v>6</v>
      </c>
      <c r="F10" s="1532">
        <f t="shared" si="0"/>
        <v>99</v>
      </c>
      <c r="G10" s="1528">
        <f t="shared" si="1"/>
        <v>0.22222222222222221</v>
      </c>
      <c r="H10" s="637">
        <f t="shared" si="2"/>
        <v>0.66666666666666663</v>
      </c>
      <c r="I10" s="637">
        <f t="shared" si="3"/>
        <v>5.0505050505050504E-2</v>
      </c>
      <c r="J10" s="638">
        <f t="shared" si="4"/>
        <v>6.0606060606060608E-2</v>
      </c>
    </row>
    <row r="11" spans="1:13" s="1458" customFormat="1" ht="16.5" customHeight="1">
      <c r="A11" s="415" t="s">
        <v>1012</v>
      </c>
      <c r="B11" s="533">
        <f>9+5</f>
        <v>14</v>
      </c>
      <c r="C11" s="533">
        <f>6+7+6+9</f>
        <v>28</v>
      </c>
      <c r="D11" s="533">
        <v>5</v>
      </c>
      <c r="E11" s="533">
        <v>3</v>
      </c>
      <c r="F11" s="1532">
        <f t="shared" ref="F11" si="5">SUM(B11:E11)</f>
        <v>50</v>
      </c>
      <c r="G11" s="1528">
        <f t="shared" ref="G11" si="6">B11/F11</f>
        <v>0.28000000000000003</v>
      </c>
      <c r="H11" s="637">
        <f t="shared" ref="H11" si="7">C11/F11</f>
        <v>0.56000000000000005</v>
      </c>
      <c r="I11" s="637">
        <f t="shared" ref="I11" si="8">D11/F11</f>
        <v>0.1</v>
      </c>
      <c r="J11" s="638">
        <f t="shared" ref="J11" si="9">E11/F11</f>
        <v>0.06</v>
      </c>
    </row>
    <row r="12" spans="1:13" s="77" customFormat="1" ht="21" customHeight="1">
      <c r="A12" s="557" t="s">
        <v>23</v>
      </c>
      <c r="B12" s="633">
        <f>SUM(B4:B11)</f>
        <v>81</v>
      </c>
      <c r="C12" s="633">
        <f t="shared" ref="C12:E12" si="10">SUM(C4:C11)</f>
        <v>401</v>
      </c>
      <c r="D12" s="633">
        <f t="shared" si="10"/>
        <v>62</v>
      </c>
      <c r="E12" s="633">
        <f t="shared" si="10"/>
        <v>35</v>
      </c>
      <c r="F12" s="1530">
        <f>SUM(F4:F11)</f>
        <v>579</v>
      </c>
      <c r="G12" s="1529">
        <f t="shared" si="1"/>
        <v>0.13989637305699482</v>
      </c>
      <c r="H12" s="635">
        <f t="shared" si="2"/>
        <v>0.69257340241796206</v>
      </c>
      <c r="I12" s="635">
        <f t="shared" si="3"/>
        <v>0.10708117443868739</v>
      </c>
      <c r="J12" s="636">
        <f t="shared" si="4"/>
        <v>6.0449050086355788E-2</v>
      </c>
    </row>
    <row r="13" spans="1:13" s="77" customFormat="1">
      <c r="A13" s="142"/>
      <c r="B13" s="141"/>
      <c r="C13" s="141"/>
      <c r="D13" s="141"/>
      <c r="E13" s="141"/>
    </row>
    <row r="14" spans="1:13" s="77" customFormat="1">
      <c r="A14" s="142"/>
      <c r="B14" s="141"/>
      <c r="C14" s="141"/>
      <c r="D14" s="141"/>
      <c r="E14" s="141"/>
    </row>
    <row r="15" spans="1:13" s="77" customFormat="1">
      <c r="A15" s="142"/>
      <c r="B15" s="141"/>
      <c r="C15" s="141"/>
      <c r="D15" s="141"/>
      <c r="E15" s="141"/>
    </row>
    <row r="16" spans="1:13" s="77" customFormat="1">
      <c r="A16" s="142"/>
      <c r="B16" s="141"/>
      <c r="C16" s="141"/>
      <c r="D16" s="141"/>
      <c r="E16" s="141"/>
    </row>
    <row r="17" s="77" customFormat="1"/>
    <row r="18" s="77" customFormat="1"/>
    <row r="19" s="77" customFormat="1"/>
    <row r="20" s="77" customFormat="1"/>
    <row r="21" s="77" customFormat="1"/>
    <row r="22" s="77" customFormat="1"/>
    <row r="23" s="77" customFormat="1"/>
  </sheetData>
  <mergeCells count="1">
    <mergeCell ref="A1:L1"/>
  </mergeCells>
  <printOptions horizontalCentered="1"/>
  <pageMargins left="0.39370078740157483" right="0.39370078740157483" top="0.23622047244094491" bottom="0.23622047244094491" header="0.31496062992125984" footer="0.31496062992125984"/>
  <pageSetup scale="75"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R25"/>
  <sheetViews>
    <sheetView showGridLines="0" view="pageBreakPreview" zoomScale="70" zoomScaleNormal="100" zoomScaleSheetLayoutView="70" workbookViewId="0">
      <selection activeCell="R36" sqref="R35:R36"/>
    </sheetView>
  </sheetViews>
  <sheetFormatPr baseColWidth="10" defaultColWidth="11.42578125" defaultRowHeight="15"/>
  <cols>
    <col min="1" max="1" width="18.42578125" style="39" customWidth="1"/>
    <col min="2" max="3" width="12.28515625" style="39" customWidth="1"/>
    <col min="4" max="4" width="14.140625" style="39" customWidth="1"/>
    <col min="5" max="5" width="10.5703125" style="39" customWidth="1"/>
    <col min="6" max="6" width="9.7109375" style="39" customWidth="1"/>
    <col min="7" max="7" width="15.7109375" style="39" customWidth="1"/>
    <col min="8" max="8" width="13.7109375" style="39" customWidth="1"/>
    <col min="9" max="9" width="16.42578125" style="39" customWidth="1"/>
    <col min="10" max="10" width="17" style="39" customWidth="1"/>
    <col min="11" max="11" width="13.7109375" style="39" customWidth="1"/>
    <col min="12" max="13" width="11.7109375" style="39" customWidth="1"/>
    <col min="14" max="14" width="15.28515625" style="39" customWidth="1"/>
    <col min="15" max="16" width="11.42578125" style="39"/>
    <col min="17" max="17" width="16.28515625" style="39" customWidth="1"/>
    <col min="18" max="18" width="11.42578125" style="39" customWidth="1"/>
    <col min="19" max="16384" width="11.42578125" style="39"/>
  </cols>
  <sheetData>
    <row r="1" spans="1:18" s="77" customFormat="1" ht="78.75" customHeight="1">
      <c r="A1" s="2227"/>
      <c r="B1" s="2227"/>
      <c r="C1" s="2227"/>
      <c r="D1" s="2227"/>
      <c r="E1" s="2227"/>
      <c r="F1" s="2227"/>
      <c r="G1" s="2227"/>
      <c r="H1" s="2227"/>
      <c r="I1" s="2227"/>
      <c r="J1" s="2227"/>
      <c r="K1" s="2227"/>
      <c r="L1" s="2227"/>
      <c r="M1" s="2227"/>
      <c r="N1" s="2227"/>
      <c r="O1" s="143"/>
      <c r="P1" s="143"/>
      <c r="Q1" s="143"/>
      <c r="R1" s="143"/>
    </row>
    <row r="2" spans="1:18" s="77" customFormat="1" ht="4.5" customHeight="1">
      <c r="A2" s="559"/>
      <c r="B2" s="176"/>
      <c r="C2" s="176"/>
      <c r="D2" s="176"/>
      <c r="E2" s="176"/>
      <c r="F2" s="176"/>
      <c r="G2" s="176"/>
      <c r="H2" s="176"/>
      <c r="I2" s="176"/>
      <c r="J2" s="176"/>
      <c r="K2" s="176"/>
      <c r="L2" s="176"/>
      <c r="M2" s="176"/>
      <c r="N2" s="176"/>
      <c r="O2" s="143"/>
      <c r="P2" s="143"/>
      <c r="Q2" s="143"/>
      <c r="R2" s="143"/>
    </row>
    <row r="3" spans="1:18" s="77" customFormat="1" ht="44.25" customHeight="1">
      <c r="A3" s="624" t="s">
        <v>0</v>
      </c>
      <c r="B3" s="541" t="s">
        <v>369</v>
      </c>
      <c r="C3" s="541" t="s">
        <v>368</v>
      </c>
      <c r="D3" s="541" t="s">
        <v>367</v>
      </c>
      <c r="E3" s="541" t="s">
        <v>366</v>
      </c>
      <c r="F3" s="541" t="s">
        <v>365</v>
      </c>
      <c r="G3" s="541" t="s">
        <v>354</v>
      </c>
      <c r="H3" s="557" t="s">
        <v>133</v>
      </c>
      <c r="I3" s="541" t="s">
        <v>364</v>
      </c>
      <c r="J3" s="541" t="s">
        <v>363</v>
      </c>
      <c r="K3" s="541" t="s">
        <v>362</v>
      </c>
      <c r="L3" s="541" t="s">
        <v>361</v>
      </c>
      <c r="M3" s="541" t="s">
        <v>360</v>
      </c>
      <c r="N3" s="542" t="s">
        <v>229</v>
      </c>
    </row>
    <row r="4" spans="1:18" s="77" customFormat="1" ht="15.75">
      <c r="A4" s="543" t="s">
        <v>215</v>
      </c>
      <c r="B4" s="539">
        <v>13</v>
      </c>
      <c r="C4" s="539">
        <v>4</v>
      </c>
      <c r="D4" s="539">
        <v>6</v>
      </c>
      <c r="E4" s="539">
        <v>28</v>
      </c>
      <c r="F4" s="539">
        <v>14</v>
      </c>
      <c r="G4" s="539">
        <v>0</v>
      </c>
      <c r="H4" s="1441">
        <f t="shared" ref="H4:H11" si="0">SUM(B4:G4)</f>
        <v>65</v>
      </c>
      <c r="I4" s="639">
        <f t="shared" ref="I4:I12" si="1">B4/H4</f>
        <v>0.2</v>
      </c>
      <c r="J4" s="639">
        <f t="shared" ref="J4:J12" si="2">C4/H4</f>
        <v>6.1538461538461542E-2</v>
      </c>
      <c r="K4" s="639">
        <f t="shared" ref="K4:K12" si="3">D4/H4</f>
        <v>9.2307692307692313E-2</v>
      </c>
      <c r="L4" s="639">
        <f t="shared" ref="L4:L12" si="4">E4/H4</f>
        <v>0.43076923076923079</v>
      </c>
      <c r="M4" s="639">
        <f t="shared" ref="M4:M12" si="5">F4/H4</f>
        <v>0.2153846153846154</v>
      </c>
      <c r="N4" s="640">
        <f t="shared" ref="N4:N12" si="6">G4/H4</f>
        <v>0</v>
      </c>
    </row>
    <row r="5" spans="1:18" s="77" customFormat="1" ht="15.75">
      <c r="A5" s="543" t="s">
        <v>184</v>
      </c>
      <c r="B5" s="539">
        <v>7</v>
      </c>
      <c r="C5" s="539">
        <v>8</v>
      </c>
      <c r="D5" s="539">
        <v>0</v>
      </c>
      <c r="E5" s="539">
        <v>55</v>
      </c>
      <c r="F5" s="539">
        <v>17</v>
      </c>
      <c r="G5" s="539">
        <v>2</v>
      </c>
      <c r="H5" s="1441">
        <f t="shared" si="0"/>
        <v>89</v>
      </c>
      <c r="I5" s="639">
        <f t="shared" si="1"/>
        <v>7.8651685393258425E-2</v>
      </c>
      <c r="J5" s="639">
        <f t="shared" si="2"/>
        <v>8.98876404494382E-2</v>
      </c>
      <c r="K5" s="639">
        <f t="shared" si="3"/>
        <v>0</v>
      </c>
      <c r="L5" s="639">
        <f t="shared" si="4"/>
        <v>0.6179775280898876</v>
      </c>
      <c r="M5" s="639">
        <f t="shared" si="5"/>
        <v>0.19101123595505617</v>
      </c>
      <c r="N5" s="640">
        <f t="shared" si="6"/>
        <v>2.247191011235955E-2</v>
      </c>
      <c r="R5" s="39"/>
    </row>
    <row r="6" spans="1:18" s="77" customFormat="1" ht="15.75">
      <c r="A6" s="543" t="s">
        <v>216</v>
      </c>
      <c r="B6" s="539">
        <v>14</v>
      </c>
      <c r="C6" s="539">
        <v>6</v>
      </c>
      <c r="D6" s="539">
        <v>1</v>
      </c>
      <c r="E6" s="539">
        <v>55</v>
      </c>
      <c r="F6" s="539">
        <v>4</v>
      </c>
      <c r="G6" s="539">
        <v>6</v>
      </c>
      <c r="H6" s="1441">
        <f t="shared" si="0"/>
        <v>86</v>
      </c>
      <c r="I6" s="639">
        <f t="shared" si="1"/>
        <v>0.16279069767441862</v>
      </c>
      <c r="J6" s="639">
        <f t="shared" si="2"/>
        <v>6.9767441860465115E-2</v>
      </c>
      <c r="K6" s="639">
        <f t="shared" si="3"/>
        <v>1.1627906976744186E-2</v>
      </c>
      <c r="L6" s="639">
        <f t="shared" si="4"/>
        <v>0.63953488372093026</v>
      </c>
      <c r="M6" s="639">
        <f t="shared" si="5"/>
        <v>4.6511627906976744E-2</v>
      </c>
      <c r="N6" s="640">
        <f t="shared" si="6"/>
        <v>6.9767441860465115E-2</v>
      </c>
    </row>
    <row r="7" spans="1:18" s="77" customFormat="1" ht="15.75">
      <c r="A7" s="543" t="s">
        <v>457</v>
      </c>
      <c r="B7" s="272">
        <v>1</v>
      </c>
      <c r="C7" s="272">
        <v>0</v>
      </c>
      <c r="D7" s="272">
        <v>0</v>
      </c>
      <c r="E7" s="272">
        <v>36</v>
      </c>
      <c r="F7" s="272">
        <v>1</v>
      </c>
      <c r="G7" s="272">
        <v>7</v>
      </c>
      <c r="H7" s="1108">
        <f t="shared" si="0"/>
        <v>45</v>
      </c>
      <c r="I7" s="639">
        <f t="shared" si="1"/>
        <v>2.2222222222222223E-2</v>
      </c>
      <c r="J7" s="639">
        <f t="shared" si="2"/>
        <v>0</v>
      </c>
      <c r="K7" s="639">
        <f t="shared" si="3"/>
        <v>0</v>
      </c>
      <c r="L7" s="639">
        <f t="shared" si="4"/>
        <v>0.8</v>
      </c>
      <c r="M7" s="639">
        <f t="shared" si="5"/>
        <v>2.2222222222222223E-2</v>
      </c>
      <c r="N7" s="640">
        <f t="shared" si="6"/>
        <v>0.15555555555555556</v>
      </c>
    </row>
    <row r="8" spans="1:18" s="77" customFormat="1" ht="15.75">
      <c r="A8" s="543" t="s">
        <v>534</v>
      </c>
      <c r="B8" s="272">
        <v>2</v>
      </c>
      <c r="C8" s="272">
        <v>2</v>
      </c>
      <c r="D8" s="272">
        <v>1</v>
      </c>
      <c r="E8" s="272">
        <v>64</v>
      </c>
      <c r="F8" s="272">
        <v>7</v>
      </c>
      <c r="G8" s="272">
        <v>3</v>
      </c>
      <c r="H8" s="1108">
        <f t="shared" si="0"/>
        <v>79</v>
      </c>
      <c r="I8" s="639">
        <f t="shared" si="1"/>
        <v>2.5316455696202531E-2</v>
      </c>
      <c r="J8" s="639">
        <f t="shared" si="2"/>
        <v>2.5316455696202531E-2</v>
      </c>
      <c r="K8" s="639">
        <f t="shared" si="3"/>
        <v>1.2658227848101266E-2</v>
      </c>
      <c r="L8" s="639">
        <f t="shared" si="4"/>
        <v>0.810126582278481</v>
      </c>
      <c r="M8" s="639">
        <f t="shared" si="5"/>
        <v>8.8607594936708861E-2</v>
      </c>
      <c r="N8" s="640">
        <f t="shared" si="6"/>
        <v>3.7974683544303799E-2</v>
      </c>
    </row>
    <row r="9" spans="1:18" s="77" customFormat="1" ht="15.75">
      <c r="A9" s="543" t="s">
        <v>541</v>
      </c>
      <c r="B9" s="272">
        <v>2</v>
      </c>
      <c r="C9" s="272">
        <v>12</v>
      </c>
      <c r="D9" s="272">
        <v>1</v>
      </c>
      <c r="E9" s="272">
        <v>46</v>
      </c>
      <c r="F9" s="272">
        <v>5</v>
      </c>
      <c r="G9" s="272">
        <v>0</v>
      </c>
      <c r="H9" s="1108">
        <f t="shared" si="0"/>
        <v>66</v>
      </c>
      <c r="I9" s="639">
        <f t="shared" si="1"/>
        <v>3.0303030303030304E-2</v>
      </c>
      <c r="J9" s="639">
        <f t="shared" si="2"/>
        <v>0.18181818181818182</v>
      </c>
      <c r="K9" s="639">
        <f t="shared" si="3"/>
        <v>1.5151515151515152E-2</v>
      </c>
      <c r="L9" s="639">
        <f t="shared" si="4"/>
        <v>0.69696969696969702</v>
      </c>
      <c r="M9" s="639">
        <f t="shared" si="5"/>
        <v>7.575757575757576E-2</v>
      </c>
      <c r="N9" s="640">
        <f t="shared" si="6"/>
        <v>0</v>
      </c>
    </row>
    <row r="10" spans="1:18" s="77" customFormat="1" ht="15.75">
      <c r="A10" s="543" t="s">
        <v>900</v>
      </c>
      <c r="B10" s="272">
        <v>3</v>
      </c>
      <c r="C10" s="272">
        <v>4</v>
      </c>
      <c r="D10" s="272">
        <v>1</v>
      </c>
      <c r="E10" s="272">
        <v>83</v>
      </c>
      <c r="F10" s="272">
        <v>8</v>
      </c>
      <c r="G10" s="272">
        <v>0</v>
      </c>
      <c r="H10" s="1108">
        <f t="shared" si="0"/>
        <v>99</v>
      </c>
      <c r="I10" s="639">
        <f t="shared" si="1"/>
        <v>3.0303030303030304E-2</v>
      </c>
      <c r="J10" s="639">
        <f t="shared" si="2"/>
        <v>4.0404040404040407E-2</v>
      </c>
      <c r="K10" s="639">
        <f t="shared" si="3"/>
        <v>1.0101010101010102E-2</v>
      </c>
      <c r="L10" s="639">
        <f t="shared" si="4"/>
        <v>0.83838383838383834</v>
      </c>
      <c r="M10" s="639">
        <f t="shared" si="5"/>
        <v>8.0808080808080815E-2</v>
      </c>
      <c r="N10" s="640">
        <f t="shared" si="6"/>
        <v>0</v>
      </c>
    </row>
    <row r="11" spans="1:18" s="1458" customFormat="1" ht="15.75">
      <c r="A11" s="543" t="s">
        <v>1008</v>
      </c>
      <c r="B11" s="272">
        <v>0</v>
      </c>
      <c r="C11" s="272">
        <f>3+1+1+4</f>
        <v>9</v>
      </c>
      <c r="D11" s="272">
        <v>1</v>
      </c>
      <c r="E11" s="272">
        <f>7+8+9+12</f>
        <v>36</v>
      </c>
      <c r="F11" s="272">
        <v>4</v>
      </c>
      <c r="G11" s="272">
        <v>0</v>
      </c>
      <c r="H11" s="1108">
        <f t="shared" si="0"/>
        <v>50</v>
      </c>
      <c r="I11" s="639">
        <f t="shared" si="1"/>
        <v>0</v>
      </c>
      <c r="J11" s="639">
        <f t="shared" si="2"/>
        <v>0.18</v>
      </c>
      <c r="K11" s="639">
        <f t="shared" si="3"/>
        <v>0.02</v>
      </c>
      <c r="L11" s="639">
        <f t="shared" si="4"/>
        <v>0.72</v>
      </c>
      <c r="M11" s="639">
        <f t="shared" si="5"/>
        <v>0.08</v>
      </c>
      <c r="N11" s="640">
        <f t="shared" si="6"/>
        <v>0</v>
      </c>
    </row>
    <row r="12" spans="1:18" s="77" customFormat="1" ht="15.75">
      <c r="A12" s="538" t="s">
        <v>23</v>
      </c>
      <c r="B12" s="544">
        <f>SUM(B4:B11)</f>
        <v>42</v>
      </c>
      <c r="C12" s="544">
        <f t="shared" ref="C12:G12" si="7">SUM(C4:C11)</f>
        <v>45</v>
      </c>
      <c r="D12" s="544">
        <f t="shared" si="7"/>
        <v>11</v>
      </c>
      <c r="E12" s="544">
        <f t="shared" si="7"/>
        <v>403</v>
      </c>
      <c r="F12" s="544">
        <f t="shared" si="7"/>
        <v>60</v>
      </c>
      <c r="G12" s="544">
        <f t="shared" si="7"/>
        <v>18</v>
      </c>
      <c r="H12" s="1103">
        <f>SUM(H4:H11)</f>
        <v>579</v>
      </c>
      <c r="I12" s="545">
        <f t="shared" si="1"/>
        <v>7.2538860103626937E-2</v>
      </c>
      <c r="J12" s="545">
        <f t="shared" si="2"/>
        <v>7.7720207253886009E-2</v>
      </c>
      <c r="K12" s="545">
        <f t="shared" si="3"/>
        <v>1.8998272884283247E-2</v>
      </c>
      <c r="L12" s="545">
        <f t="shared" si="4"/>
        <v>0.69602763385146804</v>
      </c>
      <c r="M12" s="545">
        <f t="shared" si="5"/>
        <v>0.10362694300518134</v>
      </c>
      <c r="N12" s="546">
        <f t="shared" si="6"/>
        <v>3.1088082901554404E-2</v>
      </c>
    </row>
    <row r="13" spans="1:18" s="77" customFormat="1">
      <c r="A13" s="142"/>
      <c r="B13" s="141"/>
      <c r="C13" s="141"/>
      <c r="D13" s="141"/>
      <c r="E13" s="141"/>
      <c r="F13" s="141"/>
      <c r="G13" s="141"/>
    </row>
    <row r="14" spans="1:18" s="77" customFormat="1">
      <c r="A14" s="142"/>
      <c r="B14" s="141"/>
      <c r="C14" s="141"/>
      <c r="D14" s="141"/>
      <c r="E14" s="141"/>
      <c r="F14" s="141"/>
      <c r="G14" s="141"/>
      <c r="Q14" s="39"/>
    </row>
    <row r="15" spans="1:18" s="77" customFormat="1">
      <c r="A15" s="142"/>
      <c r="B15" s="141"/>
      <c r="C15" s="141"/>
      <c r="D15" s="141"/>
      <c r="E15" s="141"/>
      <c r="F15" s="141"/>
      <c r="G15" s="141"/>
      <c r="Q15" s="39"/>
    </row>
    <row r="16" spans="1:18" s="77" customFormat="1">
      <c r="A16" s="142"/>
      <c r="B16" s="141"/>
      <c r="C16" s="141"/>
      <c r="D16" s="141"/>
      <c r="E16" s="141"/>
      <c r="F16" s="141"/>
      <c r="G16" s="141"/>
    </row>
    <row r="17" spans="17:17" s="77" customFormat="1"/>
    <row r="18" spans="17:17" s="77" customFormat="1"/>
    <row r="19" spans="17:17" s="77" customFormat="1"/>
    <row r="20" spans="17:17" s="77" customFormat="1"/>
    <row r="21" spans="17:17" s="77" customFormat="1"/>
    <row r="22" spans="17:17" s="77" customFormat="1"/>
    <row r="23" spans="17:17" s="77" customFormat="1"/>
    <row r="25" spans="17:17">
      <c r="Q25" s="140"/>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N15:N27"/>
  <sheetViews>
    <sheetView showGridLines="0" view="pageBreakPreview" zoomScaleNormal="100" zoomScaleSheetLayoutView="100" workbookViewId="0">
      <selection activeCell="N29" sqref="N29"/>
    </sheetView>
  </sheetViews>
  <sheetFormatPr baseColWidth="10" defaultColWidth="11.42578125" defaultRowHeight="15"/>
  <cols>
    <col min="1" max="6" width="11.42578125" style="77"/>
    <col min="7" max="7" width="9.42578125" style="77" customWidth="1"/>
    <col min="8" max="16384" width="11.42578125" style="77"/>
  </cols>
  <sheetData>
    <row r="15" spans="14:14">
      <c r="N15" s="834"/>
    </row>
    <row r="27" spans="14:14">
      <c r="N27"/>
    </row>
  </sheetData>
  <pageMargins left="0.70866141732283472" right="0.70866141732283472" top="0.74803149606299213" bottom="0.74803149606299213" header="0.31496062992125984" footer="0.31496062992125984"/>
  <pageSetup scale="9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P48" sqref="P48"/>
    </sheetView>
  </sheetViews>
  <sheetFormatPr baseColWidth="10" defaultColWidth="11.42578125" defaultRowHeight="15"/>
  <cols>
    <col min="1" max="6" width="11.42578125" style="77"/>
    <col min="7" max="7" width="13.42578125" style="77" customWidth="1"/>
    <col min="8" max="11" width="15" style="77" customWidth="1"/>
    <col min="12" max="16384" width="11.42578125" style="77"/>
  </cols>
  <sheetData/>
  <pageMargins left="0.7" right="0.7" top="0.75" bottom="0.75" header="0.3" footer="0.3"/>
  <pageSetup scale="74"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22.28515625" style="755" customWidth="1"/>
    <col min="2" max="2" width="13.140625" style="755" customWidth="1"/>
    <col min="3" max="3" width="16.28515625" style="755" customWidth="1"/>
    <col min="4" max="4" width="16.85546875" style="755" customWidth="1"/>
    <col min="5" max="16384" width="11.42578125" style="755"/>
  </cols>
  <sheetData>
    <row r="1" spans="1:16" ht="72" customHeight="1">
      <c r="A1" s="2239"/>
      <c r="B1" s="2239"/>
      <c r="C1" s="2239"/>
      <c r="D1" s="2239"/>
      <c r="E1" s="2239"/>
      <c r="F1" s="2239"/>
      <c r="G1" s="2239"/>
      <c r="H1" s="2239"/>
      <c r="I1" s="2239"/>
      <c r="J1" s="2239"/>
      <c r="K1" s="2239"/>
      <c r="L1" s="2239"/>
      <c r="M1" s="2239"/>
      <c r="N1" s="2239"/>
    </row>
    <row r="2" spans="1:16" ht="6.75" customHeight="1">
      <c r="A2" s="2240"/>
      <c r="B2" s="2240"/>
      <c r="C2" s="2240"/>
      <c r="D2" s="2240"/>
      <c r="E2" s="2240"/>
    </row>
    <row r="3" spans="1:16" ht="31.5" customHeight="1">
      <c r="A3" s="778" t="s">
        <v>38</v>
      </c>
      <c r="B3" s="779" t="s">
        <v>592</v>
      </c>
      <c r="C3" s="779" t="s">
        <v>593</v>
      </c>
      <c r="D3" s="780" t="s">
        <v>594</v>
      </c>
    </row>
    <row r="4" spans="1:16" ht="17.25" customHeight="1">
      <c r="A4" s="1371" t="s">
        <v>595</v>
      </c>
      <c r="B4" s="1375">
        <v>107</v>
      </c>
      <c r="C4" s="1375">
        <v>15</v>
      </c>
      <c r="D4" s="1376">
        <f>C4/B4</f>
        <v>0.14018691588785046</v>
      </c>
    </row>
    <row r="5" spans="1:16" ht="13.5" customHeight="1">
      <c r="A5" s="1371">
        <v>2009</v>
      </c>
      <c r="B5" s="1375">
        <v>1018</v>
      </c>
      <c r="C5" s="1375">
        <v>673</v>
      </c>
      <c r="D5" s="1376">
        <f t="shared" ref="D5:D10" si="0">C5/B5</f>
        <v>0.66110019646365425</v>
      </c>
      <c r="G5" s="1372"/>
    </row>
    <row r="6" spans="1:16">
      <c r="A6" s="1371" t="s">
        <v>184</v>
      </c>
      <c r="B6" s="1375">
        <v>1495</v>
      </c>
      <c r="C6" s="1375">
        <v>793</v>
      </c>
      <c r="D6" s="1376">
        <f t="shared" si="0"/>
        <v>0.5304347826086957</v>
      </c>
    </row>
    <row r="7" spans="1:16">
      <c r="A7" s="1371" t="s">
        <v>216</v>
      </c>
      <c r="B7" s="1375">
        <v>2086</v>
      </c>
      <c r="C7" s="1375">
        <v>795</v>
      </c>
      <c r="D7" s="1376">
        <f t="shared" si="0"/>
        <v>0.38111217641418982</v>
      </c>
    </row>
    <row r="8" spans="1:16">
      <c r="A8" s="1371" t="s">
        <v>457</v>
      </c>
      <c r="B8" s="1375">
        <v>2160</v>
      </c>
      <c r="C8" s="1375">
        <v>1877</v>
      </c>
      <c r="D8" s="1376">
        <f t="shared" si="0"/>
        <v>0.86898148148148147</v>
      </c>
    </row>
    <row r="9" spans="1:16">
      <c r="A9" s="1371" t="s">
        <v>534</v>
      </c>
      <c r="B9" s="1375">
        <v>1670</v>
      </c>
      <c r="C9" s="1375">
        <v>2874</v>
      </c>
      <c r="D9" s="1376">
        <f t="shared" si="0"/>
        <v>1.7209580838323353</v>
      </c>
    </row>
    <row r="10" spans="1:16">
      <c r="A10" s="1371" t="s">
        <v>541</v>
      </c>
      <c r="B10" s="1375">
        <v>1558</v>
      </c>
      <c r="C10" s="1375">
        <v>1761</v>
      </c>
      <c r="D10" s="1376">
        <f t="shared" si="0"/>
        <v>1.1302952503209243</v>
      </c>
    </row>
    <row r="11" spans="1:16">
      <c r="A11" s="1371">
        <v>2015</v>
      </c>
      <c r="B11" s="1375">
        <v>1557</v>
      </c>
      <c r="C11" s="1375">
        <v>1301</v>
      </c>
      <c r="D11" s="1376">
        <f>C11/B11</f>
        <v>0.83558124598587025</v>
      </c>
    </row>
    <row r="12" spans="1:16">
      <c r="A12" s="1371" t="s">
        <v>1008</v>
      </c>
      <c r="B12" s="1375">
        <v>600</v>
      </c>
      <c r="C12" s="1375">
        <v>220</v>
      </c>
      <c r="D12" s="1376">
        <f t="shared" ref="D12:D13" si="1">C12/B12</f>
        <v>0.36666666666666664</v>
      </c>
    </row>
    <row r="13" spans="1:16">
      <c r="A13" s="1371" t="s">
        <v>739</v>
      </c>
      <c r="B13" s="1375">
        <v>4</v>
      </c>
      <c r="C13" s="1375"/>
      <c r="D13" s="1376">
        <f t="shared" si="1"/>
        <v>0</v>
      </c>
    </row>
    <row r="14" spans="1:16">
      <c r="A14" s="778" t="s">
        <v>23</v>
      </c>
      <c r="B14" s="1373">
        <f>SUM(B4:B13)</f>
        <v>12255</v>
      </c>
      <c r="C14" s="1373">
        <f>SUM(C4:C13)</f>
        <v>10309</v>
      </c>
      <c r="D14" s="1374">
        <f>C14/B14</f>
        <v>0.8412076703386373</v>
      </c>
      <c r="O14" s="756"/>
      <c r="P14" s="756"/>
    </row>
    <row r="16" spans="1:16">
      <c r="O16" s="756"/>
    </row>
    <row r="17" spans="15:21">
      <c r="O17" s="756"/>
    </row>
    <row r="19" spans="15:21">
      <c r="P19" s="757"/>
      <c r="Q19" s="757"/>
      <c r="R19" s="757"/>
    </row>
    <row r="20" spans="15:21">
      <c r="P20" s="757"/>
      <c r="T20" s="758"/>
      <c r="U20" s="759"/>
    </row>
    <row r="21" spans="15:21">
      <c r="P21" s="757"/>
      <c r="T21" s="758"/>
      <c r="U21" s="759"/>
    </row>
    <row r="22" spans="15:21">
      <c r="T22" s="758"/>
      <c r="U22" s="759"/>
    </row>
    <row r="23" spans="15:21">
      <c r="T23" s="758"/>
      <c r="U23" s="759"/>
    </row>
    <row r="24" spans="15:21">
      <c r="T24" s="758"/>
      <c r="U24" s="759"/>
    </row>
    <row r="25" spans="15:21">
      <c r="T25" s="758"/>
      <c r="U25" s="759"/>
    </row>
    <row r="26" spans="15:21">
      <c r="T26" s="758"/>
      <c r="U26" s="759"/>
    </row>
    <row r="27" spans="15:21">
      <c r="T27" s="758"/>
      <c r="U27" s="759"/>
    </row>
    <row r="28" spans="15:21">
      <c r="U28" s="759"/>
    </row>
    <row r="31" spans="15:21">
      <c r="Q31" s="757"/>
    </row>
  </sheetData>
  <mergeCells count="2">
    <mergeCell ref="A1:N1"/>
    <mergeCell ref="A2:E2"/>
  </mergeCells>
  <pageMargins left="0.7" right="0.7" top="0.75" bottom="0.75" header="0.3" footer="0.3"/>
  <pageSetup scale="61"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P19"/>
  <sheetViews>
    <sheetView showGridLines="0" view="pageBreakPreview" zoomScale="40" zoomScaleNormal="100" zoomScaleSheetLayoutView="40" workbookViewId="0">
      <selection activeCell="W28" sqref="W28"/>
    </sheetView>
  </sheetViews>
  <sheetFormatPr baseColWidth="10" defaultColWidth="11.42578125" defaultRowHeight="18.75"/>
  <cols>
    <col min="1" max="1" width="30" style="760" customWidth="1"/>
    <col min="2" max="2" width="24" style="760" customWidth="1"/>
    <col min="3" max="3" width="34.42578125" style="760" customWidth="1"/>
    <col min="4" max="4" width="31.140625" style="760" customWidth="1"/>
    <col min="5" max="5" width="22.85546875" style="760" customWidth="1"/>
    <col min="6" max="11" width="11.42578125" style="760"/>
    <col min="12" max="12" width="18.85546875" style="760" customWidth="1"/>
    <col min="13" max="13" width="8.85546875" style="760" customWidth="1"/>
    <col min="14" max="16" width="11.42578125" style="1849"/>
    <col min="17" max="16384" width="11.42578125" style="760"/>
  </cols>
  <sheetData>
    <row r="1" spans="1:15" ht="93.75" customHeight="1">
      <c r="A1" s="2241"/>
      <c r="B1" s="2241"/>
      <c r="C1" s="2241"/>
      <c r="D1" s="2241"/>
      <c r="E1" s="2241"/>
      <c r="F1" s="2241"/>
      <c r="G1" s="2241"/>
      <c r="H1" s="2241"/>
      <c r="I1" s="2241"/>
      <c r="J1" s="2241"/>
      <c r="K1" s="2241"/>
      <c r="L1" s="2241"/>
      <c r="M1" s="2241"/>
    </row>
    <row r="2" spans="1:15" ht="7.5" customHeight="1"/>
    <row r="3" spans="1:15" ht="30.75" customHeight="1">
      <c r="A3" s="2242" t="s">
        <v>596</v>
      </c>
      <c r="B3" s="2243"/>
      <c r="C3" s="2243"/>
      <c r="D3" s="2243"/>
      <c r="E3" s="2244"/>
    </row>
    <row r="4" spans="1:15" ht="42">
      <c r="A4" s="765" t="s">
        <v>0</v>
      </c>
      <c r="B4" s="766" t="s">
        <v>496</v>
      </c>
      <c r="C4" s="767" t="s">
        <v>597</v>
      </c>
      <c r="D4" s="767" t="s">
        <v>598</v>
      </c>
      <c r="E4" s="765" t="s">
        <v>23</v>
      </c>
    </row>
    <row r="5" spans="1:15" ht="21">
      <c r="A5" s="768" t="s">
        <v>740</v>
      </c>
      <c r="B5" s="781">
        <v>81</v>
      </c>
      <c r="C5" s="782">
        <v>13</v>
      </c>
      <c r="D5" s="782"/>
      <c r="E5" s="1535">
        <f>SUM(B5:D5)</f>
        <v>94</v>
      </c>
    </row>
    <row r="6" spans="1:15" ht="21">
      <c r="A6" s="769">
        <v>2010</v>
      </c>
      <c r="B6" s="783">
        <v>61</v>
      </c>
      <c r="C6" s="764">
        <v>25</v>
      </c>
      <c r="D6" s="764"/>
      <c r="E6" s="970">
        <f t="shared" ref="E6:E13" si="0">SUM(B6:D6)</f>
        <v>86</v>
      </c>
    </row>
    <row r="7" spans="1:15" ht="21">
      <c r="A7" s="769">
        <v>2011</v>
      </c>
      <c r="B7" s="783">
        <v>78</v>
      </c>
      <c r="C7" s="764">
        <v>45</v>
      </c>
      <c r="D7" s="764"/>
      <c r="E7" s="970">
        <f t="shared" si="0"/>
        <v>123</v>
      </c>
      <c r="O7" s="1850"/>
    </row>
    <row r="8" spans="1:15" ht="21">
      <c r="A8" s="769">
        <v>2012</v>
      </c>
      <c r="B8" s="783">
        <v>313</v>
      </c>
      <c r="C8" s="764">
        <v>186</v>
      </c>
      <c r="D8" s="764">
        <v>60</v>
      </c>
      <c r="E8" s="970">
        <f t="shared" si="0"/>
        <v>559</v>
      </c>
      <c r="O8" s="1850"/>
    </row>
    <row r="9" spans="1:15" ht="21">
      <c r="A9" s="769">
        <v>2013</v>
      </c>
      <c r="B9" s="783">
        <v>529</v>
      </c>
      <c r="C9" s="764">
        <v>218</v>
      </c>
      <c r="D9" s="764">
        <v>21</v>
      </c>
      <c r="E9" s="970">
        <f t="shared" si="0"/>
        <v>768</v>
      </c>
      <c r="O9" s="1851"/>
    </row>
    <row r="10" spans="1:15" ht="21">
      <c r="A10" s="769">
        <v>2014</v>
      </c>
      <c r="B10" s="783">
        <v>294</v>
      </c>
      <c r="C10" s="764">
        <v>100</v>
      </c>
      <c r="D10" s="764"/>
      <c r="E10" s="970">
        <f t="shared" si="0"/>
        <v>394</v>
      </c>
    </row>
    <row r="11" spans="1:15" ht="21">
      <c r="A11" s="769">
        <v>2015</v>
      </c>
      <c r="B11" s="783">
        <v>266</v>
      </c>
      <c r="C11" s="764">
        <v>68</v>
      </c>
      <c r="D11" s="764">
        <v>2</v>
      </c>
      <c r="E11" s="970">
        <f t="shared" si="0"/>
        <v>336</v>
      </c>
      <c r="O11" s="1852"/>
    </row>
    <row r="12" spans="1:15" ht="21">
      <c r="A12" s="769" t="s">
        <v>1012</v>
      </c>
      <c r="B12" s="783">
        <v>70</v>
      </c>
      <c r="C12" s="764">
        <v>4</v>
      </c>
      <c r="D12" s="764">
        <v>0</v>
      </c>
      <c r="E12" s="970">
        <f t="shared" si="0"/>
        <v>74</v>
      </c>
      <c r="O12" s="1853"/>
    </row>
    <row r="13" spans="1:15" ht="21">
      <c r="A13" s="769" t="s">
        <v>599</v>
      </c>
      <c r="B13" s="783">
        <v>5</v>
      </c>
      <c r="C13" s="764"/>
      <c r="D13" s="764">
        <v>2</v>
      </c>
      <c r="E13" s="970">
        <f t="shared" si="0"/>
        <v>7</v>
      </c>
      <c r="N13" s="933"/>
    </row>
    <row r="14" spans="1:15" ht="21">
      <c r="A14" s="1119" t="s">
        <v>23</v>
      </c>
      <c r="B14" s="1120">
        <f>SUM(B5:B13)</f>
        <v>1697</v>
      </c>
      <c r="C14" s="1121">
        <f>SUM(C5:C13)</f>
        <v>659</v>
      </c>
      <c r="D14" s="1121">
        <f>SUM(D5:D13)</f>
        <v>85</v>
      </c>
      <c r="E14" s="1122">
        <f>SUM(E5:E13)</f>
        <v>2441</v>
      </c>
    </row>
    <row r="16" spans="1:15">
      <c r="O16" s="1851"/>
    </row>
    <row r="17" spans="15:15">
      <c r="O17" s="1851"/>
    </row>
    <row r="18" spans="15:15">
      <c r="O18" s="1851"/>
    </row>
    <row r="19" spans="15:15">
      <c r="O19" s="1851"/>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85" zoomScaleNormal="100" zoomScaleSheetLayoutView="85" workbookViewId="0">
      <selection activeCell="N21" sqref="N21"/>
    </sheetView>
  </sheetViews>
  <sheetFormatPr baseColWidth="10" defaultColWidth="11.42578125" defaultRowHeight="15"/>
  <cols>
    <col min="1" max="1" width="11.7109375" style="763" customWidth="1"/>
    <col min="2" max="2" width="20.140625" style="763" customWidth="1"/>
    <col min="3" max="3" width="11.28515625" style="763" customWidth="1"/>
    <col min="4" max="4" width="12.140625" style="763" customWidth="1"/>
    <col min="5" max="5" width="11.85546875" style="763" customWidth="1"/>
    <col min="6" max="8" width="14.28515625" style="763" customWidth="1"/>
    <col min="9" max="10" width="15" style="763" customWidth="1"/>
    <col min="11" max="11" width="13.85546875" style="763" customWidth="1"/>
    <col min="12" max="12" width="8.42578125" style="763" customWidth="1"/>
    <col min="13" max="13" width="0.28515625" style="763" customWidth="1"/>
    <col min="14" max="16384" width="11.42578125" style="763"/>
  </cols>
  <sheetData>
    <row r="1" spans="1:16" s="761" customFormat="1" ht="57.75" customHeight="1">
      <c r="A1" s="2245"/>
      <c r="B1" s="2246"/>
      <c r="C1" s="2246"/>
      <c r="D1" s="2246"/>
      <c r="E1" s="2246"/>
      <c r="F1" s="2246"/>
      <c r="G1" s="2246"/>
      <c r="H1" s="2246"/>
      <c r="I1" s="2246"/>
      <c r="J1" s="2246"/>
      <c r="K1" s="2246"/>
      <c r="L1" s="2247"/>
    </row>
    <row r="2" spans="1:16" s="761" customFormat="1" ht="3" customHeight="1"/>
    <row r="3" spans="1:16" s="762" customFormat="1" ht="29.25" customHeight="1">
      <c r="A3" s="770" t="s">
        <v>600</v>
      </c>
      <c r="B3" s="774" t="s">
        <v>601</v>
      </c>
      <c r="C3" s="772">
        <v>2009</v>
      </c>
      <c r="D3" s="772">
        <v>2010</v>
      </c>
      <c r="E3" s="772">
        <v>2011</v>
      </c>
      <c r="F3" s="772">
        <v>2012</v>
      </c>
      <c r="G3" s="772">
        <v>2013</v>
      </c>
      <c r="H3" s="773" t="s">
        <v>541</v>
      </c>
      <c r="I3" s="773" t="s">
        <v>900</v>
      </c>
      <c r="J3" s="773" t="s">
        <v>1012</v>
      </c>
      <c r="K3" s="773" t="s">
        <v>602</v>
      </c>
      <c r="L3" s="771" t="s">
        <v>23</v>
      </c>
      <c r="O3" s="1008"/>
    </row>
    <row r="4" spans="1:16" ht="14.25" customHeight="1">
      <c r="A4" s="2248" t="s">
        <v>650</v>
      </c>
      <c r="B4" s="775" t="s">
        <v>603</v>
      </c>
      <c r="C4" s="1271">
        <v>81</v>
      </c>
      <c r="D4" s="1271">
        <v>53</v>
      </c>
      <c r="E4" s="1271">
        <v>66</v>
      </c>
      <c r="F4" s="1271">
        <v>270</v>
      </c>
      <c r="G4" s="1271">
        <v>474</v>
      </c>
      <c r="H4" s="1271">
        <v>280</v>
      </c>
      <c r="I4" s="1271">
        <v>247</v>
      </c>
      <c r="J4" s="1271">
        <v>61</v>
      </c>
      <c r="K4" s="1271">
        <v>5</v>
      </c>
      <c r="L4" s="1272">
        <f t="shared" ref="L4:L9" si="0">SUM(C4:K4)</f>
        <v>1537</v>
      </c>
    </row>
    <row r="5" spans="1:16" ht="14.25" customHeight="1">
      <c r="A5" s="2248"/>
      <c r="B5" s="776" t="s">
        <v>604</v>
      </c>
      <c r="C5" s="1271">
        <v>13</v>
      </c>
      <c r="D5" s="1271">
        <v>25</v>
      </c>
      <c r="E5" s="1271">
        <v>45</v>
      </c>
      <c r="F5" s="1271">
        <v>181</v>
      </c>
      <c r="G5" s="1271">
        <v>217</v>
      </c>
      <c r="H5" s="1271">
        <v>100</v>
      </c>
      <c r="I5" s="1271">
        <v>68</v>
      </c>
      <c r="J5" s="1271">
        <v>14</v>
      </c>
      <c r="K5" s="1271">
        <v>0</v>
      </c>
      <c r="L5" s="1272">
        <f t="shared" si="0"/>
        <v>663</v>
      </c>
      <c r="N5" s="1377"/>
    </row>
    <row r="6" spans="1:16" ht="14.25" customHeight="1">
      <c r="A6" s="2248"/>
      <c r="B6" s="777" t="s">
        <v>598</v>
      </c>
      <c r="C6" s="1271">
        <v>0</v>
      </c>
      <c r="D6" s="1271">
        <v>0</v>
      </c>
      <c r="E6" s="1271">
        <v>0</v>
      </c>
      <c r="F6" s="1271">
        <v>59</v>
      </c>
      <c r="G6" s="1271">
        <v>18</v>
      </c>
      <c r="H6" s="1271">
        <v>0</v>
      </c>
      <c r="I6" s="1271">
        <v>2</v>
      </c>
      <c r="J6" s="1271">
        <v>0</v>
      </c>
      <c r="K6" s="1271">
        <v>2</v>
      </c>
      <c r="L6" s="1272">
        <f t="shared" si="0"/>
        <v>81</v>
      </c>
    </row>
    <row r="7" spans="1:16" ht="14.25" customHeight="1">
      <c r="A7" s="2248" t="s">
        <v>605</v>
      </c>
      <c r="B7" s="775" t="s">
        <v>603</v>
      </c>
      <c r="C7" s="1271">
        <v>0</v>
      </c>
      <c r="D7" s="1271">
        <v>8</v>
      </c>
      <c r="E7" s="1271">
        <v>12</v>
      </c>
      <c r="F7" s="1271">
        <v>43</v>
      </c>
      <c r="G7" s="1271">
        <v>55</v>
      </c>
      <c r="H7" s="1271">
        <v>14</v>
      </c>
      <c r="I7" s="1271">
        <v>19</v>
      </c>
      <c r="J7" s="1271">
        <v>9</v>
      </c>
      <c r="K7" s="1271">
        <v>0</v>
      </c>
      <c r="L7" s="1272">
        <f t="shared" si="0"/>
        <v>160</v>
      </c>
    </row>
    <row r="8" spans="1:16" ht="14.25" customHeight="1">
      <c r="A8" s="2248"/>
      <c r="B8" s="776" t="s">
        <v>604</v>
      </c>
      <c r="C8" s="1271">
        <v>0</v>
      </c>
      <c r="D8" s="1271">
        <v>0</v>
      </c>
      <c r="E8" s="1271">
        <v>0</v>
      </c>
      <c r="F8" s="1271">
        <v>5</v>
      </c>
      <c r="G8" s="1271">
        <v>1</v>
      </c>
      <c r="H8" s="1271">
        <v>0</v>
      </c>
      <c r="I8" s="1271">
        <v>0</v>
      </c>
      <c r="J8" s="1271">
        <v>0</v>
      </c>
      <c r="K8" s="1271">
        <v>0</v>
      </c>
      <c r="L8" s="1272">
        <f t="shared" si="0"/>
        <v>6</v>
      </c>
    </row>
    <row r="9" spans="1:16" ht="14.25" customHeight="1">
      <c r="A9" s="2248"/>
      <c r="B9" s="777" t="s">
        <v>598</v>
      </c>
      <c r="C9" s="1271">
        <v>0</v>
      </c>
      <c r="D9" s="1271">
        <v>0</v>
      </c>
      <c r="E9" s="1271">
        <v>0</v>
      </c>
      <c r="F9" s="1271">
        <v>1</v>
      </c>
      <c r="G9" s="1271">
        <v>3</v>
      </c>
      <c r="H9" s="1271">
        <v>0</v>
      </c>
      <c r="I9" s="1271">
        <v>0</v>
      </c>
      <c r="J9" s="1271">
        <v>0</v>
      </c>
      <c r="K9" s="1271">
        <v>0</v>
      </c>
      <c r="L9" s="1272">
        <f t="shared" si="0"/>
        <v>4</v>
      </c>
    </row>
    <row r="10" spans="1:16">
      <c r="A10" s="2248" t="s">
        <v>23</v>
      </c>
      <c r="B10" s="2249"/>
      <c r="C10" s="1273">
        <f>SUM(C4:C9)</f>
        <v>94</v>
      </c>
      <c r="D10" s="1274">
        <f t="shared" ref="D10:K10" si="1">SUM(D4:D9)</f>
        <v>86</v>
      </c>
      <c r="E10" s="1274">
        <f t="shared" si="1"/>
        <v>123</v>
      </c>
      <c r="F10" s="1274">
        <f t="shared" si="1"/>
        <v>559</v>
      </c>
      <c r="G10" s="1274">
        <f t="shared" si="1"/>
        <v>768</v>
      </c>
      <c r="H10" s="1274">
        <f t="shared" si="1"/>
        <v>394</v>
      </c>
      <c r="I10" s="1274">
        <f>SUM(I4:I9)</f>
        <v>336</v>
      </c>
      <c r="J10" s="1274">
        <f>SUM(J4:J9)</f>
        <v>84</v>
      </c>
      <c r="K10" s="1274">
        <f t="shared" si="1"/>
        <v>7</v>
      </c>
      <c r="L10" s="1275">
        <f>SUM(L4:L9)</f>
        <v>2451</v>
      </c>
      <c r="M10" s="77"/>
      <c r="N10" s="1377"/>
      <c r="O10" s="77"/>
      <c r="P10" s="77"/>
    </row>
    <row r="11" spans="1:16">
      <c r="A11" s="763" t="s">
        <v>606</v>
      </c>
      <c r="M11" s="77"/>
      <c r="N11" s="77"/>
      <c r="O11" s="77"/>
      <c r="P11" s="77"/>
    </row>
    <row r="12" spans="1:16">
      <c r="M12" s="77"/>
      <c r="N12" s="77"/>
      <c r="O12" s="77"/>
      <c r="P12" s="77"/>
    </row>
    <row r="13" spans="1:16">
      <c r="M13" s="77"/>
      <c r="N13" s="77"/>
      <c r="O13" s="77"/>
      <c r="P13" s="77"/>
    </row>
    <row r="14" spans="1:16">
      <c r="M14" s="77"/>
      <c r="N14" s="77"/>
      <c r="O14" s="77"/>
      <c r="P14" s="77"/>
    </row>
    <row r="15" spans="1:16">
      <c r="M15" s="77"/>
      <c r="N15" s="77"/>
      <c r="O15" s="77"/>
      <c r="P15" s="77"/>
    </row>
  </sheetData>
  <mergeCells count="4">
    <mergeCell ref="A1:L1"/>
    <mergeCell ref="A4:A6"/>
    <mergeCell ref="A7:A9"/>
    <mergeCell ref="A10:B10"/>
  </mergeCells>
  <pageMargins left="0.7" right="0.7" top="0.75" bottom="0.75" header="0.3" footer="0.3"/>
  <pageSetup scale="75"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77"/>
    <col min="4" max="4" width="13.85546875" style="77" customWidth="1"/>
    <col min="5" max="5" width="16.28515625" style="77" customWidth="1"/>
    <col min="6" max="6" width="15.7109375" style="77" customWidth="1"/>
    <col min="7" max="7" width="21.42578125" style="77" customWidth="1"/>
    <col min="8" max="16384" width="11.42578125" style="77"/>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15:N39"/>
  <sheetViews>
    <sheetView showGridLines="0" view="pageBreakPreview" zoomScaleNormal="100" zoomScaleSheetLayoutView="100" workbookViewId="0">
      <selection activeCell="N24" sqref="N24"/>
    </sheetView>
  </sheetViews>
  <sheetFormatPr baseColWidth="10" defaultColWidth="11.42578125" defaultRowHeight="15"/>
  <cols>
    <col min="1" max="6" width="11.42578125" style="77"/>
    <col min="7" max="7" width="9.42578125" style="77" customWidth="1"/>
    <col min="8" max="10" width="11.42578125" style="77"/>
    <col min="11" max="11" width="15" style="77" customWidth="1"/>
    <col min="12" max="16384" width="11.42578125" style="77"/>
  </cols>
  <sheetData>
    <row r="15" spans="14:14">
      <c r="N15" s="834"/>
    </row>
    <row r="28" spans="14:14">
      <c r="N28" s="173"/>
    </row>
    <row r="39" spans="6:6">
      <c r="F39" s="144"/>
    </row>
  </sheetData>
  <pageMargins left="0.70866141732283472" right="0.70866141732283472" top="0.74803149606299213" bottom="0.74803149606299213" header="0.31496062992125984" footer="0.31496062992125984"/>
  <pageSetup scale="88"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X24"/>
  <sheetViews>
    <sheetView showGridLines="0" view="pageBreakPreview" zoomScale="70" zoomScaleNormal="100" zoomScaleSheetLayoutView="70" workbookViewId="0">
      <pane xSplit="1" ySplit="2" topLeftCell="F3" activePane="bottomRight" state="frozen"/>
      <selection activeCell="H9" sqref="H9"/>
      <selection pane="topRight" activeCell="H9" sqref="H9"/>
      <selection pane="bottomLeft" activeCell="H9" sqref="H9"/>
      <selection pane="bottomRight" activeCell="R44" sqref="R44"/>
    </sheetView>
  </sheetViews>
  <sheetFormatPr baseColWidth="10" defaultColWidth="11.42578125" defaultRowHeight="15"/>
  <cols>
    <col min="1" max="1" width="41.28515625" style="755" customWidth="1"/>
    <col min="2" max="2" width="13.85546875" style="755" customWidth="1"/>
    <col min="3" max="3" width="14.28515625" style="755" customWidth="1"/>
    <col min="4" max="4" width="16.28515625" style="755" customWidth="1"/>
    <col min="5" max="6" width="14.7109375" style="755" customWidth="1"/>
    <col min="7" max="9" width="16.28515625" style="755" customWidth="1"/>
    <col min="10" max="10" width="13.85546875" style="755" customWidth="1"/>
    <col min="11" max="11" width="13.42578125" style="755" customWidth="1"/>
    <col min="12" max="12" width="17.7109375" style="755" customWidth="1"/>
    <col min="13" max="13" width="13.7109375" style="755" customWidth="1"/>
    <col min="14" max="14" width="14.28515625" style="755" customWidth="1"/>
    <col min="15" max="16" width="20.5703125" style="755" customWidth="1"/>
    <col min="17" max="17" width="18.7109375" style="755" customWidth="1"/>
    <col min="18" max="18" width="11.42578125" style="755"/>
    <col min="19" max="19" width="20.140625" style="755" customWidth="1"/>
    <col min="20" max="16384" width="11.42578125" style="755"/>
  </cols>
  <sheetData>
    <row r="1" spans="1:24" ht="102" customHeight="1">
      <c r="A1" s="2239"/>
      <c r="B1" s="2239"/>
      <c r="C1" s="2239"/>
      <c r="D1" s="2239"/>
      <c r="E1" s="2239"/>
      <c r="F1" s="2239"/>
      <c r="G1" s="2239"/>
      <c r="H1" s="2239"/>
      <c r="I1" s="2239"/>
      <c r="J1" s="2239"/>
      <c r="K1" s="2239"/>
      <c r="L1" s="2239"/>
      <c r="M1" s="2239"/>
      <c r="N1" s="2239"/>
      <c r="O1" s="2239"/>
      <c r="P1" s="2239"/>
      <c r="Q1" s="2239"/>
    </row>
    <row r="2" spans="1:24" ht="20.25" customHeight="1">
      <c r="A2" s="1592" t="s">
        <v>908</v>
      </c>
      <c r="B2" s="1593" t="s">
        <v>240</v>
      </c>
      <c r="C2" s="1593" t="s">
        <v>165</v>
      </c>
      <c r="D2" s="1593" t="s">
        <v>214</v>
      </c>
      <c r="E2" s="1593" t="s">
        <v>215</v>
      </c>
      <c r="F2" s="1593" t="s">
        <v>184</v>
      </c>
      <c r="G2" s="1593" t="s">
        <v>216</v>
      </c>
      <c r="H2" s="1593" t="s">
        <v>457</v>
      </c>
      <c r="I2" s="1593" t="s">
        <v>534</v>
      </c>
      <c r="J2" s="1593" t="s">
        <v>541</v>
      </c>
      <c r="K2" s="1593">
        <v>2015</v>
      </c>
      <c r="L2" s="1593" t="s">
        <v>1008</v>
      </c>
      <c r="M2" s="1594" t="s">
        <v>23</v>
      </c>
      <c r="N2" s="1594" t="s">
        <v>35</v>
      </c>
      <c r="O2" s="1670"/>
      <c r="P2" s="1670"/>
      <c r="Q2" s="1670"/>
    </row>
    <row r="3" spans="1:24" ht="20.25" customHeight="1">
      <c r="A3" s="1595" t="s">
        <v>888</v>
      </c>
      <c r="B3" s="1486">
        <v>2</v>
      </c>
      <c r="C3" s="1486">
        <v>7</v>
      </c>
      <c r="D3" s="1486">
        <v>32</v>
      </c>
      <c r="E3" s="1486">
        <v>54</v>
      </c>
      <c r="F3" s="1486">
        <v>204</v>
      </c>
      <c r="G3" s="1486">
        <v>129</v>
      </c>
      <c r="H3" s="1486">
        <v>202</v>
      </c>
      <c r="I3" s="1486">
        <v>121</v>
      </c>
      <c r="J3" s="1486">
        <v>139</v>
      </c>
      <c r="K3" s="1486">
        <v>147</v>
      </c>
      <c r="L3" s="1486">
        <v>48</v>
      </c>
      <c r="M3" s="1913">
        <f>SUM(B3:L3)</f>
        <v>1085</v>
      </c>
      <c r="N3" s="1673">
        <f>+M3/$M$6</f>
        <v>0.91715976331360949</v>
      </c>
      <c r="O3" s="1671"/>
      <c r="P3" s="1671"/>
      <c r="Q3" s="1671"/>
    </row>
    <row r="4" spans="1:24" ht="20.25" customHeight="1">
      <c r="A4" s="1595" t="s">
        <v>889</v>
      </c>
      <c r="B4" s="1486"/>
      <c r="C4" s="1486"/>
      <c r="D4" s="1486"/>
      <c r="E4" s="1486">
        <v>1</v>
      </c>
      <c r="F4" s="1486"/>
      <c r="G4" s="1486">
        <v>5</v>
      </c>
      <c r="H4" s="1486">
        <v>2</v>
      </c>
      <c r="I4" s="1486">
        <v>3</v>
      </c>
      <c r="J4" s="1486">
        <v>6</v>
      </c>
      <c r="K4" s="1486">
        <v>7</v>
      </c>
      <c r="L4" s="1486">
        <v>10</v>
      </c>
      <c r="M4" s="1913">
        <f>SUM(B4:L4)</f>
        <v>34</v>
      </c>
      <c r="N4" s="1673">
        <f>+M4/$M$6</f>
        <v>2.8740490278951817E-2</v>
      </c>
      <c r="O4" s="1671"/>
      <c r="P4" s="1671"/>
      <c r="Q4" s="1671"/>
    </row>
    <row r="5" spans="1:24" ht="20.25" customHeight="1">
      <c r="A5" s="1595" t="s">
        <v>909</v>
      </c>
      <c r="B5" s="1486"/>
      <c r="C5" s="1486"/>
      <c r="D5" s="1486"/>
      <c r="E5" s="1486">
        <v>1</v>
      </c>
      <c r="F5" s="1486">
        <v>5</v>
      </c>
      <c r="G5" s="1486"/>
      <c r="H5" s="1486">
        <v>20</v>
      </c>
      <c r="I5" s="1486">
        <v>11</v>
      </c>
      <c r="J5" s="1486">
        <v>6</v>
      </c>
      <c r="K5" s="1486">
        <v>10</v>
      </c>
      <c r="L5" s="1486">
        <v>11</v>
      </c>
      <c r="M5" s="1913">
        <f>SUM(B5:L5)</f>
        <v>64</v>
      </c>
      <c r="N5" s="1673">
        <f>+M5/$M$6</f>
        <v>5.4099746407438712E-2</v>
      </c>
      <c r="O5" s="1671"/>
      <c r="P5" s="1671"/>
      <c r="Q5" s="1671"/>
    </row>
    <row r="6" spans="1:24" ht="20.25" customHeight="1">
      <c r="A6" s="1592" t="s">
        <v>23</v>
      </c>
      <c r="B6" s="1674">
        <f t="shared" ref="B6:N6" si="0">SUM(B3:B5)</f>
        <v>2</v>
      </c>
      <c r="C6" s="1674">
        <f t="shared" si="0"/>
        <v>7</v>
      </c>
      <c r="D6" s="1674">
        <f t="shared" si="0"/>
        <v>32</v>
      </c>
      <c r="E6" s="1674">
        <f t="shared" si="0"/>
        <v>56</v>
      </c>
      <c r="F6" s="1674">
        <f t="shared" si="0"/>
        <v>209</v>
      </c>
      <c r="G6" s="1674">
        <f t="shared" si="0"/>
        <v>134</v>
      </c>
      <c r="H6" s="1674">
        <f t="shared" si="0"/>
        <v>224</v>
      </c>
      <c r="I6" s="1674">
        <f t="shared" si="0"/>
        <v>135</v>
      </c>
      <c r="J6" s="1674">
        <f t="shared" si="0"/>
        <v>151</v>
      </c>
      <c r="K6" s="1674">
        <f t="shared" si="0"/>
        <v>164</v>
      </c>
      <c r="L6" s="1674">
        <f t="shared" si="0"/>
        <v>69</v>
      </c>
      <c r="M6" s="1675">
        <f t="shared" si="0"/>
        <v>1183</v>
      </c>
      <c r="N6" s="1600">
        <f t="shared" si="0"/>
        <v>1</v>
      </c>
      <c r="O6" s="1672"/>
      <c r="Q6" s="1672"/>
      <c r="R6" s="1916"/>
    </row>
    <row r="7" spans="1:24" s="1667" customFormat="1" ht="19.5" customHeight="1">
      <c r="A7" s="2250" t="s">
        <v>891</v>
      </c>
      <c r="B7" s="2250"/>
      <c r="C7" s="2250"/>
      <c r="R7" s="1668"/>
      <c r="S7" s="1668"/>
    </row>
    <row r="8" spans="1:24">
      <c r="S8" s="1409"/>
      <c r="T8" s="1409"/>
      <c r="U8" s="1409"/>
      <c r="V8" s="1409"/>
      <c r="W8" s="1409"/>
    </row>
    <row r="9" spans="1:24">
      <c r="R9" s="756"/>
      <c r="S9" s="1409"/>
      <c r="T9" s="1409"/>
      <c r="U9" s="1409"/>
      <c r="V9" s="1409"/>
      <c r="W9" s="1409"/>
    </row>
    <row r="10" spans="1:24">
      <c r="R10" s="756"/>
      <c r="S10" s="1409"/>
      <c r="T10" s="1409"/>
      <c r="U10" s="1409"/>
      <c r="V10" s="1409"/>
      <c r="W10" s="1409"/>
    </row>
    <row r="11" spans="1:24">
      <c r="S11" s="1409"/>
      <c r="T11" s="1409"/>
      <c r="U11" s="1409"/>
      <c r="V11" s="1409"/>
      <c r="W11" s="1409"/>
    </row>
    <row r="12" spans="1:24">
      <c r="S12" s="1409"/>
      <c r="T12" s="1409"/>
      <c r="U12" s="1409"/>
      <c r="V12" s="1409"/>
      <c r="W12" s="1409"/>
    </row>
    <row r="13" spans="1:24">
      <c r="S13" s="1409"/>
      <c r="T13" s="1409"/>
      <c r="U13" s="1409"/>
      <c r="V13" s="1409"/>
      <c r="W13" s="1409"/>
    </row>
    <row r="14" spans="1:24">
      <c r="S14" s="1409"/>
      <c r="T14" s="1409"/>
      <c r="U14" s="1409"/>
      <c r="V14" s="1409"/>
      <c r="W14" s="1409"/>
    </row>
    <row r="15" spans="1:24">
      <c r="S15" s="1409"/>
      <c r="T15" s="1409"/>
      <c r="U15" s="1409"/>
      <c r="V15" s="1409"/>
      <c r="W15" s="1409"/>
    </row>
    <row r="16" spans="1:24">
      <c r="W16" s="758"/>
      <c r="X16" s="759"/>
    </row>
    <row r="17" spans="20:24">
      <c r="W17" s="758"/>
      <c r="X17" s="759"/>
    </row>
    <row r="19" spans="20:24">
      <c r="W19" s="758"/>
      <c r="X19" s="759"/>
    </row>
    <row r="20" spans="20:24">
      <c r="W20" s="758"/>
      <c r="X20" s="759"/>
    </row>
    <row r="21" spans="20:24">
      <c r="X21" s="759"/>
    </row>
    <row r="24" spans="20:24">
      <c r="T24" s="757"/>
    </row>
  </sheetData>
  <mergeCells count="2">
    <mergeCell ref="A1:Q1"/>
    <mergeCell ref="A7:C7"/>
  </mergeCells>
  <pageMargins left="0.7" right="0.7" top="0.75" bottom="0.75" header="0.3" footer="0.3"/>
  <pageSetup scale="41"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U28"/>
  <sheetViews>
    <sheetView showGridLines="0" view="pageBreakPreview" zoomScale="70" zoomScaleNormal="100" zoomScaleSheetLayoutView="70" workbookViewId="0">
      <pane xSplit="1" ySplit="3" topLeftCell="B5" activePane="bottomRight" state="frozen"/>
      <selection activeCell="H9" sqref="H9"/>
      <selection pane="topRight" activeCell="H9" sqref="H9"/>
      <selection pane="bottomLeft" activeCell="H9" sqref="H9"/>
      <selection pane="bottomRight" activeCell="Q57" sqref="Q57"/>
    </sheetView>
  </sheetViews>
  <sheetFormatPr baseColWidth="10" defaultColWidth="11.42578125" defaultRowHeight="15"/>
  <cols>
    <col min="1" max="1" width="58.7109375" style="755" customWidth="1"/>
    <col min="2" max="10" width="17.140625" style="755" customWidth="1"/>
    <col min="11" max="11" width="21.28515625" style="755" customWidth="1"/>
    <col min="12" max="12" width="26.7109375" style="755" customWidth="1"/>
    <col min="13" max="13" width="16.85546875" style="755" customWidth="1"/>
    <col min="14" max="14" width="16.5703125" style="755" customWidth="1"/>
    <col min="15" max="15" width="11.42578125" style="755"/>
    <col min="16" max="16" width="20.140625" style="755" customWidth="1"/>
    <col min="17" max="16384" width="11.42578125" style="755"/>
  </cols>
  <sheetData>
    <row r="1" spans="1:20" ht="84.75" customHeight="1">
      <c r="A1" s="2239"/>
      <c r="B1" s="2239"/>
      <c r="C1" s="2239"/>
      <c r="D1" s="2239"/>
      <c r="E1" s="2239"/>
      <c r="F1" s="2239"/>
      <c r="G1" s="2239"/>
      <c r="H1" s="2239"/>
      <c r="I1" s="2239"/>
      <c r="J1" s="2239"/>
      <c r="K1" s="2239"/>
      <c r="L1" s="2239"/>
      <c r="M1" s="2239"/>
      <c r="N1" s="2239"/>
    </row>
    <row r="2" spans="1:20" ht="6.75" customHeight="1">
      <c r="A2" s="2240"/>
      <c r="B2" s="2240"/>
      <c r="C2" s="2240"/>
      <c r="D2" s="2240"/>
      <c r="E2" s="2240"/>
      <c r="F2" s="2240"/>
      <c r="G2" s="2240"/>
      <c r="H2" s="2240"/>
      <c r="I2" s="2240"/>
      <c r="J2" s="2240"/>
      <c r="K2" s="2240"/>
      <c r="L2" s="2240"/>
      <c r="M2" s="2240"/>
      <c r="N2" s="1410"/>
    </row>
    <row r="3" spans="1:20" ht="26.25" customHeight="1">
      <c r="A3" s="1592" t="s">
        <v>907</v>
      </c>
      <c r="B3" s="1593" t="s">
        <v>240</v>
      </c>
      <c r="C3" s="1593" t="s">
        <v>165</v>
      </c>
      <c r="D3" s="1593" t="s">
        <v>214</v>
      </c>
      <c r="E3" s="1593" t="s">
        <v>215</v>
      </c>
      <c r="F3" s="1593" t="s">
        <v>184</v>
      </c>
      <c r="G3" s="1593" t="s">
        <v>216</v>
      </c>
      <c r="H3" s="1593" t="s">
        <v>457</v>
      </c>
      <c r="I3" s="1593" t="s">
        <v>534</v>
      </c>
      <c r="J3" s="1593" t="s">
        <v>541</v>
      </c>
      <c r="K3" s="1593">
        <v>2015</v>
      </c>
      <c r="L3" s="1593" t="s">
        <v>1008</v>
      </c>
      <c r="M3" s="1594" t="s">
        <v>23</v>
      </c>
      <c r="N3" s="1594" t="s">
        <v>23</v>
      </c>
    </row>
    <row r="4" spans="1:20" ht="17.25" customHeight="1">
      <c r="A4" s="1595" t="s">
        <v>902</v>
      </c>
      <c r="B4" s="1040"/>
      <c r="C4" s="1040">
        <v>2</v>
      </c>
      <c r="D4" s="1040">
        <v>3</v>
      </c>
      <c r="E4" s="1040">
        <v>5</v>
      </c>
      <c r="F4" s="1040">
        <v>16</v>
      </c>
      <c r="G4" s="1040">
        <v>2</v>
      </c>
      <c r="H4" s="1040">
        <v>2</v>
      </c>
      <c r="I4" s="1040"/>
      <c r="J4" s="1040">
        <v>2</v>
      </c>
      <c r="K4" s="1040">
        <v>0</v>
      </c>
      <c r="L4" s="2035">
        <v>4</v>
      </c>
      <c r="M4" s="1596">
        <f t="shared" ref="M4:M9" si="0">SUM(B4:L4)</f>
        <v>36</v>
      </c>
      <c r="N4" s="1597">
        <f t="shared" ref="N4:N9" si="1">+M4/$M$10</f>
        <v>3.0431107354184278E-2</v>
      </c>
    </row>
    <row r="5" spans="1:20" ht="17.25" customHeight="1">
      <c r="A5" s="1595" t="s">
        <v>903</v>
      </c>
      <c r="B5" s="1040"/>
      <c r="C5" s="1040">
        <v>1</v>
      </c>
      <c r="D5" s="1040">
        <v>11</v>
      </c>
      <c r="E5" s="1040">
        <v>11</v>
      </c>
      <c r="F5" s="1040">
        <v>30</v>
      </c>
      <c r="G5" s="1040">
        <v>10</v>
      </c>
      <c r="H5" s="1040">
        <v>15</v>
      </c>
      <c r="I5" s="1040">
        <v>10</v>
      </c>
      <c r="J5" s="1040">
        <v>19</v>
      </c>
      <c r="K5" s="1040">
        <v>18</v>
      </c>
      <c r="L5" s="2035">
        <v>15</v>
      </c>
      <c r="M5" s="1596">
        <f t="shared" si="0"/>
        <v>140</v>
      </c>
      <c r="N5" s="1597">
        <f t="shared" si="1"/>
        <v>0.11834319526627218</v>
      </c>
    </row>
    <row r="6" spans="1:20" ht="18.75">
      <c r="A6" s="1595" t="s">
        <v>904</v>
      </c>
      <c r="B6" s="1040"/>
      <c r="C6" s="1040">
        <v>1</v>
      </c>
      <c r="D6" s="1040">
        <v>1</v>
      </c>
      <c r="E6" s="1040">
        <v>1</v>
      </c>
      <c r="F6" s="1040">
        <v>12</v>
      </c>
      <c r="G6" s="1040">
        <v>4</v>
      </c>
      <c r="H6" s="1040">
        <v>15</v>
      </c>
      <c r="I6" s="1040">
        <v>12</v>
      </c>
      <c r="J6" s="1040">
        <v>13</v>
      </c>
      <c r="K6" s="1040">
        <v>28</v>
      </c>
      <c r="L6" s="2035">
        <v>17</v>
      </c>
      <c r="M6" s="1596">
        <f t="shared" si="0"/>
        <v>104</v>
      </c>
      <c r="N6" s="1597">
        <f t="shared" si="1"/>
        <v>8.7912087912087919E-2</v>
      </c>
    </row>
    <row r="7" spans="1:20" ht="18.75">
      <c r="A7" s="1595" t="s">
        <v>905</v>
      </c>
      <c r="B7" s="1040">
        <v>2</v>
      </c>
      <c r="C7" s="1040">
        <v>3</v>
      </c>
      <c r="D7" s="1040">
        <v>17</v>
      </c>
      <c r="E7" s="1040">
        <v>39</v>
      </c>
      <c r="F7" s="1040">
        <v>151</v>
      </c>
      <c r="G7" s="1040">
        <v>117</v>
      </c>
      <c r="H7" s="1040">
        <v>190</v>
      </c>
      <c r="I7" s="1040">
        <v>112</v>
      </c>
      <c r="J7" s="1040">
        <v>103</v>
      </c>
      <c r="K7" s="1040">
        <v>108</v>
      </c>
      <c r="L7" s="2035">
        <v>31</v>
      </c>
      <c r="M7" s="1596">
        <f t="shared" si="0"/>
        <v>873</v>
      </c>
      <c r="N7" s="1597">
        <f t="shared" si="1"/>
        <v>0.73795435333896875</v>
      </c>
    </row>
    <row r="8" spans="1:20" ht="18.75">
      <c r="A8" s="1595" t="s">
        <v>906</v>
      </c>
      <c r="B8" s="1040"/>
      <c r="C8" s="1040"/>
      <c r="D8" s="1040"/>
      <c r="E8" s="1040"/>
      <c r="F8" s="1040"/>
      <c r="G8" s="1040">
        <v>1</v>
      </c>
      <c r="H8" s="1040">
        <v>2</v>
      </c>
      <c r="I8" s="1040">
        <v>1</v>
      </c>
      <c r="J8" s="1040">
        <v>14</v>
      </c>
      <c r="K8" s="1040">
        <v>8</v>
      </c>
      <c r="L8" s="2035">
        <v>0</v>
      </c>
      <c r="M8" s="1596">
        <f t="shared" si="0"/>
        <v>26</v>
      </c>
      <c r="N8" s="1597">
        <f t="shared" si="1"/>
        <v>2.197802197802198E-2</v>
      </c>
    </row>
    <row r="9" spans="1:20" ht="18.75">
      <c r="A9" s="1595" t="s">
        <v>901</v>
      </c>
      <c r="B9" s="1040"/>
      <c r="C9" s="1040"/>
      <c r="D9" s="1040"/>
      <c r="E9" s="1040"/>
      <c r="F9" s="1040"/>
      <c r="G9" s="1040"/>
      <c r="H9" s="1040"/>
      <c r="I9" s="1040"/>
      <c r="J9" s="1040"/>
      <c r="K9" s="1040">
        <v>2</v>
      </c>
      <c r="L9" s="2035">
        <v>2</v>
      </c>
      <c r="M9" s="1596">
        <f t="shared" si="0"/>
        <v>4</v>
      </c>
      <c r="N9" s="1597">
        <f t="shared" si="1"/>
        <v>3.3812341504649195E-3</v>
      </c>
    </row>
    <row r="10" spans="1:20" ht="18.75">
      <c r="A10" s="1592" t="s">
        <v>23</v>
      </c>
      <c r="B10" s="1598">
        <f t="shared" ref="B10:N10" si="2">SUM(B4:B9)</f>
        <v>2</v>
      </c>
      <c r="C10" s="1598">
        <f t="shared" si="2"/>
        <v>7</v>
      </c>
      <c r="D10" s="1598">
        <f t="shared" si="2"/>
        <v>32</v>
      </c>
      <c r="E10" s="1598">
        <f t="shared" si="2"/>
        <v>56</v>
      </c>
      <c r="F10" s="1598">
        <f t="shared" si="2"/>
        <v>209</v>
      </c>
      <c r="G10" s="1598">
        <f t="shared" si="2"/>
        <v>134</v>
      </c>
      <c r="H10" s="1598">
        <f t="shared" si="2"/>
        <v>224</v>
      </c>
      <c r="I10" s="1598">
        <f t="shared" si="2"/>
        <v>135</v>
      </c>
      <c r="J10" s="1598">
        <f>SUM(J4:J9)</f>
        <v>151</v>
      </c>
      <c r="K10" s="1598">
        <f>SUM(K4:K9)</f>
        <v>164</v>
      </c>
      <c r="L10" s="1598">
        <f>SUM(L4:L9)</f>
        <v>69</v>
      </c>
      <c r="M10" s="1599">
        <f t="shared" si="2"/>
        <v>1183</v>
      </c>
      <c r="N10" s="1600">
        <f t="shared" si="2"/>
        <v>1</v>
      </c>
    </row>
    <row r="11" spans="1:20" ht="15.75">
      <c r="A11" s="1601" t="s">
        <v>951</v>
      </c>
      <c r="O11" s="756"/>
      <c r="P11" s="756"/>
    </row>
    <row r="12" spans="1:20">
      <c r="P12" s="1409"/>
      <c r="Q12" s="1409"/>
      <c r="R12" s="1409"/>
      <c r="S12" s="1409"/>
      <c r="T12" s="1409"/>
    </row>
    <row r="13" spans="1:20">
      <c r="O13" s="756"/>
      <c r="P13" s="1555"/>
      <c r="Q13" s="1409"/>
      <c r="R13" s="1409"/>
      <c r="S13" s="1409"/>
      <c r="T13" s="1409"/>
    </row>
    <row r="14" spans="1:20">
      <c r="O14" s="756"/>
      <c r="P14" s="1409"/>
      <c r="Q14" s="1409"/>
      <c r="R14" s="1409"/>
      <c r="S14" s="1409"/>
      <c r="T14" s="1409"/>
    </row>
    <row r="15" spans="1:20">
      <c r="P15" s="1409"/>
      <c r="Q15" s="1409"/>
      <c r="R15" s="1409"/>
      <c r="S15" s="1409"/>
      <c r="T15" s="1409"/>
    </row>
    <row r="16" spans="1:20">
      <c r="P16" s="1409"/>
      <c r="Q16" s="1409"/>
      <c r="R16" s="1409"/>
      <c r="S16" s="1409"/>
      <c r="T16" s="1409"/>
    </row>
    <row r="17" spans="16:21">
      <c r="P17" s="1409"/>
      <c r="Q17" s="1409"/>
      <c r="R17" s="1409"/>
      <c r="S17" s="1409"/>
      <c r="T17" s="1409"/>
    </row>
    <row r="18" spans="16:21">
      <c r="P18" s="1409"/>
      <c r="Q18" s="1409"/>
      <c r="R18" s="1409"/>
      <c r="S18" s="1409"/>
      <c r="T18" s="1409"/>
    </row>
    <row r="19" spans="16:21">
      <c r="P19" s="1409"/>
      <c r="Q19" s="1409"/>
      <c r="R19" s="1409"/>
      <c r="S19" s="1409"/>
      <c r="T19" s="1409"/>
    </row>
    <row r="20" spans="16:21">
      <c r="T20" s="758"/>
      <c r="U20" s="759"/>
    </row>
    <row r="21" spans="16:21">
      <c r="T21" s="758"/>
      <c r="U21" s="759"/>
    </row>
    <row r="23" spans="16:21">
      <c r="T23" s="758"/>
      <c r="U23" s="759"/>
    </row>
    <row r="24" spans="16:21">
      <c r="T24" s="758"/>
      <c r="U24" s="759"/>
    </row>
    <row r="25" spans="16:21">
      <c r="U25" s="759"/>
    </row>
    <row r="28" spans="16:21">
      <c r="Q28" s="757"/>
    </row>
  </sheetData>
  <mergeCells count="2">
    <mergeCell ref="A1:N1"/>
    <mergeCell ref="A2:M2"/>
  </mergeCells>
  <pageMargins left="0.7" right="0.7" top="0.75" bottom="0.75" header="0.3" footer="0.3"/>
  <pageSetup scale="41"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32"/>
  <sheetViews>
    <sheetView showGridLines="0" view="pageBreakPreview" zoomScale="70" zoomScaleNormal="100" zoomScaleSheetLayoutView="70" workbookViewId="0">
      <pane ySplit="1" topLeftCell="A2" activePane="bottomLeft" state="frozen"/>
      <selection pane="bottomLeft" activeCell="A3" sqref="A3"/>
    </sheetView>
  </sheetViews>
  <sheetFormatPr baseColWidth="10" defaultColWidth="11.42578125" defaultRowHeight="15"/>
  <cols>
    <col min="1" max="1" width="15.5703125" style="755" customWidth="1"/>
    <col min="2" max="2" width="12.42578125" style="755" customWidth="1"/>
    <col min="3" max="3" width="13.5703125" style="755" customWidth="1"/>
    <col min="4" max="4" width="16" style="755" customWidth="1"/>
    <col min="5" max="16384" width="11.42578125" style="755"/>
  </cols>
  <sheetData>
    <row r="1" spans="1:18" ht="81.75" customHeight="1">
      <c r="A1" s="2239"/>
      <c r="B1" s="2239"/>
      <c r="C1" s="2239"/>
      <c r="D1" s="2239"/>
      <c r="E1" s="2239"/>
      <c r="F1" s="2239"/>
      <c r="G1" s="2239"/>
      <c r="H1" s="2239"/>
      <c r="I1" s="2239"/>
      <c r="J1" s="2239"/>
      <c r="K1" s="2239"/>
      <c r="L1" s="2239"/>
      <c r="M1" s="2239"/>
      <c r="N1" s="2239"/>
      <c r="O1" s="2239"/>
      <c r="P1" s="2239"/>
    </row>
    <row r="2" spans="1:18" ht="9" customHeight="1">
      <c r="A2" s="2240"/>
      <c r="B2" s="2240"/>
      <c r="C2" s="2240"/>
      <c r="D2" s="2240"/>
      <c r="E2" s="2240"/>
    </row>
    <row r="3" spans="1:18" ht="32.25" customHeight="1">
      <c r="A3" s="778" t="s">
        <v>25</v>
      </c>
      <c r="B3" s="779" t="s">
        <v>893</v>
      </c>
      <c r="C3" s="779" t="s">
        <v>892</v>
      </c>
      <c r="D3" s="1408" t="s">
        <v>899</v>
      </c>
    </row>
    <row r="4" spans="1:18" ht="14.25" customHeight="1">
      <c r="A4" s="1678">
        <v>2006</v>
      </c>
      <c r="B4" s="1412">
        <v>2</v>
      </c>
      <c r="C4" s="1412">
        <v>0</v>
      </c>
      <c r="D4" s="1676">
        <f>+C4/B4</f>
        <v>0</v>
      </c>
    </row>
    <row r="5" spans="1:18" ht="13.5" customHeight="1">
      <c r="A5" s="1678">
        <v>2007</v>
      </c>
      <c r="B5" s="1412">
        <v>7</v>
      </c>
      <c r="C5" s="1412">
        <v>1</v>
      </c>
      <c r="D5" s="1676">
        <f>+C5/B5</f>
        <v>0.14285714285714285</v>
      </c>
      <c r="G5" s="1372"/>
    </row>
    <row r="6" spans="1:18">
      <c r="A6" s="1678">
        <v>2008</v>
      </c>
      <c r="B6" s="1412">
        <v>32</v>
      </c>
      <c r="C6" s="1412">
        <v>5</v>
      </c>
      <c r="D6" s="1676">
        <f t="shared" ref="D6:D14" si="0">+C6/B6</f>
        <v>0.15625</v>
      </c>
    </row>
    <row r="7" spans="1:18">
      <c r="A7" s="1678">
        <v>2009</v>
      </c>
      <c r="B7" s="1412">
        <v>56</v>
      </c>
      <c r="C7" s="1412">
        <v>3</v>
      </c>
      <c r="D7" s="1676">
        <f t="shared" si="0"/>
        <v>5.3571428571428568E-2</v>
      </c>
    </row>
    <row r="8" spans="1:18">
      <c r="A8" s="1678">
        <v>2010</v>
      </c>
      <c r="B8" s="1412">
        <v>209</v>
      </c>
      <c r="C8" s="1412">
        <v>31</v>
      </c>
      <c r="D8" s="1676">
        <f t="shared" si="0"/>
        <v>0.14832535885167464</v>
      </c>
    </row>
    <row r="9" spans="1:18">
      <c r="A9" s="1678">
        <v>2011</v>
      </c>
      <c r="B9" s="1412">
        <v>134</v>
      </c>
      <c r="C9" s="1412">
        <v>15</v>
      </c>
      <c r="D9" s="1676">
        <f t="shared" si="0"/>
        <v>0.11194029850746269</v>
      </c>
    </row>
    <row r="10" spans="1:18">
      <c r="A10" s="1678">
        <v>2012</v>
      </c>
      <c r="B10" s="1412">
        <v>224</v>
      </c>
      <c r="C10" s="1412">
        <v>34</v>
      </c>
      <c r="D10" s="1676">
        <f t="shared" si="0"/>
        <v>0.15178571428571427</v>
      </c>
    </row>
    <row r="11" spans="1:18">
      <c r="A11" s="1678">
        <v>2013</v>
      </c>
      <c r="B11" s="1412">
        <v>135</v>
      </c>
      <c r="C11" s="1412">
        <v>16</v>
      </c>
      <c r="D11" s="1676">
        <f t="shared" si="0"/>
        <v>0.11851851851851852</v>
      </c>
    </row>
    <row r="12" spans="1:18">
      <c r="A12" s="1678">
        <v>2014</v>
      </c>
      <c r="B12" s="1412">
        <v>151</v>
      </c>
      <c r="C12" s="1412">
        <v>14</v>
      </c>
      <c r="D12" s="1676">
        <f t="shared" si="0"/>
        <v>9.2715231788079472E-2</v>
      </c>
    </row>
    <row r="13" spans="1:18">
      <c r="A13" s="1678">
        <v>2015</v>
      </c>
      <c r="B13" s="1412">
        <f>+'VII.3.CBSS-Benef'!K10</f>
        <v>164</v>
      </c>
      <c r="C13" s="1412">
        <v>19</v>
      </c>
      <c r="D13" s="1676">
        <f t="shared" si="0"/>
        <v>0.11585365853658537</v>
      </c>
    </row>
    <row r="14" spans="1:18">
      <c r="A14" s="1678" t="s">
        <v>1008</v>
      </c>
      <c r="B14" s="1412">
        <f>+'VII.3.CBSS-Benef'!L10</f>
        <v>69</v>
      </c>
      <c r="C14" s="1412">
        <v>7</v>
      </c>
      <c r="D14" s="1676">
        <f t="shared" si="0"/>
        <v>0.10144927536231885</v>
      </c>
    </row>
    <row r="15" spans="1:18">
      <c r="A15" s="778" t="s">
        <v>23</v>
      </c>
      <c r="B15" s="1413">
        <f>SUM(B4:B14)</f>
        <v>1183</v>
      </c>
      <c r="C15" s="1413">
        <f>SUM(C4:C14)</f>
        <v>145</v>
      </c>
      <c r="D15" s="1677">
        <f>C15/B15</f>
        <v>0.12256973795435334</v>
      </c>
      <c r="Q15" s="756"/>
      <c r="R15" s="756"/>
    </row>
    <row r="16" spans="1:18">
      <c r="A16" s="757" t="s">
        <v>891</v>
      </c>
    </row>
    <row r="17" spans="17:23">
      <c r="Q17" s="756"/>
    </row>
    <row r="18" spans="17:23">
      <c r="Q18" s="756"/>
    </row>
    <row r="20" spans="17:23">
      <c r="R20" s="757"/>
      <c r="S20" s="757"/>
      <c r="T20" s="757"/>
    </row>
    <row r="21" spans="17:23">
      <c r="R21" s="757"/>
      <c r="V21" s="758"/>
      <c r="W21" s="759"/>
    </row>
    <row r="22" spans="17:23">
      <c r="R22" s="757"/>
      <c r="V22" s="758"/>
      <c r="W22" s="759"/>
    </row>
    <row r="23" spans="17:23">
      <c r="V23" s="758"/>
      <c r="W23" s="759"/>
    </row>
    <row r="24" spans="17:23">
      <c r="V24" s="758"/>
      <c r="W24" s="759"/>
    </row>
    <row r="25" spans="17:23">
      <c r="V25" s="758"/>
      <c r="W25" s="759"/>
    </row>
    <row r="26" spans="17:23">
      <c r="V26" s="758"/>
      <c r="W26" s="759"/>
    </row>
    <row r="27" spans="17:23">
      <c r="V27" s="758"/>
      <c r="W27" s="759"/>
    </row>
    <row r="28" spans="17:23">
      <c r="V28" s="758"/>
      <c r="W28" s="759"/>
    </row>
    <row r="29" spans="17:23">
      <c r="W29" s="759"/>
    </row>
    <row r="32" spans="17:23">
      <c r="S32" s="757"/>
    </row>
  </sheetData>
  <mergeCells count="2">
    <mergeCell ref="A1:P1"/>
    <mergeCell ref="A2:E2"/>
  </mergeCells>
  <pageMargins left="0.7" right="0.7" top="0.75" bottom="0.75" header="0.3" footer="0.3"/>
  <pageSetup scale="63"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V32"/>
  <sheetViews>
    <sheetView showGridLines="0" view="pageBreakPreview" zoomScale="70" zoomScaleNormal="100" zoomScaleSheetLayoutView="70" workbookViewId="0">
      <selection activeCell="S35" sqref="S35"/>
    </sheetView>
  </sheetViews>
  <sheetFormatPr baseColWidth="10" defaultColWidth="11.42578125" defaultRowHeight="15"/>
  <cols>
    <col min="1" max="1" width="18" style="755" customWidth="1"/>
    <col min="2" max="2" width="17.7109375" style="755" customWidth="1"/>
    <col min="3" max="3" width="24" style="755" customWidth="1"/>
    <col min="4" max="4" width="17.5703125" style="755" customWidth="1"/>
    <col min="5" max="5" width="11.28515625" style="755" customWidth="1"/>
    <col min="6" max="12" width="11.42578125" style="755"/>
    <col min="13" max="13" width="22.7109375" style="755" customWidth="1"/>
    <col min="14" max="14" width="15.7109375" style="755" customWidth="1"/>
    <col min="15" max="15" width="15.5703125" style="755" customWidth="1"/>
    <col min="16" max="16384" width="11.42578125" style="755"/>
  </cols>
  <sheetData>
    <row r="1" spans="1:17" ht="80.25" customHeight="1">
      <c r="A1" s="2239"/>
      <c r="B1" s="2239"/>
      <c r="C1" s="2239"/>
      <c r="D1" s="2239"/>
      <c r="E1" s="2239"/>
      <c r="F1" s="2239"/>
      <c r="G1" s="2239"/>
      <c r="H1" s="2239"/>
      <c r="I1" s="2239"/>
      <c r="J1" s="2239"/>
      <c r="K1" s="2239"/>
      <c r="L1" s="2239"/>
      <c r="M1" s="2239"/>
      <c r="N1" s="2239"/>
      <c r="O1" s="2239"/>
    </row>
    <row r="2" spans="1:17" ht="6.75" customHeight="1">
      <c r="A2" s="2240"/>
      <c r="B2" s="2240"/>
      <c r="C2" s="2240"/>
      <c r="D2" s="2240"/>
      <c r="E2" s="2240"/>
      <c r="F2" s="2240"/>
    </row>
    <row r="3" spans="1:17" ht="54.75" customHeight="1">
      <c r="A3" s="778" t="s">
        <v>25</v>
      </c>
      <c r="B3" s="1411" t="s">
        <v>896</v>
      </c>
      <c r="C3" s="779" t="s">
        <v>897</v>
      </c>
      <c r="D3" s="779" t="s">
        <v>895</v>
      </c>
      <c r="E3" s="1408" t="s">
        <v>23</v>
      </c>
    </row>
    <row r="4" spans="1:17" ht="17.25" customHeight="1">
      <c r="A4" s="1678">
        <v>2006</v>
      </c>
      <c r="B4" s="660">
        <v>1</v>
      </c>
      <c r="C4" s="660">
        <v>0</v>
      </c>
      <c r="D4" s="660">
        <v>1</v>
      </c>
      <c r="E4" s="1833">
        <f>+D4+C4+B4</f>
        <v>2</v>
      </c>
    </row>
    <row r="5" spans="1:17" ht="17.25" customHeight="1">
      <c r="A5" s="1678">
        <v>2007</v>
      </c>
      <c r="B5" s="660">
        <v>1</v>
      </c>
      <c r="C5" s="660">
        <v>0</v>
      </c>
      <c r="D5" s="660">
        <v>2</v>
      </c>
      <c r="E5" s="1833">
        <f>+B5+C5+D5</f>
        <v>3</v>
      </c>
      <c r="H5" s="1372"/>
    </row>
    <row r="6" spans="1:17">
      <c r="A6" s="1678">
        <v>2008</v>
      </c>
      <c r="B6" s="660">
        <v>0</v>
      </c>
      <c r="C6" s="660">
        <v>3</v>
      </c>
      <c r="D6" s="660">
        <v>12</v>
      </c>
      <c r="E6" s="1833">
        <f t="shared" ref="E6:E14" si="0">+B6+C6+D6</f>
        <v>15</v>
      </c>
    </row>
    <row r="7" spans="1:17">
      <c r="A7" s="1678">
        <v>2009</v>
      </c>
      <c r="B7" s="660">
        <v>13</v>
      </c>
      <c r="C7" s="660">
        <v>5</v>
      </c>
      <c r="D7" s="660">
        <v>26</v>
      </c>
      <c r="E7" s="1833">
        <f t="shared" si="0"/>
        <v>44</v>
      </c>
    </row>
    <row r="8" spans="1:17">
      <c r="A8" s="1678">
        <v>2010</v>
      </c>
      <c r="B8" s="660">
        <v>60</v>
      </c>
      <c r="C8" s="660">
        <v>18</v>
      </c>
      <c r="D8" s="660">
        <v>62</v>
      </c>
      <c r="E8" s="1833">
        <f t="shared" si="0"/>
        <v>140</v>
      </c>
    </row>
    <row r="9" spans="1:17">
      <c r="A9" s="1678">
        <v>2011</v>
      </c>
      <c r="B9" s="660">
        <v>36</v>
      </c>
      <c r="C9" s="660">
        <v>7</v>
      </c>
      <c r="D9" s="660">
        <v>47</v>
      </c>
      <c r="E9" s="1833">
        <f t="shared" si="0"/>
        <v>90</v>
      </c>
    </row>
    <row r="10" spans="1:17">
      <c r="A10" s="1678">
        <v>2012</v>
      </c>
      <c r="B10" s="660">
        <v>72</v>
      </c>
      <c r="C10" s="660">
        <v>25</v>
      </c>
      <c r="D10" s="660">
        <v>50</v>
      </c>
      <c r="E10" s="1833">
        <f t="shared" si="0"/>
        <v>147</v>
      </c>
    </row>
    <row r="11" spans="1:17">
      <c r="A11" s="1678">
        <v>2013</v>
      </c>
      <c r="B11" s="660">
        <v>28</v>
      </c>
      <c r="C11" s="660">
        <v>17</v>
      </c>
      <c r="D11" s="660">
        <v>51</v>
      </c>
      <c r="E11" s="1833">
        <f t="shared" si="0"/>
        <v>96</v>
      </c>
    </row>
    <row r="12" spans="1:17">
      <c r="A12" s="1678">
        <v>2014</v>
      </c>
      <c r="B12" s="660">
        <v>31</v>
      </c>
      <c r="C12" s="660">
        <v>24</v>
      </c>
      <c r="D12" s="660">
        <v>44</v>
      </c>
      <c r="E12" s="1833">
        <f t="shared" si="0"/>
        <v>99</v>
      </c>
      <c r="P12" s="1556"/>
    </row>
    <row r="13" spans="1:17">
      <c r="A13" s="1678">
        <v>2015</v>
      </c>
      <c r="B13" s="660">
        <v>31</v>
      </c>
      <c r="C13" s="660">
        <v>36</v>
      </c>
      <c r="D13" s="660">
        <v>20</v>
      </c>
      <c r="E13" s="1833">
        <f t="shared" si="0"/>
        <v>87</v>
      </c>
    </row>
    <row r="14" spans="1:17">
      <c r="A14" s="1678" t="s">
        <v>1012</v>
      </c>
      <c r="B14" s="660">
        <v>0</v>
      </c>
      <c r="C14" s="660">
        <v>28</v>
      </c>
      <c r="D14" s="660">
        <v>8</v>
      </c>
      <c r="E14" s="1833">
        <f t="shared" si="0"/>
        <v>36</v>
      </c>
      <c r="F14" s="1556"/>
    </row>
    <row r="15" spans="1:17" ht="18" customHeight="1">
      <c r="A15" s="1804" t="s">
        <v>23</v>
      </c>
      <c r="B15" s="1832">
        <f>SUM(B4:B14)</f>
        <v>273</v>
      </c>
      <c r="C15" s="1416">
        <f t="shared" ref="C15:D15" si="1">SUM(C4:C14)</f>
        <v>163</v>
      </c>
      <c r="D15" s="1416">
        <f t="shared" si="1"/>
        <v>323</v>
      </c>
      <c r="E15" s="2037">
        <f>SUM(E4:E14)</f>
        <v>759</v>
      </c>
      <c r="P15" s="756"/>
      <c r="Q15" s="756"/>
    </row>
    <row r="16" spans="1:17" ht="57" customHeight="1">
      <c r="A16" s="2251" t="s">
        <v>962</v>
      </c>
      <c r="B16" s="2252"/>
      <c r="C16" s="2252"/>
      <c r="D16" s="2252"/>
      <c r="E16" s="2252"/>
    </row>
    <row r="17" spans="1:22">
      <c r="A17" s="757"/>
      <c r="P17" s="756"/>
    </row>
    <row r="18" spans="1:22">
      <c r="P18" s="756"/>
    </row>
    <row r="20" spans="1:22">
      <c r="Q20" s="757"/>
      <c r="R20" s="757"/>
      <c r="S20" s="757"/>
    </row>
    <row r="21" spans="1:22">
      <c r="Q21" s="757"/>
      <c r="U21" s="758"/>
      <c r="V21" s="759"/>
    </row>
    <row r="22" spans="1:22">
      <c r="Q22" s="757"/>
      <c r="U22" s="758"/>
      <c r="V22" s="759"/>
    </row>
    <row r="23" spans="1:22">
      <c r="U23" s="758"/>
      <c r="V23" s="759"/>
    </row>
    <row r="24" spans="1:22">
      <c r="U24" s="758"/>
      <c r="V24" s="759"/>
    </row>
    <row r="25" spans="1:22">
      <c r="U25" s="758"/>
      <c r="V25" s="759"/>
    </row>
    <row r="26" spans="1:22">
      <c r="U26" s="758"/>
      <c r="V26" s="759"/>
    </row>
    <row r="27" spans="1:22">
      <c r="U27" s="758"/>
      <c r="V27" s="759"/>
    </row>
    <row r="28" spans="1:22">
      <c r="U28" s="758"/>
      <c r="V28" s="759"/>
    </row>
    <row r="29" spans="1:22">
      <c r="V29" s="759"/>
    </row>
    <row r="32" spans="1:22">
      <c r="R32" s="757"/>
    </row>
  </sheetData>
  <mergeCells count="3">
    <mergeCell ref="A1:O1"/>
    <mergeCell ref="A2:F2"/>
    <mergeCell ref="A16:E16"/>
  </mergeCells>
  <pageMargins left="0.7" right="0.7" top="0.75" bottom="0.75" header="0.3" footer="0.3"/>
  <pageSetup scale="55" fitToHeight="0"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U32"/>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8.28515625" style="755" customWidth="1"/>
    <col min="2" max="3" width="22.42578125" style="755" customWidth="1"/>
    <col min="4" max="4" width="20.85546875" style="755" customWidth="1"/>
    <col min="5" max="9" width="11.42578125" style="755"/>
    <col min="10" max="10" width="18.42578125" style="755" customWidth="1"/>
    <col min="11" max="11" width="21" style="755" customWidth="1"/>
    <col min="12" max="16384" width="11.42578125" style="755"/>
  </cols>
  <sheetData>
    <row r="1" spans="1:16" ht="72" customHeight="1">
      <c r="A1" s="2239"/>
      <c r="B1" s="2239"/>
      <c r="C1" s="2239"/>
      <c r="D1" s="2239"/>
      <c r="E1" s="2239"/>
      <c r="F1" s="2239"/>
      <c r="G1" s="2239"/>
      <c r="H1" s="2239"/>
      <c r="I1" s="2239"/>
      <c r="J1" s="2239"/>
      <c r="K1" s="2239"/>
      <c r="L1" s="2239"/>
      <c r="M1" s="2239"/>
      <c r="N1" s="2239"/>
    </row>
    <row r="2" spans="1:16" ht="6.75" customHeight="1">
      <c r="A2" s="2240"/>
      <c r="B2" s="2240"/>
      <c r="C2" s="2240"/>
      <c r="D2" s="2240"/>
      <c r="E2" s="2240"/>
    </row>
    <row r="3" spans="1:16" ht="37.5" customHeight="1">
      <c r="A3" s="778" t="s">
        <v>25</v>
      </c>
      <c r="B3" s="1411" t="s">
        <v>894</v>
      </c>
      <c r="C3" s="779" t="s">
        <v>898</v>
      </c>
      <c r="D3" s="1408" t="s">
        <v>23</v>
      </c>
    </row>
    <row r="4" spans="1:16" ht="17.25" customHeight="1">
      <c r="A4" s="1678">
        <v>2006</v>
      </c>
      <c r="B4" s="2038">
        <v>0</v>
      </c>
      <c r="C4" s="2038">
        <v>0</v>
      </c>
      <c r="D4" s="2036">
        <f>C4+B4</f>
        <v>0</v>
      </c>
    </row>
    <row r="5" spans="1:16" ht="17.25" customHeight="1">
      <c r="A5" s="1678">
        <v>2007</v>
      </c>
      <c r="B5" s="2038">
        <v>2</v>
      </c>
      <c r="C5" s="2038">
        <v>0</v>
      </c>
      <c r="D5" s="2036">
        <f t="shared" ref="D5:D14" si="0">C5+B5</f>
        <v>2</v>
      </c>
      <c r="G5" s="1372"/>
    </row>
    <row r="6" spans="1:16">
      <c r="A6" s="1678">
        <v>2008</v>
      </c>
      <c r="B6" s="2038">
        <v>10</v>
      </c>
      <c r="C6" s="2038">
        <v>1</v>
      </c>
      <c r="D6" s="2036">
        <f t="shared" si="0"/>
        <v>11</v>
      </c>
    </row>
    <row r="7" spans="1:16">
      <c r="A7" s="1678">
        <v>2009</v>
      </c>
      <c r="B7" s="2038">
        <v>8</v>
      </c>
      <c r="C7" s="2038">
        <v>1</v>
      </c>
      <c r="D7" s="2036">
        <f t="shared" si="0"/>
        <v>9</v>
      </c>
    </row>
    <row r="8" spans="1:16">
      <c r="A8" s="1678">
        <v>2010</v>
      </c>
      <c r="B8" s="2038">
        <v>37</v>
      </c>
      <c r="C8" s="2038">
        <v>0</v>
      </c>
      <c r="D8" s="2036">
        <f t="shared" si="0"/>
        <v>37</v>
      </c>
    </row>
    <row r="9" spans="1:16">
      <c r="A9" s="1678">
        <v>2011</v>
      </c>
      <c r="B9" s="2038">
        <v>27</v>
      </c>
      <c r="C9" s="2038">
        <v>2</v>
      </c>
      <c r="D9" s="2036">
        <f t="shared" si="0"/>
        <v>29</v>
      </c>
    </row>
    <row r="10" spans="1:16">
      <c r="A10" s="1678">
        <v>2012</v>
      </c>
      <c r="B10" s="2038">
        <v>34</v>
      </c>
      <c r="C10" s="2038">
        <v>10</v>
      </c>
      <c r="D10" s="2036">
        <f t="shared" si="0"/>
        <v>44</v>
      </c>
    </row>
    <row r="11" spans="1:16">
      <c r="A11" s="1678">
        <v>2013</v>
      </c>
      <c r="B11" s="2038">
        <v>17</v>
      </c>
      <c r="C11" s="2038">
        <v>4</v>
      </c>
      <c r="D11" s="2036">
        <f t="shared" si="0"/>
        <v>21</v>
      </c>
    </row>
    <row r="12" spans="1:16">
      <c r="A12" s="1678">
        <v>2014</v>
      </c>
      <c r="B12" s="2038">
        <v>25</v>
      </c>
      <c r="C12" s="2038">
        <v>12</v>
      </c>
      <c r="D12" s="2036">
        <f t="shared" si="0"/>
        <v>37</v>
      </c>
    </row>
    <row r="13" spans="1:16">
      <c r="A13" s="1678">
        <v>2015</v>
      </c>
      <c r="B13" s="2038">
        <v>15</v>
      </c>
      <c r="C13" s="2038">
        <v>22</v>
      </c>
      <c r="D13" s="2036">
        <f t="shared" si="0"/>
        <v>37</v>
      </c>
      <c r="E13" s="1556"/>
      <c r="O13" s="1556"/>
    </row>
    <row r="14" spans="1:16">
      <c r="A14" s="1678" t="s">
        <v>1012</v>
      </c>
      <c r="B14" s="2038">
        <v>12</v>
      </c>
      <c r="C14" s="2038">
        <v>1</v>
      </c>
      <c r="D14" s="2036">
        <f t="shared" si="0"/>
        <v>13</v>
      </c>
      <c r="O14" s="1556"/>
    </row>
    <row r="15" spans="1:16">
      <c r="A15" s="778" t="s">
        <v>23</v>
      </c>
      <c r="B15" s="1416">
        <f>SUM(B4:B14)</f>
        <v>187</v>
      </c>
      <c r="C15" s="1416">
        <f>SUM(C4:C14)</f>
        <v>53</v>
      </c>
      <c r="D15" s="1415">
        <f>SUM(D4:D14)</f>
        <v>240</v>
      </c>
      <c r="O15" s="756"/>
      <c r="P15" s="756"/>
    </row>
    <row r="16" spans="1:16">
      <c r="O16" s="1556"/>
    </row>
    <row r="17" spans="15:21">
      <c r="O17" s="756"/>
    </row>
    <row r="18" spans="15:21">
      <c r="O18" s="756"/>
    </row>
    <row r="20" spans="15:21">
      <c r="P20" s="757"/>
      <c r="Q20" s="757"/>
      <c r="R20" s="757"/>
    </row>
    <row r="21" spans="15:21">
      <c r="P21" s="757"/>
      <c r="T21" s="758"/>
      <c r="U21" s="759"/>
    </row>
    <row r="22" spans="15:21">
      <c r="P22" s="757"/>
      <c r="T22" s="758"/>
      <c r="U22" s="759"/>
    </row>
    <row r="23" spans="15:21">
      <c r="T23" s="758"/>
      <c r="U23" s="759"/>
    </row>
    <row r="24" spans="15:21">
      <c r="T24" s="758"/>
      <c r="U24" s="759"/>
    </row>
    <row r="25" spans="15:21">
      <c r="T25" s="758"/>
      <c r="U25" s="759"/>
    </row>
    <row r="26" spans="15:21">
      <c r="T26" s="758"/>
      <c r="U26" s="759"/>
    </row>
    <row r="27" spans="15:21">
      <c r="T27" s="758"/>
      <c r="U27" s="759"/>
    </row>
    <row r="28" spans="15:21">
      <c r="T28" s="758"/>
      <c r="U28" s="759"/>
    </row>
    <row r="29" spans="15:21">
      <c r="U29" s="759"/>
    </row>
    <row r="32" spans="15:21">
      <c r="Q32" s="757"/>
    </row>
  </sheetData>
  <mergeCells count="2">
    <mergeCell ref="A1:N1"/>
    <mergeCell ref="A2:E2"/>
  </mergeCells>
  <pageMargins left="0.7" right="0.7" top="0.75" bottom="0.75" header="0.3" footer="0.3"/>
  <pageSetup scale="5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Q22" sqref="Q22"/>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7"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2"/>
  <sheetViews>
    <sheetView showGridLines="0" view="pageBreakPreview" zoomScale="85" zoomScaleNormal="100" zoomScaleSheetLayoutView="85" workbookViewId="0">
      <selection activeCell="L10" sqref="L10"/>
    </sheetView>
  </sheetViews>
  <sheetFormatPr baseColWidth="10" defaultColWidth="11.42578125" defaultRowHeight="15"/>
  <cols>
    <col min="1" max="1" width="13.28515625" style="755" customWidth="1"/>
    <col min="2" max="2" width="11.42578125" style="755" customWidth="1"/>
    <col min="3" max="3" width="13.7109375" style="755" customWidth="1"/>
    <col min="4" max="4" width="13.85546875" style="755" customWidth="1"/>
    <col min="5" max="5" width="15.28515625" style="755" customWidth="1"/>
    <col min="6" max="6" width="15.140625" style="755" customWidth="1"/>
    <col min="7" max="12" width="11.42578125" style="755"/>
    <col min="13" max="13" width="16.140625" style="755" customWidth="1"/>
    <col min="14" max="16384" width="11.42578125" style="755"/>
  </cols>
  <sheetData>
    <row r="1" spans="1:19" ht="72" customHeight="1">
      <c r="A1" s="2239"/>
      <c r="B1" s="2239"/>
      <c r="C1" s="2239"/>
      <c r="D1" s="2239"/>
      <c r="E1" s="2239"/>
      <c r="F1" s="2239"/>
      <c r="G1" s="2239"/>
      <c r="H1" s="2239"/>
      <c r="I1" s="2239"/>
      <c r="J1" s="2239"/>
      <c r="K1" s="2239"/>
      <c r="L1" s="2239"/>
      <c r="M1" s="2239"/>
      <c r="N1" s="2239"/>
      <c r="O1" s="2239"/>
      <c r="P1" s="2239"/>
      <c r="Q1" s="2239"/>
    </row>
    <row r="2" spans="1:19" ht="6.75" customHeight="1">
      <c r="A2" s="2240"/>
      <c r="B2" s="2240"/>
      <c r="C2" s="2240"/>
      <c r="D2" s="2240"/>
      <c r="E2" s="2240"/>
    </row>
    <row r="3" spans="1:19" ht="31.5" customHeight="1">
      <c r="A3" s="778" t="s">
        <v>25</v>
      </c>
      <c r="B3" s="779" t="s">
        <v>42</v>
      </c>
      <c r="C3" s="779" t="s">
        <v>41</v>
      </c>
      <c r="D3" s="1411" t="s">
        <v>890</v>
      </c>
      <c r="E3" s="1806" t="s">
        <v>212</v>
      </c>
      <c r="F3" s="1807" t="s">
        <v>211</v>
      </c>
      <c r="M3" s="1405"/>
      <c r="N3" s="1405"/>
      <c r="O3" s="1405"/>
      <c r="P3" s="1405"/>
    </row>
    <row r="4" spans="1:19" ht="13.5" customHeight="1">
      <c r="A4" s="1678">
        <v>2006</v>
      </c>
      <c r="B4" s="1375">
        <v>2</v>
      </c>
      <c r="C4" s="1375"/>
      <c r="D4" s="1417">
        <f>+C4+B4</f>
        <v>2</v>
      </c>
      <c r="E4" s="1810">
        <f>+B4/D4</f>
        <v>1</v>
      </c>
      <c r="F4" s="1811">
        <f>+C4/D4</f>
        <v>0</v>
      </c>
      <c r="M4" s="1406"/>
      <c r="N4" s="1407"/>
      <c r="O4" s="1407"/>
      <c r="P4" s="1407"/>
    </row>
    <row r="5" spans="1:19" ht="12.75" customHeight="1">
      <c r="A5" s="1678">
        <v>2007</v>
      </c>
      <c r="B5" s="1375">
        <v>3</v>
      </c>
      <c r="C5" s="1375">
        <v>4</v>
      </c>
      <c r="D5" s="1417">
        <f>+C5+B5</f>
        <v>7</v>
      </c>
      <c r="E5" s="1557">
        <f t="shared" ref="E5:E13" si="0">+B5/D5</f>
        <v>0.42857142857142855</v>
      </c>
      <c r="F5" s="1558">
        <f t="shared" ref="F5:F13" si="1">+C5/D5</f>
        <v>0.5714285714285714</v>
      </c>
      <c r="G5" s="1403"/>
      <c r="M5" s="1406"/>
      <c r="N5" s="1407"/>
      <c r="O5" s="1407"/>
      <c r="P5" s="1407"/>
    </row>
    <row r="6" spans="1:19">
      <c r="A6" s="1678">
        <v>2008</v>
      </c>
      <c r="B6" s="1375">
        <v>12</v>
      </c>
      <c r="C6" s="1375">
        <v>20</v>
      </c>
      <c r="D6" s="1417">
        <f t="shared" ref="D6:D13" si="2">+C6+B6</f>
        <v>32</v>
      </c>
      <c r="E6" s="1557">
        <f t="shared" si="0"/>
        <v>0.375</v>
      </c>
      <c r="F6" s="1558">
        <f t="shared" si="1"/>
        <v>0.625</v>
      </c>
      <c r="G6" s="1404"/>
      <c r="M6" s="1406"/>
      <c r="N6" s="1407"/>
      <c r="O6" s="1407"/>
      <c r="P6" s="1407"/>
    </row>
    <row r="7" spans="1:19">
      <c r="A7" s="1678">
        <v>2009</v>
      </c>
      <c r="B7" s="1375">
        <v>21</v>
      </c>
      <c r="C7" s="1375">
        <v>35</v>
      </c>
      <c r="D7" s="1417">
        <f t="shared" si="2"/>
        <v>56</v>
      </c>
      <c r="E7" s="1557">
        <f t="shared" si="0"/>
        <v>0.375</v>
      </c>
      <c r="F7" s="1558">
        <f t="shared" si="1"/>
        <v>0.625</v>
      </c>
      <c r="G7" s="1404"/>
      <c r="M7" s="1406"/>
      <c r="N7" s="1407"/>
      <c r="O7" s="1407"/>
      <c r="P7" s="1407"/>
    </row>
    <row r="8" spans="1:19">
      <c r="A8" s="1678">
        <v>2010</v>
      </c>
      <c r="B8" s="1375">
        <v>84</v>
      </c>
      <c r="C8" s="1375">
        <v>125</v>
      </c>
      <c r="D8" s="1417">
        <f t="shared" si="2"/>
        <v>209</v>
      </c>
      <c r="E8" s="1557">
        <f t="shared" si="0"/>
        <v>0.40191387559808611</v>
      </c>
      <c r="F8" s="1558">
        <f t="shared" si="1"/>
        <v>0.59808612440191389</v>
      </c>
      <c r="G8" s="1404"/>
      <c r="M8" s="1406"/>
      <c r="N8" s="1407"/>
      <c r="O8" s="1407"/>
      <c r="P8" s="1407"/>
    </row>
    <row r="9" spans="1:19">
      <c r="A9" s="1678">
        <v>2011</v>
      </c>
      <c r="B9" s="1375">
        <v>47</v>
      </c>
      <c r="C9" s="1375">
        <v>87</v>
      </c>
      <c r="D9" s="1417">
        <f t="shared" si="2"/>
        <v>134</v>
      </c>
      <c r="E9" s="1557">
        <f t="shared" si="0"/>
        <v>0.35074626865671643</v>
      </c>
      <c r="F9" s="1558">
        <f t="shared" si="1"/>
        <v>0.64925373134328357</v>
      </c>
      <c r="G9" s="1404"/>
      <c r="M9" s="1406"/>
      <c r="N9" s="1407"/>
      <c r="O9" s="1407"/>
      <c r="P9" s="1407"/>
    </row>
    <row r="10" spans="1:19">
      <c r="A10" s="1678">
        <v>2012</v>
      </c>
      <c r="B10" s="1375">
        <v>106</v>
      </c>
      <c r="C10" s="1375">
        <v>118</v>
      </c>
      <c r="D10" s="1417">
        <f t="shared" si="2"/>
        <v>224</v>
      </c>
      <c r="E10" s="1557">
        <f t="shared" si="0"/>
        <v>0.4732142857142857</v>
      </c>
      <c r="F10" s="1558">
        <f t="shared" si="1"/>
        <v>0.5267857142857143</v>
      </c>
      <c r="M10" s="1406"/>
      <c r="N10" s="1407"/>
      <c r="O10" s="1407"/>
      <c r="P10" s="1407"/>
    </row>
    <row r="11" spans="1:19">
      <c r="A11" s="1678">
        <v>2013</v>
      </c>
      <c r="B11" s="1375">
        <v>62</v>
      </c>
      <c r="C11" s="1375">
        <v>73</v>
      </c>
      <c r="D11" s="1417">
        <f t="shared" si="2"/>
        <v>135</v>
      </c>
      <c r="E11" s="1557">
        <f t="shared" si="0"/>
        <v>0.45925925925925926</v>
      </c>
      <c r="F11" s="1558">
        <f t="shared" si="1"/>
        <v>0.54074074074074074</v>
      </c>
      <c r="M11" s="1406"/>
      <c r="N11" s="1407"/>
      <c r="O11" s="1407"/>
      <c r="P11" s="1407"/>
    </row>
    <row r="12" spans="1:19">
      <c r="A12" s="1678">
        <v>2014</v>
      </c>
      <c r="B12" s="1375">
        <v>81</v>
      </c>
      <c r="C12" s="1375">
        <v>70</v>
      </c>
      <c r="D12" s="1417">
        <f t="shared" si="2"/>
        <v>151</v>
      </c>
      <c r="E12" s="1557">
        <f t="shared" si="0"/>
        <v>0.53642384105960261</v>
      </c>
      <c r="F12" s="1558">
        <f t="shared" si="1"/>
        <v>0.46357615894039733</v>
      </c>
      <c r="M12" s="1406"/>
      <c r="N12" s="1407"/>
      <c r="O12" s="1407"/>
      <c r="P12" s="1407"/>
    </row>
    <row r="13" spans="1:19">
      <c r="A13" s="1678">
        <v>2015</v>
      </c>
      <c r="B13" s="1375">
        <v>70</v>
      </c>
      <c r="C13" s="1375">
        <v>94</v>
      </c>
      <c r="D13" s="1417">
        <f t="shared" si="2"/>
        <v>164</v>
      </c>
      <c r="E13" s="1557">
        <f t="shared" si="0"/>
        <v>0.42682926829268292</v>
      </c>
      <c r="F13" s="1558">
        <f t="shared" si="1"/>
        <v>0.57317073170731703</v>
      </c>
      <c r="M13" s="1406"/>
      <c r="N13" s="1407"/>
      <c r="O13" s="1407"/>
      <c r="P13" s="1407"/>
    </row>
    <row r="14" spans="1:19">
      <c r="A14" s="1678" t="s">
        <v>1008</v>
      </c>
      <c r="B14" s="1375">
        <v>30</v>
      </c>
      <c r="C14" s="1375">
        <v>39</v>
      </c>
      <c r="D14" s="1417">
        <f>+C14+B14</f>
        <v>69</v>
      </c>
      <c r="E14" s="1559">
        <f t="shared" ref="E14" si="3">+B14/D14</f>
        <v>0.43478260869565216</v>
      </c>
      <c r="F14" s="1560">
        <f t="shared" ref="F14" si="4">+C14/D14</f>
        <v>0.56521739130434778</v>
      </c>
      <c r="M14" s="1406"/>
      <c r="N14" s="1407"/>
      <c r="O14" s="1407"/>
      <c r="P14" s="1407"/>
      <c r="R14" s="756"/>
    </row>
    <row r="15" spans="1:19">
      <c r="A15" s="1804" t="s">
        <v>23</v>
      </c>
      <c r="B15" s="1402">
        <f>SUM(B4:B14)</f>
        <v>518</v>
      </c>
      <c r="C15" s="1805">
        <f>SUM(C4:C14)</f>
        <v>665</v>
      </c>
      <c r="D15" s="1373">
        <f>SUM(D4:D14)</f>
        <v>1183</v>
      </c>
      <c r="E15" s="1808">
        <f>+B15/D15</f>
        <v>0.43786982248520712</v>
      </c>
      <c r="F15" s="1809">
        <f>+C15/D15</f>
        <v>0.56213017751479288</v>
      </c>
      <c r="R15" s="756"/>
      <c r="S15" s="756"/>
    </row>
    <row r="16" spans="1:19">
      <c r="A16" s="757" t="s">
        <v>891</v>
      </c>
    </row>
    <row r="17" spans="18:24">
      <c r="R17" s="756"/>
    </row>
    <row r="18" spans="18:24">
      <c r="R18" s="756"/>
    </row>
    <row r="20" spans="18:24">
      <c r="S20" s="757"/>
      <c r="T20" s="757"/>
      <c r="U20" s="757"/>
    </row>
    <row r="21" spans="18:24">
      <c r="S21" s="757"/>
      <c r="W21" s="758"/>
      <c r="X21" s="759"/>
    </row>
    <row r="22" spans="18:24">
      <c r="S22" s="757"/>
      <c r="W22" s="758"/>
      <c r="X22" s="759"/>
    </row>
    <row r="23" spans="18:24">
      <c r="W23" s="758"/>
      <c r="X23" s="759"/>
    </row>
    <row r="24" spans="18:24">
      <c r="W24" s="758"/>
      <c r="X24" s="759"/>
    </row>
    <row r="25" spans="18:24">
      <c r="W25" s="758"/>
      <c r="X25" s="759"/>
    </row>
    <row r="26" spans="18:24">
      <c r="W26" s="758"/>
      <c r="X26" s="759"/>
    </row>
    <row r="27" spans="18:24">
      <c r="W27" s="758"/>
      <c r="X27" s="759"/>
    </row>
    <row r="28" spans="18:24">
      <c r="W28" s="758"/>
      <c r="X28" s="759"/>
    </row>
    <row r="29" spans="18:24">
      <c r="X29" s="759"/>
    </row>
    <row r="32" spans="18:24">
      <c r="T32" s="757"/>
    </row>
  </sheetData>
  <mergeCells count="2">
    <mergeCell ref="A1:Q1"/>
    <mergeCell ref="A2:E2"/>
  </mergeCells>
  <pageMargins left="0.7" right="0.7" top="0.75" bottom="0.75" header="0.3" footer="0.3"/>
  <pageSetup scale="57"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15" zoomScaleNormal="100" zoomScaleSheetLayoutView="115" workbookViewId="0">
      <selection activeCell="I9" sqref="I9"/>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P47"/>
  <sheetViews>
    <sheetView showGridLines="0" view="pageBreakPreview" zoomScale="85" zoomScaleNormal="90" zoomScaleSheetLayoutView="85" workbookViewId="0">
      <selection activeCell="R12" sqref="R12"/>
    </sheetView>
  </sheetViews>
  <sheetFormatPr baseColWidth="10" defaultColWidth="11.42578125" defaultRowHeight="15"/>
  <cols>
    <col min="1" max="1" width="32.42578125" style="77" customWidth="1"/>
    <col min="2" max="3" width="11" style="77" hidden="1" customWidth="1"/>
    <col min="4" max="4" width="10.7109375" style="77" hidden="1" customWidth="1"/>
    <col min="5" max="5" width="13.140625" style="77" customWidth="1"/>
    <col min="6" max="6" width="10" style="77" customWidth="1"/>
    <col min="7" max="7" width="10.42578125" style="77" customWidth="1"/>
    <col min="8" max="8" width="10" style="77" customWidth="1"/>
    <col min="9" max="10" width="10.42578125" style="77" customWidth="1"/>
    <col min="11" max="11" width="10.7109375" style="77" customWidth="1"/>
    <col min="12" max="12" width="12.42578125" style="77" customWidth="1"/>
    <col min="13" max="13" width="11.42578125" style="77"/>
    <col min="14" max="14" width="12.42578125" style="77" customWidth="1"/>
    <col min="15" max="16384" width="11.42578125" style="77"/>
  </cols>
  <sheetData>
    <row r="1" spans="1:16" ht="68.25" customHeight="1">
      <c r="A1" s="2253"/>
      <c r="B1" s="2253"/>
      <c r="C1" s="2253"/>
      <c r="D1" s="2253"/>
      <c r="E1" s="2253"/>
      <c r="F1" s="2253"/>
      <c r="G1" s="2253"/>
      <c r="H1" s="2253"/>
      <c r="I1" s="2253"/>
      <c r="J1" s="2253"/>
      <c r="K1" s="2253"/>
      <c r="L1" s="2253"/>
      <c r="M1" s="2253"/>
      <c r="N1" s="2253"/>
      <c r="O1" s="2253"/>
      <c r="P1" s="2253"/>
    </row>
    <row r="2" spans="1:16" s="21" customFormat="1" ht="9" customHeight="1">
      <c r="A2" s="2254"/>
      <c r="B2" s="2254"/>
      <c r="C2" s="2254"/>
      <c r="D2" s="2254"/>
      <c r="E2" s="2254"/>
      <c r="F2" s="2254"/>
      <c r="G2" s="2254"/>
      <c r="H2" s="2254"/>
      <c r="I2" s="2254"/>
      <c r="J2" s="2254"/>
      <c r="K2" s="2254"/>
      <c r="L2" s="2254"/>
      <c r="M2" s="2254"/>
      <c r="N2" s="2254"/>
      <c r="O2" s="2254"/>
      <c r="P2" s="2254"/>
    </row>
    <row r="3" spans="1:16" ht="21" customHeight="1">
      <c r="A3" s="513" t="s">
        <v>11</v>
      </c>
      <c r="B3" s="658" t="s">
        <v>425</v>
      </c>
      <c r="C3" s="658" t="s">
        <v>4</v>
      </c>
      <c r="D3" s="658" t="s">
        <v>5</v>
      </c>
      <c r="E3" s="1438" t="s">
        <v>241</v>
      </c>
      <c r="F3" s="658" t="s">
        <v>240</v>
      </c>
      <c r="G3" s="658" t="s">
        <v>165</v>
      </c>
      <c r="H3" s="658" t="s">
        <v>214</v>
      </c>
      <c r="I3" s="658" t="s">
        <v>10</v>
      </c>
      <c r="J3" s="658" t="s">
        <v>184</v>
      </c>
      <c r="K3" s="658" t="s">
        <v>216</v>
      </c>
      <c r="L3" s="658" t="s">
        <v>457</v>
      </c>
      <c r="M3" s="658" t="s">
        <v>534</v>
      </c>
      <c r="N3" s="658" t="s">
        <v>541</v>
      </c>
      <c r="O3" s="659" t="s">
        <v>900</v>
      </c>
    </row>
    <row r="4" spans="1:16">
      <c r="A4" s="666" t="s">
        <v>12</v>
      </c>
      <c r="B4" s="656">
        <v>54394</v>
      </c>
      <c r="C4" s="656">
        <v>49967</v>
      </c>
      <c r="D4" s="657">
        <v>65316</v>
      </c>
      <c r="E4" s="1437">
        <v>59055.5</v>
      </c>
      <c r="F4" s="660">
        <v>57661</v>
      </c>
      <c r="G4" s="660">
        <v>63198</v>
      </c>
      <c r="H4" s="660">
        <v>55832</v>
      </c>
      <c r="I4" s="660">
        <v>62722</v>
      </c>
      <c r="J4" s="660">
        <v>56906</v>
      </c>
      <c r="K4" s="660">
        <v>73730</v>
      </c>
      <c r="L4" s="660">
        <v>65532</v>
      </c>
      <c r="M4" s="660">
        <v>74396</v>
      </c>
      <c r="N4" s="662">
        <v>94092</v>
      </c>
      <c r="O4" s="661">
        <v>81574</v>
      </c>
    </row>
    <row r="5" spans="1:16" ht="16.5" customHeight="1">
      <c r="A5" s="666" t="s">
        <v>13</v>
      </c>
      <c r="B5" s="656">
        <v>5332</v>
      </c>
      <c r="C5" s="656">
        <v>6224</v>
      </c>
      <c r="D5" s="657">
        <v>4729.5</v>
      </c>
      <c r="E5" s="1437">
        <v>5240.5</v>
      </c>
      <c r="F5" s="660">
        <v>3875</v>
      </c>
      <c r="G5" s="660">
        <v>5460.5</v>
      </c>
      <c r="H5" s="660">
        <v>7849</v>
      </c>
      <c r="I5" s="660">
        <v>7092</v>
      </c>
      <c r="J5" s="660">
        <v>9592</v>
      </c>
      <c r="K5" s="660">
        <v>15545</v>
      </c>
      <c r="L5" s="660">
        <v>12905</v>
      </c>
      <c r="M5" s="660">
        <v>9756</v>
      </c>
      <c r="N5" s="662">
        <v>5755</v>
      </c>
      <c r="O5" s="661">
        <v>8303</v>
      </c>
    </row>
    <row r="6" spans="1:16">
      <c r="A6" s="666" t="s">
        <v>14</v>
      </c>
      <c r="B6" s="656">
        <v>335875</v>
      </c>
      <c r="C6" s="656">
        <v>347392</v>
      </c>
      <c r="D6" s="657">
        <v>380576</v>
      </c>
      <c r="E6" s="1437">
        <v>356009</v>
      </c>
      <c r="F6" s="660">
        <v>367230.5</v>
      </c>
      <c r="G6" s="660">
        <v>381709.5</v>
      </c>
      <c r="H6" s="660">
        <v>322067</v>
      </c>
      <c r="I6" s="660">
        <v>267702</v>
      </c>
      <c r="J6" s="660">
        <v>281199</v>
      </c>
      <c r="K6" s="660">
        <v>277208</v>
      </c>
      <c r="L6" s="660">
        <v>292404</v>
      </c>
      <c r="M6" s="660">
        <v>292394</v>
      </c>
      <c r="N6" s="662">
        <v>288770</v>
      </c>
      <c r="O6" s="661">
        <v>301731</v>
      </c>
    </row>
    <row r="7" spans="1:16">
      <c r="A7" s="666" t="s">
        <v>15</v>
      </c>
      <c r="B7" s="656">
        <v>20857</v>
      </c>
      <c r="C7" s="656">
        <v>26411</v>
      </c>
      <c r="D7" s="657">
        <v>26734.5</v>
      </c>
      <c r="E7" s="1437">
        <v>26193.5</v>
      </c>
      <c r="F7" s="660">
        <v>26353.5</v>
      </c>
      <c r="G7" s="660">
        <v>30830</v>
      </c>
      <c r="H7" s="660">
        <v>31582</v>
      </c>
      <c r="I7" s="660">
        <v>30520</v>
      </c>
      <c r="J7" s="660">
        <v>37741</v>
      </c>
      <c r="K7" s="660">
        <v>31145</v>
      </c>
      <c r="L7" s="660">
        <v>43665</v>
      </c>
      <c r="M7" s="660">
        <v>35190</v>
      </c>
      <c r="N7" s="662">
        <v>34478</v>
      </c>
      <c r="O7" s="661">
        <v>37853</v>
      </c>
    </row>
    <row r="8" spans="1:16">
      <c r="A8" s="666" t="s">
        <v>16</v>
      </c>
      <c r="B8" s="656">
        <v>42579</v>
      </c>
      <c r="C8" s="656">
        <v>45173</v>
      </c>
      <c r="D8" s="657">
        <v>53564.5</v>
      </c>
      <c r="E8" s="1437">
        <v>31601</v>
      </c>
      <c r="F8" s="660">
        <v>43507.5</v>
      </c>
      <c r="G8" s="660">
        <v>45705</v>
      </c>
      <c r="H8" s="660">
        <v>51584</v>
      </c>
      <c r="I8" s="660">
        <v>34519</v>
      </c>
      <c r="J8" s="660">
        <v>40257</v>
      </c>
      <c r="K8" s="660">
        <v>35938</v>
      </c>
      <c r="L8" s="660">
        <v>40323</v>
      </c>
      <c r="M8" s="660">
        <v>27474</v>
      </c>
      <c r="N8" s="662">
        <v>42681</v>
      </c>
      <c r="O8" s="661">
        <v>64039</v>
      </c>
    </row>
    <row r="9" spans="1:16">
      <c r="A9" s="666" t="s">
        <v>17</v>
      </c>
      <c r="B9" s="656">
        <v>218947</v>
      </c>
      <c r="C9" s="656">
        <v>198915</v>
      </c>
      <c r="D9" s="657">
        <v>198724</v>
      </c>
      <c r="E9" s="1437">
        <v>211992.5</v>
      </c>
      <c r="F9" s="660">
        <v>234505</v>
      </c>
      <c r="G9" s="660">
        <v>229492.5</v>
      </c>
      <c r="H9" s="660">
        <v>238189</v>
      </c>
      <c r="I9" s="660">
        <v>241768</v>
      </c>
      <c r="J9" s="660">
        <v>251447</v>
      </c>
      <c r="K9" s="660">
        <v>254030</v>
      </c>
      <c r="L9" s="660">
        <v>236447</v>
      </c>
      <c r="M9" s="662">
        <v>257264</v>
      </c>
      <c r="N9" s="662">
        <v>291369</v>
      </c>
      <c r="O9" s="661">
        <v>303617</v>
      </c>
    </row>
    <row r="10" spans="1:16">
      <c r="A10" s="666" t="s">
        <v>18</v>
      </c>
      <c r="B10" s="656">
        <v>74471</v>
      </c>
      <c r="C10" s="656">
        <v>94191</v>
      </c>
      <c r="D10" s="657">
        <v>93758.5</v>
      </c>
      <c r="E10" s="1437">
        <v>86665</v>
      </c>
      <c r="F10" s="660">
        <v>91077</v>
      </c>
      <c r="G10" s="660">
        <v>105664.5</v>
      </c>
      <c r="H10" s="660">
        <v>112403</v>
      </c>
      <c r="I10" s="660">
        <v>101997</v>
      </c>
      <c r="J10" s="660">
        <v>110062</v>
      </c>
      <c r="K10" s="660">
        <v>117394</v>
      </c>
      <c r="L10" s="660">
        <v>123299</v>
      </c>
      <c r="M10" s="662">
        <v>120700</v>
      </c>
      <c r="N10" s="662">
        <v>134768</v>
      </c>
      <c r="O10" s="661">
        <v>141352</v>
      </c>
    </row>
    <row r="11" spans="1:16">
      <c r="A11" s="666" t="s">
        <v>19</v>
      </c>
      <c r="B11" s="656">
        <v>68639</v>
      </c>
      <c r="C11" s="656">
        <v>69119</v>
      </c>
      <c r="D11" s="657">
        <v>69605.5</v>
      </c>
      <c r="E11" s="1437">
        <v>64356.5</v>
      </c>
      <c r="F11" s="660">
        <v>66871.5</v>
      </c>
      <c r="G11" s="660">
        <v>68018.5</v>
      </c>
      <c r="H11" s="660">
        <v>73736</v>
      </c>
      <c r="I11" s="660">
        <v>74994</v>
      </c>
      <c r="J11" s="660">
        <v>70890</v>
      </c>
      <c r="K11" s="660">
        <v>67549</v>
      </c>
      <c r="L11" s="660">
        <v>71306</v>
      </c>
      <c r="M11" s="662">
        <v>90119</v>
      </c>
      <c r="N11" s="662">
        <v>92028</v>
      </c>
      <c r="O11" s="661">
        <v>96550</v>
      </c>
    </row>
    <row r="12" spans="1:16">
      <c r="A12" s="666" t="s">
        <v>20</v>
      </c>
      <c r="B12" s="656">
        <v>48965</v>
      </c>
      <c r="C12" s="656">
        <v>51554</v>
      </c>
      <c r="D12" s="657">
        <v>44203.5</v>
      </c>
      <c r="E12" s="1437">
        <v>46757.5</v>
      </c>
      <c r="F12" s="660">
        <v>49397</v>
      </c>
      <c r="G12" s="660">
        <v>55326</v>
      </c>
      <c r="H12" s="660">
        <v>55155</v>
      </c>
      <c r="I12" s="660">
        <v>67119</v>
      </c>
      <c r="J12" s="660">
        <v>65137</v>
      </c>
      <c r="K12" s="660">
        <v>72016</v>
      </c>
      <c r="L12" s="660">
        <v>82080</v>
      </c>
      <c r="M12" s="662">
        <v>79468</v>
      </c>
      <c r="N12" s="662">
        <v>83517</v>
      </c>
      <c r="O12" s="661">
        <v>75923</v>
      </c>
    </row>
    <row r="13" spans="1:16">
      <c r="A13" s="666" t="s">
        <v>21</v>
      </c>
      <c r="B13" s="656">
        <v>154503</v>
      </c>
      <c r="C13" s="656">
        <v>137736</v>
      </c>
      <c r="D13" s="657">
        <v>140736.5</v>
      </c>
      <c r="E13" s="1437">
        <v>147544.5</v>
      </c>
      <c r="F13" s="660">
        <v>148907.5</v>
      </c>
      <c r="G13" s="660">
        <v>152563.5</v>
      </c>
      <c r="H13" s="660">
        <v>156837</v>
      </c>
      <c r="I13" s="660">
        <v>164689</v>
      </c>
      <c r="J13" s="660">
        <v>184575</v>
      </c>
      <c r="K13" s="660">
        <v>189387</v>
      </c>
      <c r="L13" s="660">
        <v>194986</v>
      </c>
      <c r="M13" s="662">
        <v>194720</v>
      </c>
      <c r="N13" s="662">
        <v>191598</v>
      </c>
      <c r="O13" s="661">
        <v>199704</v>
      </c>
    </row>
    <row r="14" spans="1:16">
      <c r="A14" s="666" t="s">
        <v>22</v>
      </c>
      <c r="B14" s="656">
        <v>368304</v>
      </c>
      <c r="C14" s="656">
        <v>393542</v>
      </c>
      <c r="D14" s="657">
        <v>403905</v>
      </c>
      <c r="E14" s="1437">
        <v>401844.5</v>
      </c>
      <c r="F14" s="660">
        <v>416197</v>
      </c>
      <c r="G14" s="660">
        <v>433943.5</v>
      </c>
      <c r="H14" s="660">
        <v>460813</v>
      </c>
      <c r="I14" s="660">
        <v>507872</v>
      </c>
      <c r="J14" s="660">
        <v>523323</v>
      </c>
      <c r="K14" s="660">
        <v>552274</v>
      </c>
      <c r="L14" s="660">
        <v>553281</v>
      </c>
      <c r="M14" s="662">
        <v>588320</v>
      </c>
      <c r="N14" s="662">
        <v>606440</v>
      </c>
      <c r="O14" s="661">
        <v>654852</v>
      </c>
    </row>
    <row r="15" spans="1:16" ht="17.25" customHeight="1">
      <c r="A15" s="513" t="s">
        <v>23</v>
      </c>
      <c r="B15" s="663">
        <f>SUM(B4:B14)</f>
        <v>1392866</v>
      </c>
      <c r="C15" s="663">
        <f>SUM(C4:C14)</f>
        <v>1420224</v>
      </c>
      <c r="D15" s="663">
        <f t="shared" ref="D15:N15" si="0">SUM(D4:D14)</f>
        <v>1481853.5</v>
      </c>
      <c r="E15" s="1439">
        <f t="shared" si="0"/>
        <v>1437260</v>
      </c>
      <c r="F15" s="664">
        <f t="shared" si="0"/>
        <v>1505582.5</v>
      </c>
      <c r="G15" s="664">
        <f t="shared" si="0"/>
        <v>1571911.5</v>
      </c>
      <c r="H15" s="664">
        <f t="shared" si="0"/>
        <v>1566047</v>
      </c>
      <c r="I15" s="664">
        <f t="shared" si="0"/>
        <v>1560994</v>
      </c>
      <c r="J15" s="664">
        <f t="shared" si="0"/>
        <v>1631129</v>
      </c>
      <c r="K15" s="664">
        <f t="shared" si="0"/>
        <v>1686216</v>
      </c>
      <c r="L15" s="664">
        <f t="shared" si="0"/>
        <v>1716228</v>
      </c>
      <c r="M15" s="664">
        <f t="shared" si="0"/>
        <v>1769801</v>
      </c>
      <c r="N15" s="664">
        <f t="shared" si="0"/>
        <v>1865496</v>
      </c>
      <c r="O15" s="665">
        <f>SUM(O4:O14)</f>
        <v>1965498</v>
      </c>
    </row>
    <row r="16" spans="1:16" s="94" customFormat="1" ht="13.5" customHeight="1">
      <c r="A16" s="147"/>
      <c r="B16" s="79"/>
      <c r="C16" s="79"/>
      <c r="D16" s="79"/>
      <c r="E16" s="95"/>
      <c r="F16" s="95"/>
      <c r="G16" s="95"/>
      <c r="H16" s="95"/>
      <c r="I16" s="95"/>
      <c r="J16" s="95"/>
      <c r="K16" s="95"/>
      <c r="L16" s="95"/>
    </row>
    <row r="17" spans="1:12" ht="9.75" customHeight="1">
      <c r="A17" s="30"/>
      <c r="B17" s="30"/>
      <c r="C17" s="30"/>
      <c r="D17" s="30"/>
      <c r="E17" s="96"/>
      <c r="F17" s="96"/>
      <c r="G17" s="96"/>
      <c r="H17" s="96"/>
      <c r="I17" s="96"/>
      <c r="J17" s="96"/>
      <c r="K17" s="96"/>
      <c r="L17" s="96"/>
    </row>
    <row r="18" spans="1:12">
      <c r="A18" s="96"/>
      <c r="B18" s="96"/>
      <c r="C18" s="96"/>
      <c r="D18" s="96"/>
      <c r="E18" s="96"/>
      <c r="F18" s="96"/>
      <c r="G18" s="96"/>
      <c r="H18" s="96"/>
      <c r="I18" s="96"/>
      <c r="J18" s="96"/>
      <c r="K18" s="96"/>
      <c r="L18" s="96"/>
    </row>
    <row r="19" spans="1:12">
      <c r="A19" s="96"/>
      <c r="B19" s="96"/>
      <c r="C19" s="96"/>
      <c r="D19" s="96"/>
      <c r="E19" s="96"/>
      <c r="F19" s="96"/>
      <c r="G19" s="96"/>
      <c r="H19" s="96"/>
      <c r="I19" s="96"/>
      <c r="J19" s="96"/>
      <c r="K19" s="96"/>
      <c r="L19" s="96"/>
    </row>
    <row r="20" spans="1:12">
      <c r="A20" s="96"/>
      <c r="B20" s="96"/>
      <c r="C20" s="96"/>
      <c r="D20" s="96"/>
      <c r="E20" s="96"/>
      <c r="F20" s="96"/>
      <c r="G20" s="96"/>
      <c r="H20" s="96"/>
      <c r="I20" s="96"/>
      <c r="J20" s="96"/>
      <c r="K20" s="96"/>
      <c r="L20" s="96"/>
    </row>
    <row r="21" spans="1:12">
      <c r="A21" s="96"/>
      <c r="B21" s="96"/>
      <c r="C21" s="96"/>
      <c r="D21" s="96"/>
      <c r="E21" s="96"/>
      <c r="F21" s="96"/>
      <c r="G21" s="96"/>
      <c r="H21" s="96"/>
      <c r="I21" s="96"/>
      <c r="J21" s="96"/>
      <c r="K21" s="96"/>
      <c r="L21" s="96"/>
    </row>
    <row r="22" spans="1:12">
      <c r="A22" s="96"/>
      <c r="B22" s="96"/>
      <c r="C22" s="96"/>
      <c r="D22" s="96"/>
      <c r="E22" s="96"/>
      <c r="F22" s="96"/>
      <c r="G22" s="96"/>
      <c r="H22" s="96"/>
      <c r="I22" s="96"/>
      <c r="J22" s="96"/>
      <c r="K22" s="96"/>
      <c r="L22" s="96"/>
    </row>
    <row r="23" spans="1:12">
      <c r="A23" s="96"/>
      <c r="B23" s="96"/>
      <c r="C23" s="96"/>
      <c r="D23" s="96"/>
      <c r="E23" s="96"/>
      <c r="F23" s="96"/>
      <c r="G23" s="96"/>
      <c r="H23" s="96"/>
      <c r="I23" s="96"/>
      <c r="J23" s="96"/>
      <c r="K23" s="96"/>
      <c r="L23" s="96"/>
    </row>
    <row r="24" spans="1:12">
      <c r="A24" s="96"/>
      <c r="B24" s="96"/>
      <c r="C24" s="96"/>
      <c r="D24" s="96"/>
      <c r="E24" s="96"/>
      <c r="F24" s="96"/>
      <c r="G24" s="96"/>
      <c r="H24" s="96"/>
      <c r="I24" s="96"/>
      <c r="J24" s="96"/>
      <c r="K24" s="96"/>
      <c r="L24" s="96"/>
    </row>
    <row r="25" spans="1:12">
      <c r="A25" s="96"/>
      <c r="B25" s="96"/>
      <c r="C25" s="96"/>
      <c r="D25" s="96"/>
      <c r="E25" s="96"/>
      <c r="F25" s="96"/>
      <c r="G25" s="96"/>
      <c r="H25" s="96"/>
      <c r="I25" s="96"/>
      <c r="J25" s="96"/>
      <c r="K25" s="96"/>
      <c r="L25" s="96"/>
    </row>
    <row r="26" spans="1:12">
      <c r="A26" s="96"/>
      <c r="B26" s="96"/>
      <c r="C26" s="96"/>
      <c r="D26" s="96"/>
      <c r="E26" s="96"/>
      <c r="F26" s="96"/>
      <c r="G26" s="96"/>
      <c r="H26" s="96"/>
      <c r="I26" s="96"/>
      <c r="J26" s="96"/>
      <c r="K26" s="96"/>
      <c r="L26" s="96"/>
    </row>
    <row r="27" spans="1:12">
      <c r="A27" s="96"/>
      <c r="B27" s="96"/>
      <c r="C27" s="96"/>
      <c r="D27" s="96"/>
      <c r="E27" s="96"/>
      <c r="F27" s="96"/>
      <c r="G27" s="96"/>
      <c r="H27" s="96"/>
      <c r="I27" s="96"/>
      <c r="J27" s="96"/>
      <c r="K27" s="96"/>
      <c r="L27" s="96"/>
    </row>
    <row r="28" spans="1:12">
      <c r="A28" s="96"/>
      <c r="B28" s="96"/>
      <c r="C28" s="96"/>
      <c r="D28" s="96"/>
      <c r="E28" s="96"/>
      <c r="F28" s="96"/>
      <c r="G28" s="96"/>
      <c r="H28" s="96"/>
      <c r="I28" s="96"/>
      <c r="J28" s="96"/>
      <c r="K28" s="96"/>
      <c r="L28" s="96"/>
    </row>
    <row r="29" spans="1:12">
      <c r="A29" s="96"/>
      <c r="B29" s="96"/>
      <c r="C29" s="96"/>
      <c r="D29" s="96"/>
      <c r="E29" s="96"/>
      <c r="F29" s="96"/>
      <c r="G29" s="96"/>
      <c r="H29" s="96"/>
      <c r="I29" s="96"/>
      <c r="J29" s="96"/>
      <c r="K29" s="96"/>
      <c r="L29" s="96"/>
    </row>
    <row r="30" spans="1:12">
      <c r="A30" s="96"/>
      <c r="B30" s="96"/>
      <c r="C30" s="96"/>
      <c r="D30" s="96"/>
      <c r="E30" s="96"/>
      <c r="F30" s="96"/>
      <c r="G30" s="96"/>
      <c r="H30" s="96"/>
      <c r="I30" s="96"/>
      <c r="J30" s="96"/>
      <c r="K30" s="96"/>
      <c r="L30" s="96"/>
    </row>
    <row r="31" spans="1:12">
      <c r="A31" s="96"/>
      <c r="B31" s="96"/>
      <c r="C31" s="96"/>
      <c r="D31" s="96"/>
      <c r="E31" s="96"/>
      <c r="F31" s="96"/>
      <c r="G31" s="96"/>
      <c r="H31" s="96"/>
      <c r="I31" s="96"/>
      <c r="J31" s="96"/>
      <c r="K31" s="96"/>
      <c r="L31" s="96"/>
    </row>
    <row r="32" spans="1:12">
      <c r="A32" s="96"/>
      <c r="B32" s="96"/>
      <c r="C32" s="96"/>
      <c r="D32" s="96"/>
      <c r="E32" s="96"/>
      <c r="F32" s="96"/>
      <c r="G32" s="96"/>
      <c r="H32" s="96"/>
      <c r="I32" s="96"/>
      <c r="J32" s="96"/>
      <c r="K32" s="96"/>
      <c r="L32" s="96"/>
    </row>
    <row r="33" spans="1:12">
      <c r="A33" s="96"/>
      <c r="B33" s="96"/>
      <c r="C33" s="96"/>
      <c r="D33" s="96"/>
      <c r="E33" s="96"/>
      <c r="F33" s="96"/>
      <c r="G33" s="96"/>
      <c r="H33" s="96"/>
      <c r="I33" s="96"/>
      <c r="J33" s="96"/>
      <c r="K33" s="96"/>
      <c r="L33" s="96"/>
    </row>
    <row r="34" spans="1:12">
      <c r="A34" s="96"/>
      <c r="B34" s="96"/>
      <c r="C34" s="96"/>
      <c r="D34" s="96"/>
      <c r="E34" s="96"/>
      <c r="F34" s="96"/>
      <c r="G34" s="96"/>
      <c r="H34" s="96"/>
      <c r="I34" s="96"/>
      <c r="J34" s="96"/>
      <c r="K34" s="96"/>
      <c r="L34" s="96"/>
    </row>
    <row r="35" spans="1:12">
      <c r="A35" s="96"/>
      <c r="B35" s="96"/>
      <c r="C35" s="96"/>
      <c r="D35" s="96"/>
      <c r="E35" s="96"/>
      <c r="F35" s="96"/>
      <c r="G35" s="96"/>
      <c r="H35" s="96"/>
      <c r="I35" s="96"/>
      <c r="J35" s="96"/>
      <c r="K35" s="96"/>
      <c r="L35" s="96"/>
    </row>
    <row r="36" spans="1:12">
      <c r="A36" s="96"/>
      <c r="B36" s="96"/>
      <c r="C36" s="96"/>
      <c r="D36" s="96"/>
      <c r="E36" s="96"/>
      <c r="F36" s="96"/>
      <c r="G36" s="96"/>
      <c r="H36" s="96"/>
      <c r="I36" s="96"/>
      <c r="J36" s="96"/>
      <c r="K36" s="96"/>
      <c r="L36" s="96"/>
    </row>
    <row r="37" spans="1:12">
      <c r="A37" s="96"/>
      <c r="B37" s="96"/>
      <c r="C37" s="96"/>
      <c r="D37" s="96"/>
      <c r="E37" s="96"/>
      <c r="F37" s="96"/>
      <c r="G37" s="96"/>
      <c r="H37" s="96"/>
      <c r="I37" s="96"/>
      <c r="J37" s="96"/>
      <c r="K37" s="96"/>
      <c r="L37" s="96"/>
    </row>
    <row r="38" spans="1:12">
      <c r="A38" s="96"/>
      <c r="B38" s="96"/>
      <c r="C38" s="96"/>
      <c r="D38" s="96"/>
      <c r="E38" s="96"/>
      <c r="F38" s="96"/>
      <c r="G38" s="96"/>
      <c r="H38" s="96"/>
      <c r="I38" s="96"/>
      <c r="J38" s="96"/>
      <c r="K38" s="96"/>
      <c r="L38" s="96"/>
    </row>
    <row r="39" spans="1:12">
      <c r="A39" s="96"/>
      <c r="B39" s="96"/>
      <c r="C39" s="96"/>
      <c r="D39" s="96"/>
      <c r="E39" s="96"/>
      <c r="F39" s="96"/>
      <c r="G39" s="96"/>
      <c r="H39" s="96"/>
      <c r="I39" s="96"/>
      <c r="J39" s="96"/>
      <c r="K39" s="96"/>
      <c r="L39" s="96"/>
    </row>
    <row r="40" spans="1:12">
      <c r="A40" s="96"/>
      <c r="B40" s="96"/>
      <c r="C40" s="96"/>
      <c r="D40" s="96"/>
      <c r="E40" s="96"/>
      <c r="F40" s="96"/>
      <c r="G40" s="96"/>
      <c r="H40" s="96"/>
      <c r="I40" s="96"/>
      <c r="J40" s="96"/>
      <c r="K40" s="96"/>
      <c r="L40" s="96"/>
    </row>
    <row r="41" spans="1:12">
      <c r="A41" s="96"/>
      <c r="B41" s="96"/>
      <c r="C41" s="96"/>
      <c r="D41" s="96"/>
      <c r="E41" s="96"/>
      <c r="F41" s="96"/>
      <c r="G41" s="96"/>
      <c r="H41" s="96"/>
      <c r="I41" s="96"/>
      <c r="J41" s="96"/>
      <c r="K41" s="96"/>
      <c r="L41" s="96"/>
    </row>
    <row r="42" spans="1:12">
      <c r="A42" s="96"/>
      <c r="B42" s="96"/>
      <c r="C42" s="96"/>
      <c r="D42" s="96"/>
      <c r="E42" s="96"/>
      <c r="F42" s="96"/>
      <c r="G42" s="96"/>
      <c r="H42" s="96"/>
      <c r="I42" s="96"/>
      <c r="J42" s="96"/>
      <c r="K42" s="96"/>
      <c r="L42" s="96"/>
    </row>
    <row r="43" spans="1:12">
      <c r="A43" s="96"/>
      <c r="B43" s="96"/>
      <c r="C43" s="96"/>
      <c r="D43" s="96"/>
      <c r="E43" s="96"/>
      <c r="F43" s="96"/>
      <c r="G43" s="96"/>
      <c r="H43" s="96"/>
      <c r="I43" s="96"/>
      <c r="J43" s="96"/>
      <c r="K43" s="96"/>
      <c r="L43" s="96"/>
    </row>
    <row r="44" spans="1:12">
      <c r="A44" s="96"/>
      <c r="B44" s="96"/>
      <c r="C44" s="96"/>
      <c r="D44" s="96"/>
      <c r="E44" s="96"/>
      <c r="F44" s="96"/>
      <c r="G44" s="96"/>
      <c r="H44" s="96"/>
      <c r="I44" s="96"/>
      <c r="J44" s="96"/>
      <c r="K44" s="96"/>
      <c r="L44" s="96"/>
    </row>
    <row r="45" spans="1:12">
      <c r="A45" s="96"/>
      <c r="B45" s="96"/>
      <c r="C45" s="96"/>
      <c r="D45" s="96"/>
      <c r="E45" s="96"/>
      <c r="F45" s="96"/>
      <c r="G45" s="96"/>
      <c r="H45" s="96"/>
      <c r="I45" s="96"/>
      <c r="J45" s="96"/>
      <c r="K45" s="96"/>
      <c r="L45" s="96"/>
    </row>
    <row r="46" spans="1:12" ht="11.25" customHeight="1">
      <c r="A46" s="96"/>
      <c r="B46" s="96"/>
      <c r="C46" s="96"/>
      <c r="D46" s="96"/>
      <c r="E46" s="96"/>
      <c r="F46" s="96"/>
      <c r="G46" s="96"/>
      <c r="H46" s="96"/>
      <c r="I46" s="96"/>
      <c r="J46" s="96"/>
      <c r="K46" s="96"/>
      <c r="L46" s="96"/>
    </row>
    <row r="47" spans="1:12">
      <c r="A47" s="96"/>
      <c r="B47" s="96"/>
      <c r="C47" s="96"/>
      <c r="D47" s="96"/>
      <c r="E47" s="96"/>
      <c r="F47" s="96"/>
      <c r="G47" s="96"/>
      <c r="H47" s="96"/>
      <c r="I47" s="96"/>
      <c r="J47" s="96"/>
      <c r="K47" s="96"/>
      <c r="L47" s="96"/>
    </row>
  </sheetData>
  <mergeCells count="2">
    <mergeCell ref="A1:P1"/>
    <mergeCell ref="A2:P2"/>
  </mergeCells>
  <printOptions horizontalCentered="1" verticalCentered="1"/>
  <pageMargins left="0.39370078740157499" right="0.39370078740157499" top="0.23622047244094499" bottom="0.157" header="0.23599999999999999" footer="0.157"/>
  <pageSetup scale="72"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O43"/>
  <sheetViews>
    <sheetView showGridLines="0" view="pageBreakPreview" zoomScale="70" zoomScaleNormal="100" zoomScaleSheetLayoutView="70" workbookViewId="0">
      <pane ySplit="1" topLeftCell="A2" activePane="bottomLeft" state="frozen"/>
      <selection activeCell="P10" sqref="P10"/>
      <selection pane="bottomLeft" activeCell="Q32" sqref="Q32"/>
    </sheetView>
  </sheetViews>
  <sheetFormatPr baseColWidth="10" defaultColWidth="11.42578125" defaultRowHeight="15"/>
  <cols>
    <col min="1" max="1" width="11.42578125" style="77"/>
    <col min="2" max="2" width="14.5703125" style="77" customWidth="1"/>
    <col min="3" max="3" width="17.140625" style="77" customWidth="1"/>
    <col min="4" max="4" width="20.7109375" style="77" customWidth="1"/>
    <col min="5" max="5" width="14.7109375" style="77" customWidth="1"/>
    <col min="6" max="6" width="15" style="43" customWidth="1"/>
    <col min="7" max="7" width="17.5703125" style="77" customWidth="1"/>
    <col min="8" max="9" width="16.28515625" style="77" customWidth="1"/>
    <col min="10" max="10" width="17" style="77" customWidth="1"/>
    <col min="11" max="11" width="11.42578125" style="77"/>
    <col min="12" max="12" width="6.28515625" style="77" customWidth="1"/>
    <col min="13" max="13" width="12.28515625" style="77" bestFit="1" customWidth="1"/>
    <col min="14" max="14" width="16.28515625" style="77" bestFit="1" customWidth="1"/>
    <col min="15" max="21" width="11.42578125" style="77"/>
    <col min="22" max="22" width="12.28515625" style="77" bestFit="1" customWidth="1"/>
    <col min="23" max="16384" width="11.42578125" style="77"/>
  </cols>
  <sheetData>
    <row r="1" spans="1:14" ht="75" customHeight="1">
      <c r="A1" s="2255"/>
      <c r="B1" s="2256"/>
      <c r="C1" s="2256"/>
      <c r="D1" s="2256"/>
      <c r="E1" s="2256"/>
      <c r="F1" s="2256"/>
      <c r="G1" s="2256"/>
      <c r="H1" s="2256"/>
      <c r="I1" s="2256"/>
      <c r="J1" s="2256"/>
      <c r="K1" s="2256"/>
      <c r="L1" s="2256"/>
    </row>
    <row r="2" spans="1:14" ht="6" customHeight="1">
      <c r="A2" s="2257"/>
      <c r="B2" s="2257"/>
      <c r="C2" s="2257"/>
      <c r="D2" s="2257"/>
      <c r="E2" s="2257"/>
      <c r="F2" s="2257"/>
      <c r="G2" s="2257"/>
      <c r="H2" s="2257"/>
      <c r="I2" s="2257"/>
      <c r="J2" s="2257"/>
      <c r="K2" s="2257"/>
      <c r="L2" s="2257"/>
    </row>
    <row r="3" spans="1:14" ht="45.75" customHeight="1">
      <c r="A3" s="655" t="s">
        <v>0</v>
      </c>
      <c r="B3" s="302" t="s">
        <v>33</v>
      </c>
      <c r="C3" s="302" t="s">
        <v>193</v>
      </c>
      <c r="D3" s="302" t="s">
        <v>194</v>
      </c>
      <c r="E3" s="302" t="s">
        <v>1</v>
      </c>
      <c r="F3" s="302" t="s">
        <v>431</v>
      </c>
      <c r="G3" s="302" t="s">
        <v>397</v>
      </c>
      <c r="H3" s="302" t="s">
        <v>166</v>
      </c>
      <c r="I3" s="302" t="s">
        <v>2</v>
      </c>
      <c r="J3" s="302" t="s">
        <v>3</v>
      </c>
      <c r="K3" s="303" t="s">
        <v>167</v>
      </c>
      <c r="L3" s="1"/>
    </row>
    <row r="4" spans="1:14" ht="18" hidden="1" customHeight="1">
      <c r="A4" s="415" t="s">
        <v>140</v>
      </c>
      <c r="B4" s="413"/>
      <c r="C4" s="413">
        <f>D4+K4</f>
        <v>6764678</v>
      </c>
      <c r="D4" s="648">
        <f>E4+H4</f>
        <v>3701525</v>
      </c>
      <c r="E4" s="648">
        <f>F4+G4</f>
        <v>3104294</v>
      </c>
      <c r="F4" s="648">
        <v>1392866</v>
      </c>
      <c r="G4" s="648">
        <v>1711428</v>
      </c>
      <c r="H4" s="413">
        <f>I4+J4</f>
        <v>597231</v>
      </c>
      <c r="I4" s="413">
        <v>329439</v>
      </c>
      <c r="J4" s="413">
        <v>267792</v>
      </c>
      <c r="K4" s="650">
        <v>3063153</v>
      </c>
      <c r="L4" s="1"/>
      <c r="N4" s="49"/>
    </row>
    <row r="5" spans="1:14" ht="16.5" hidden="1" customHeight="1">
      <c r="A5" s="415" t="s">
        <v>4</v>
      </c>
      <c r="B5" s="647">
        <f>+'[3]I.1.1 Cobertura SDSS '!E4</f>
        <v>8742318</v>
      </c>
      <c r="C5" s="647">
        <f>D5+K5</f>
        <v>6826593</v>
      </c>
      <c r="D5" s="649">
        <f>E5+H5</f>
        <v>3731676</v>
      </c>
      <c r="E5" s="649">
        <f>F5+G5</f>
        <v>3098443</v>
      </c>
      <c r="F5" s="648">
        <v>1420224</v>
      </c>
      <c r="G5" s="648">
        <v>1678219</v>
      </c>
      <c r="H5" s="647">
        <f>I5+J5</f>
        <v>633233</v>
      </c>
      <c r="I5" s="413">
        <v>395034</v>
      </c>
      <c r="J5" s="413">
        <v>238199</v>
      </c>
      <c r="K5" s="650">
        <v>3094917</v>
      </c>
      <c r="N5" s="49"/>
    </row>
    <row r="6" spans="1:14" ht="15" hidden="1" customHeight="1">
      <c r="A6" s="415" t="s">
        <v>5</v>
      </c>
      <c r="B6" s="647">
        <f>+'[3]I.1.1 Cobertura SDSS '!E5</f>
        <v>8855026</v>
      </c>
      <c r="C6" s="647">
        <v>6981868.5</v>
      </c>
      <c r="D6" s="649">
        <v>3933660.5</v>
      </c>
      <c r="E6" s="649">
        <v>3209932</v>
      </c>
      <c r="F6" s="648">
        <v>1481853.5</v>
      </c>
      <c r="G6" s="648">
        <v>1727862.5</v>
      </c>
      <c r="H6" s="647">
        <v>723728.5</v>
      </c>
      <c r="I6" s="413">
        <v>391070.5</v>
      </c>
      <c r="J6" s="413">
        <v>332658</v>
      </c>
      <c r="K6" s="650">
        <v>3048208</v>
      </c>
      <c r="N6" s="49"/>
    </row>
    <row r="7" spans="1:14" ht="14.25" customHeight="1">
      <c r="A7" s="415" t="s">
        <v>6</v>
      </c>
      <c r="B7" s="672">
        <v>8968144</v>
      </c>
      <c r="C7" s="670">
        <v>7144758</v>
      </c>
      <c r="D7" s="669">
        <v>3992211</v>
      </c>
      <c r="E7" s="668">
        <v>3276373</v>
      </c>
      <c r="F7" s="669">
        <v>1437260</v>
      </c>
      <c r="G7" s="669">
        <v>1839113</v>
      </c>
      <c r="H7" s="667">
        <v>715838</v>
      </c>
      <c r="I7" s="670">
        <v>415113</v>
      </c>
      <c r="J7" s="670">
        <v>300725</v>
      </c>
      <c r="K7" s="671">
        <v>3152547</v>
      </c>
      <c r="N7" s="49"/>
    </row>
    <row r="8" spans="1:14" ht="13.5" customHeight="1">
      <c r="A8" s="415" t="s">
        <v>7</v>
      </c>
      <c r="B8" s="529">
        <v>9072308</v>
      </c>
      <c r="C8" s="413">
        <v>7320436</v>
      </c>
      <c r="D8" s="648">
        <v>4100433</v>
      </c>
      <c r="E8" s="649">
        <v>3435086</v>
      </c>
      <c r="F8" s="648">
        <v>1505582.5</v>
      </c>
      <c r="G8" s="648">
        <v>1929503.5</v>
      </c>
      <c r="H8" s="647">
        <v>665347</v>
      </c>
      <c r="I8" s="413">
        <v>352829</v>
      </c>
      <c r="J8" s="413">
        <v>312518</v>
      </c>
      <c r="K8" s="650">
        <v>3220003</v>
      </c>
      <c r="N8" s="49"/>
    </row>
    <row r="9" spans="1:14" ht="12.75" customHeight="1">
      <c r="A9" s="415" t="s">
        <v>8</v>
      </c>
      <c r="B9" s="529">
        <v>9175265</v>
      </c>
      <c r="C9" s="413">
        <v>7484808</v>
      </c>
      <c r="D9" s="648">
        <v>4202277</v>
      </c>
      <c r="E9" s="649">
        <v>3548304</v>
      </c>
      <c r="F9" s="648">
        <v>1571911.5</v>
      </c>
      <c r="G9" s="648">
        <v>1976392.5</v>
      </c>
      <c r="H9" s="647">
        <v>653973</v>
      </c>
      <c r="I9" s="413">
        <v>336868</v>
      </c>
      <c r="J9" s="413">
        <v>317105</v>
      </c>
      <c r="K9" s="650">
        <v>3282531</v>
      </c>
      <c r="N9" s="49"/>
    </row>
    <row r="10" spans="1:14" ht="15" customHeight="1">
      <c r="A10" s="415" t="s">
        <v>9</v>
      </c>
      <c r="B10" s="529">
        <v>9277181</v>
      </c>
      <c r="C10" s="413">
        <v>7663945</v>
      </c>
      <c r="D10" s="648">
        <v>4256447</v>
      </c>
      <c r="E10" s="649">
        <v>3653946</v>
      </c>
      <c r="F10" s="648">
        <v>1566047</v>
      </c>
      <c r="G10" s="648">
        <v>2087899</v>
      </c>
      <c r="H10" s="647">
        <v>602501</v>
      </c>
      <c r="I10" s="413">
        <v>264997</v>
      </c>
      <c r="J10" s="413">
        <v>337504</v>
      </c>
      <c r="K10" s="650">
        <v>3407498</v>
      </c>
      <c r="N10" s="49"/>
    </row>
    <row r="11" spans="1:14" ht="15.75" customHeight="1">
      <c r="A11" s="415" t="s">
        <v>10</v>
      </c>
      <c r="B11" s="529">
        <v>9378455</v>
      </c>
      <c r="C11" s="413">
        <v>7848901</v>
      </c>
      <c r="D11" s="648">
        <v>4221883</v>
      </c>
      <c r="E11" s="649">
        <v>3593988</v>
      </c>
      <c r="F11" s="413">
        <v>1560994</v>
      </c>
      <c r="G11" s="413">
        <v>2032994</v>
      </c>
      <c r="H11" s="647">
        <v>627895</v>
      </c>
      <c r="I11" s="413">
        <v>318576</v>
      </c>
      <c r="J11" s="413">
        <v>309319</v>
      </c>
      <c r="K11" s="650">
        <v>3627018</v>
      </c>
      <c r="N11" s="49"/>
    </row>
    <row r="12" spans="1:14" ht="14.25" customHeight="1">
      <c r="A12" s="415" t="s">
        <v>141</v>
      </c>
      <c r="B12" s="529">
        <v>9478612</v>
      </c>
      <c r="C12" s="413">
        <v>7967202</v>
      </c>
      <c r="D12" s="648">
        <v>4378866</v>
      </c>
      <c r="E12" s="649">
        <v>3753529</v>
      </c>
      <c r="F12" s="413">
        <v>1631129</v>
      </c>
      <c r="G12" s="413">
        <v>2122400</v>
      </c>
      <c r="H12" s="647">
        <v>625337</v>
      </c>
      <c r="I12" s="413">
        <v>314055</v>
      </c>
      <c r="J12" s="413">
        <v>311282</v>
      </c>
      <c r="K12" s="650">
        <v>3588336</v>
      </c>
      <c r="N12" s="49"/>
    </row>
    <row r="13" spans="1:14" ht="15.75">
      <c r="A13" s="415" t="s">
        <v>216</v>
      </c>
      <c r="B13" s="529">
        <v>9579983</v>
      </c>
      <c r="C13" s="413">
        <v>8144337</v>
      </c>
      <c r="D13" s="648">
        <v>4580813</v>
      </c>
      <c r="E13" s="649">
        <v>3912405</v>
      </c>
      <c r="F13" s="413">
        <v>1686216</v>
      </c>
      <c r="G13" s="413">
        <v>2226189</v>
      </c>
      <c r="H13" s="647">
        <v>668408</v>
      </c>
      <c r="I13" s="413">
        <v>368019</v>
      </c>
      <c r="J13" s="413">
        <v>300389</v>
      </c>
      <c r="K13" s="650">
        <v>3563524</v>
      </c>
      <c r="N13" s="49"/>
    </row>
    <row r="14" spans="1:14" ht="15.75">
      <c r="A14" s="415" t="s">
        <v>457</v>
      </c>
      <c r="B14" s="529">
        <v>9680534</v>
      </c>
      <c r="C14" s="413">
        <v>8276419</v>
      </c>
      <c r="D14" s="648">
        <v>4677824</v>
      </c>
      <c r="E14" s="649">
        <v>3990748</v>
      </c>
      <c r="F14" s="413">
        <v>1716228</v>
      </c>
      <c r="G14" s="413">
        <v>2274520</v>
      </c>
      <c r="H14" s="647">
        <v>687076</v>
      </c>
      <c r="I14" s="413">
        <v>377404</v>
      </c>
      <c r="J14" s="413">
        <v>309672</v>
      </c>
      <c r="K14" s="650">
        <v>3598595</v>
      </c>
      <c r="N14" s="49"/>
    </row>
    <row r="15" spans="1:14" ht="15.75">
      <c r="A15" s="415" t="s">
        <v>534</v>
      </c>
      <c r="B15" s="529">
        <v>9780743</v>
      </c>
      <c r="C15" s="413">
        <v>8422139</v>
      </c>
      <c r="D15" s="648">
        <v>4728655</v>
      </c>
      <c r="E15" s="649">
        <v>4018420</v>
      </c>
      <c r="F15" s="413">
        <v>1769801</v>
      </c>
      <c r="G15" s="413">
        <v>2248619</v>
      </c>
      <c r="H15" s="647">
        <v>710235</v>
      </c>
      <c r="I15" s="413">
        <v>404825</v>
      </c>
      <c r="J15" s="413">
        <v>305410</v>
      </c>
      <c r="K15" s="650">
        <v>3693484</v>
      </c>
    </row>
    <row r="16" spans="1:14" ht="15.75">
      <c r="A16" s="415" t="s">
        <v>541</v>
      </c>
      <c r="B16" s="529">
        <v>9880505</v>
      </c>
      <c r="C16" s="413">
        <v>8571213</v>
      </c>
      <c r="D16" s="648">
        <v>4913588</v>
      </c>
      <c r="E16" s="649">
        <v>4199885</v>
      </c>
      <c r="F16" s="413">
        <v>1865496</v>
      </c>
      <c r="G16" s="413">
        <v>2334389</v>
      </c>
      <c r="H16" s="647">
        <v>713703</v>
      </c>
      <c r="I16" s="413">
        <v>403839</v>
      </c>
      <c r="J16" s="413">
        <v>309864</v>
      </c>
      <c r="K16" s="650">
        <v>3657625</v>
      </c>
    </row>
    <row r="17" spans="1:15" ht="15.75">
      <c r="A17" s="428" t="s">
        <v>900</v>
      </c>
      <c r="B17" s="673">
        <v>10028012</v>
      </c>
      <c r="C17" s="653">
        <v>8699672</v>
      </c>
      <c r="D17" s="674">
        <v>5012107</v>
      </c>
      <c r="E17" s="652">
        <f>F17+G17</f>
        <v>4309050</v>
      </c>
      <c r="F17" s="653">
        <v>1965498</v>
      </c>
      <c r="G17" s="653">
        <v>2343552</v>
      </c>
      <c r="H17" s="651">
        <f>I17+J17</f>
        <v>974155</v>
      </c>
      <c r="I17" s="653">
        <f>174422+375878</f>
        <v>550300</v>
      </c>
      <c r="J17" s="653">
        <f>327179+96676</f>
        <v>423855</v>
      </c>
      <c r="K17" s="654">
        <v>3687565</v>
      </c>
    </row>
    <row r="18" spans="1:15">
      <c r="A18" s="95"/>
      <c r="B18" s="95"/>
      <c r="C18" s="95"/>
      <c r="D18" s="95"/>
      <c r="E18" s="95"/>
      <c r="F18" s="95"/>
      <c r="G18" s="95"/>
      <c r="H18" s="95"/>
      <c r="I18" s="95"/>
      <c r="J18" s="95"/>
      <c r="K18" s="95"/>
    </row>
    <row r="19" spans="1:15">
      <c r="A19" s="95"/>
      <c r="B19" s="95"/>
      <c r="C19" s="95"/>
      <c r="D19" s="95"/>
      <c r="E19" s="95"/>
      <c r="F19" s="78"/>
      <c r="G19" s="95"/>
      <c r="H19" s="95"/>
      <c r="I19" s="95"/>
      <c r="J19" s="95"/>
      <c r="K19" s="95"/>
    </row>
    <row r="20" spans="1:15">
      <c r="A20" s="95"/>
      <c r="B20" s="95"/>
      <c r="C20" s="95"/>
      <c r="D20" s="95"/>
      <c r="E20" s="95"/>
      <c r="F20" s="78"/>
      <c r="G20" s="95"/>
      <c r="H20" s="95"/>
      <c r="I20" s="95"/>
      <c r="J20" s="95"/>
      <c r="K20" s="95"/>
      <c r="N20" s="49"/>
      <c r="O20" s="49"/>
    </row>
    <row r="21" spans="1:15">
      <c r="A21" s="95"/>
      <c r="B21" s="95"/>
      <c r="C21" s="95"/>
      <c r="D21" s="95"/>
      <c r="E21" s="95"/>
      <c r="F21" s="78"/>
      <c r="G21" s="95"/>
      <c r="H21" s="95"/>
      <c r="I21" s="95"/>
      <c r="J21" s="95"/>
      <c r="K21" s="95"/>
      <c r="N21" s="49"/>
      <c r="O21" s="49"/>
    </row>
    <row r="22" spans="1:15">
      <c r="A22" s="95"/>
      <c r="B22" s="95"/>
      <c r="C22" s="95"/>
      <c r="D22" s="95"/>
      <c r="E22" s="95"/>
      <c r="F22" s="78"/>
      <c r="G22" s="95"/>
      <c r="H22" s="95"/>
      <c r="I22" s="95"/>
      <c r="J22" s="95"/>
      <c r="K22" s="95"/>
      <c r="N22" s="49"/>
      <c r="O22" s="49"/>
    </row>
    <row r="23" spans="1:15">
      <c r="A23" s="95"/>
      <c r="B23" s="95"/>
      <c r="C23" s="95"/>
      <c r="D23" s="95"/>
      <c r="E23" s="95"/>
      <c r="F23" s="78"/>
      <c r="G23" s="95"/>
      <c r="H23" s="95"/>
      <c r="I23" s="95"/>
      <c r="J23" s="95"/>
      <c r="K23" s="95"/>
      <c r="O23" s="49"/>
    </row>
    <row r="24" spans="1:15">
      <c r="A24" s="95"/>
      <c r="B24" s="95"/>
      <c r="C24" s="95"/>
      <c r="D24" s="95"/>
      <c r="E24" s="95"/>
      <c r="F24" s="78"/>
      <c r="G24" s="95"/>
      <c r="H24" s="95"/>
      <c r="I24" s="95"/>
      <c r="J24" s="95"/>
      <c r="K24" s="95"/>
      <c r="O24" s="49"/>
    </row>
    <row r="25" spans="1:15">
      <c r="A25" s="95"/>
      <c r="B25" s="95"/>
      <c r="C25" s="95"/>
      <c r="D25" s="95"/>
      <c r="E25" s="95"/>
      <c r="F25" s="78"/>
      <c r="G25" s="95"/>
      <c r="H25" s="95"/>
      <c r="I25" s="95"/>
      <c r="J25" s="95"/>
      <c r="K25" s="95"/>
      <c r="O25" s="49"/>
    </row>
    <row r="26" spans="1:15">
      <c r="A26" s="95"/>
      <c r="B26" s="95"/>
      <c r="C26" s="95"/>
      <c r="D26" s="95"/>
      <c r="E26" s="95"/>
      <c r="F26" s="78"/>
      <c r="G26" s="95"/>
      <c r="H26" s="95"/>
      <c r="I26" s="95"/>
      <c r="J26" s="95"/>
      <c r="K26" s="95"/>
      <c r="O26" s="49"/>
    </row>
    <row r="27" spans="1:15">
      <c r="A27" s="95"/>
      <c r="B27" s="95"/>
      <c r="C27" s="95"/>
      <c r="D27" s="95"/>
      <c r="E27" s="95"/>
      <c r="F27" s="78"/>
      <c r="G27" s="95"/>
      <c r="H27" s="95"/>
      <c r="I27" s="95"/>
      <c r="J27" s="95"/>
      <c r="K27" s="95"/>
      <c r="O27" s="49"/>
    </row>
    <row r="28" spans="1:15">
      <c r="A28" s="95"/>
      <c r="B28" s="95"/>
      <c r="C28" s="95"/>
      <c r="D28" s="95"/>
      <c r="E28" s="95"/>
      <c r="F28" s="78"/>
      <c r="G28" s="95"/>
      <c r="H28" s="95"/>
      <c r="I28" s="95"/>
      <c r="J28" s="95"/>
      <c r="K28" s="95"/>
      <c r="O28" s="49"/>
    </row>
    <row r="29" spans="1:15">
      <c r="A29" s="95"/>
      <c r="B29" s="95"/>
      <c r="C29" s="95"/>
      <c r="D29" s="95"/>
      <c r="E29" s="95"/>
      <c r="F29" s="78"/>
      <c r="G29" s="95"/>
      <c r="H29" s="95"/>
      <c r="I29" s="95"/>
      <c r="J29" s="95"/>
      <c r="K29" s="95"/>
      <c r="O29" s="49"/>
    </row>
    <row r="30" spans="1:15">
      <c r="A30" s="95"/>
      <c r="B30" s="95"/>
      <c r="C30" s="95"/>
      <c r="D30" s="95"/>
      <c r="E30" s="95"/>
      <c r="F30" s="78"/>
      <c r="G30" s="95"/>
      <c r="H30" s="95"/>
      <c r="I30" s="95"/>
      <c r="J30" s="95"/>
      <c r="K30" s="95"/>
    </row>
    <row r="31" spans="1:15">
      <c r="A31" s="95"/>
      <c r="B31" s="95"/>
      <c r="C31" s="95"/>
      <c r="D31" s="95"/>
      <c r="E31" s="95"/>
      <c r="F31" s="78"/>
      <c r="G31" s="95"/>
      <c r="H31" s="95"/>
      <c r="I31" s="95"/>
      <c r="J31" s="95"/>
      <c r="K31" s="95"/>
    </row>
    <row r="32" spans="1:15">
      <c r="A32" s="95"/>
      <c r="B32" s="95"/>
      <c r="C32" s="95"/>
      <c r="D32" s="95"/>
      <c r="E32" s="95"/>
      <c r="F32" s="78"/>
      <c r="G32" s="95"/>
      <c r="H32" s="95"/>
      <c r="I32" s="95"/>
      <c r="J32" s="95"/>
      <c r="K32" s="95"/>
    </row>
    <row r="33" spans="1:11">
      <c r="A33" s="95"/>
      <c r="B33" s="95"/>
      <c r="C33" s="95"/>
      <c r="D33" s="95"/>
      <c r="E33" s="95"/>
      <c r="F33" s="78"/>
      <c r="G33" s="95"/>
      <c r="H33" s="95"/>
      <c r="I33" s="95"/>
      <c r="J33" s="95"/>
      <c r="K33" s="95"/>
    </row>
    <row r="34" spans="1:11">
      <c r="A34" s="95"/>
      <c r="B34" s="95"/>
      <c r="C34" s="95"/>
      <c r="D34" s="95"/>
      <c r="E34" s="95"/>
      <c r="F34" s="78"/>
      <c r="G34" s="95"/>
      <c r="H34" s="95"/>
      <c r="I34" s="95"/>
      <c r="J34" s="95"/>
      <c r="K34" s="95"/>
    </row>
    <row r="35" spans="1:11">
      <c r="A35" s="95"/>
      <c r="B35" s="95"/>
      <c r="C35" s="95"/>
      <c r="D35" s="95"/>
      <c r="E35" s="95"/>
      <c r="F35" s="78"/>
      <c r="G35" s="95"/>
      <c r="H35" s="95"/>
      <c r="I35" s="95"/>
      <c r="J35" s="95"/>
      <c r="K35" s="95"/>
    </row>
    <row r="36" spans="1:11">
      <c r="A36" s="95"/>
      <c r="B36" s="95"/>
      <c r="C36" s="95"/>
      <c r="D36" s="95"/>
      <c r="E36" s="95"/>
      <c r="F36" s="78"/>
      <c r="G36" s="95"/>
      <c r="H36" s="95"/>
      <c r="I36" s="95"/>
      <c r="J36" s="95"/>
      <c r="K36" s="95"/>
    </row>
    <row r="37" spans="1:11">
      <c r="A37" s="95"/>
      <c r="B37" s="95"/>
      <c r="C37" s="95"/>
      <c r="D37" s="95"/>
      <c r="E37" s="95"/>
      <c r="F37" s="78"/>
      <c r="G37" s="95"/>
      <c r="H37" s="95"/>
      <c r="I37" s="95"/>
      <c r="J37" s="95"/>
      <c r="K37" s="95"/>
    </row>
    <row r="38" spans="1:11">
      <c r="A38" s="95"/>
      <c r="B38" s="95"/>
      <c r="C38" s="95"/>
      <c r="D38" s="95"/>
      <c r="E38" s="95"/>
      <c r="F38" s="78"/>
      <c r="G38" s="95"/>
      <c r="H38" s="95"/>
      <c r="I38" s="95"/>
      <c r="J38" s="95"/>
      <c r="K38" s="95"/>
    </row>
    <row r="39" spans="1:11" ht="3" customHeight="1">
      <c r="A39" s="51"/>
      <c r="B39" s="51"/>
      <c r="C39" s="51"/>
      <c r="D39" s="51"/>
      <c r="E39" s="51"/>
      <c r="F39" s="51"/>
      <c r="G39" s="51"/>
      <c r="H39" s="51"/>
      <c r="I39" s="51"/>
      <c r="J39" s="51"/>
      <c r="K39" s="51"/>
    </row>
    <row r="40" spans="1:11">
      <c r="A40" s="96"/>
      <c r="B40" s="96"/>
      <c r="C40" s="96"/>
      <c r="D40" s="96"/>
      <c r="E40" s="96"/>
      <c r="F40" s="42"/>
      <c r="G40" s="96"/>
      <c r="H40" s="96"/>
      <c r="I40" s="96"/>
      <c r="J40" s="96"/>
      <c r="K40" s="96"/>
    </row>
    <row r="43" spans="1:11">
      <c r="A43" s="96"/>
      <c r="B43" s="96"/>
      <c r="C43" s="96"/>
      <c r="D43" s="96"/>
      <c r="E43" s="96"/>
      <c r="F43" s="42"/>
      <c r="G43" s="96"/>
      <c r="H43" s="96"/>
      <c r="I43" s="96"/>
      <c r="J43" s="96"/>
      <c r="K43" s="96"/>
    </row>
  </sheetData>
  <mergeCells count="2">
    <mergeCell ref="A1:L1"/>
    <mergeCell ref="A2:L2"/>
  </mergeCells>
  <printOptions horizontalCentered="1" verticalCentered="1"/>
  <pageMargins left="0.39370078740157483" right="0.39370078740157483" top="0.23622047244094491" bottom="0.15748031496062992" header="0.23622047244094491" footer="0.15748031496062992"/>
  <pageSetup scale="73"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AG91"/>
  <sheetViews>
    <sheetView showGridLines="0" view="pageBreakPreview" zoomScale="40" zoomScaleNormal="100" zoomScaleSheetLayoutView="40" zoomScalePageLayoutView="62" workbookViewId="0">
      <selection activeCell="T3" sqref="T3"/>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41.8554687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s="702" customFormat="1" ht="90.75" customHeight="1">
      <c r="A1" s="2258"/>
      <c r="B1" s="2258"/>
      <c r="C1" s="2258"/>
      <c r="D1" s="2258"/>
      <c r="E1" s="2258"/>
      <c r="F1" s="2258"/>
      <c r="G1" s="2258"/>
      <c r="H1" s="2258"/>
      <c r="I1" s="2258"/>
      <c r="J1" s="2258"/>
      <c r="K1" s="2258"/>
      <c r="L1" s="2258"/>
      <c r="M1" s="2258"/>
      <c r="N1" s="2258"/>
      <c r="O1" s="2258"/>
      <c r="P1" s="2258"/>
    </row>
    <row r="2" spans="1:33" ht="357.75" customHeight="1">
      <c r="A2" s="2259" t="s">
        <v>1016</v>
      </c>
      <c r="B2" s="2260"/>
      <c r="C2" s="2260"/>
      <c r="D2" s="2260"/>
      <c r="E2" s="2260"/>
      <c r="F2" s="2260"/>
      <c r="G2" s="2260"/>
      <c r="H2" s="2260"/>
      <c r="I2" s="2260"/>
      <c r="J2" s="2260"/>
      <c r="K2" s="2260"/>
      <c r="L2" s="2260"/>
      <c r="M2" s="2260"/>
      <c r="N2" s="2260"/>
      <c r="O2" s="2260"/>
      <c r="P2" s="2260"/>
      <c r="Q2" s="61"/>
      <c r="R2" s="61"/>
      <c r="S2" s="24"/>
      <c r="T2" s="24"/>
      <c r="U2" s="24"/>
      <c r="V2" s="24"/>
    </row>
    <row r="3" spans="1:33" ht="408.75" customHeight="1">
      <c r="A3" s="2261"/>
      <c r="B3" s="2261"/>
      <c r="C3" s="2261"/>
      <c r="D3" s="2261"/>
      <c r="E3" s="2261"/>
      <c r="F3" s="2261"/>
      <c r="G3" s="2261"/>
      <c r="H3" s="2261"/>
      <c r="I3" s="2261"/>
      <c r="J3" s="2261"/>
      <c r="K3" s="2261"/>
      <c r="L3" s="2261"/>
      <c r="M3" s="2261"/>
      <c r="N3" s="2261"/>
      <c r="O3" s="2261"/>
      <c r="P3" s="2261"/>
      <c r="Q3" s="61"/>
      <c r="R3" s="61"/>
      <c r="S3" s="24"/>
      <c r="T3" s="24"/>
      <c r="U3" s="24"/>
      <c r="V3" s="24"/>
    </row>
    <row r="4" spans="1:33" ht="262.5" customHeight="1">
      <c r="A4" s="2261"/>
      <c r="B4" s="2261"/>
      <c r="C4" s="2261"/>
      <c r="D4" s="2261"/>
      <c r="E4" s="2261"/>
      <c r="F4" s="2261"/>
      <c r="G4" s="2261"/>
      <c r="H4" s="2261"/>
      <c r="I4" s="2261"/>
      <c r="J4" s="2261"/>
      <c r="K4" s="2261"/>
      <c r="L4" s="2261"/>
      <c r="M4" s="2261"/>
      <c r="N4" s="2261"/>
      <c r="O4" s="2261"/>
      <c r="P4" s="2261"/>
      <c r="Q4" s="61"/>
      <c r="R4" s="61"/>
      <c r="S4" s="24"/>
      <c r="T4" s="24"/>
      <c r="U4" s="24"/>
      <c r="V4" s="24"/>
    </row>
    <row r="5" spans="1:33" ht="60.75" customHeight="1">
      <c r="A5" s="2262"/>
      <c r="B5" s="2262"/>
      <c r="C5" s="2262"/>
      <c r="D5" s="2262"/>
      <c r="E5" s="2262"/>
      <c r="F5" s="2262"/>
      <c r="G5" s="2262"/>
      <c r="H5" s="2262"/>
      <c r="I5" s="2262"/>
      <c r="J5" s="2262"/>
      <c r="K5" s="2262"/>
      <c r="L5" s="2262"/>
      <c r="M5" s="2262"/>
      <c r="N5" s="2262"/>
      <c r="O5" s="2262"/>
      <c r="P5" s="2262"/>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c r="S38" s="95"/>
      <c r="T38" s="95"/>
      <c r="U38" s="95"/>
      <c r="V38" s="95"/>
      <c r="W38" s="96"/>
      <c r="X38" s="96"/>
      <c r="Y38" s="96"/>
      <c r="Z38" s="96"/>
      <c r="AA38" s="96"/>
      <c r="AB38" s="96"/>
    </row>
    <row r="39" spans="1:30" ht="51" customHeight="1">
      <c r="S39" s="95"/>
      <c r="T39" s="95"/>
      <c r="U39" s="95"/>
      <c r="V39" s="95"/>
      <c r="W39" s="96"/>
      <c r="X39" s="96"/>
      <c r="Y39" s="96"/>
      <c r="Z39" s="96"/>
      <c r="AA39" s="96"/>
      <c r="AB39" s="96"/>
    </row>
    <row r="40" spans="1:30" ht="78" customHeight="1">
      <c r="A40" s="2067"/>
      <c r="B40" s="2067"/>
      <c r="C40" s="2067"/>
      <c r="D40" s="2067"/>
      <c r="E40" s="2067"/>
      <c r="F40" s="2067"/>
      <c r="G40" s="2067"/>
      <c r="H40" s="2067"/>
      <c r="I40" s="2067"/>
      <c r="J40" s="2067"/>
      <c r="K40" s="2067"/>
      <c r="L40" s="2067"/>
      <c r="M40" s="2067"/>
      <c r="N40" s="2067"/>
      <c r="O40" s="2067"/>
      <c r="P40" s="2067"/>
      <c r="Q40" s="2067"/>
      <c r="R40" s="2067"/>
      <c r="S40" s="2067"/>
      <c r="T40" s="2067"/>
      <c r="U40" s="2067"/>
      <c r="V40" s="2067"/>
      <c r="W40" s="2067"/>
      <c r="X40" s="2067"/>
      <c r="Y40" s="2067"/>
      <c r="Z40" s="96"/>
      <c r="AA40" s="96"/>
      <c r="AB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row>
    <row r="71" spans="24:24">
      <c r="X71" s="96"/>
    </row>
    <row r="72" spans="24:24">
      <c r="X72" s="96"/>
    </row>
    <row r="73" spans="24:24">
      <c r="X73" s="96"/>
    </row>
    <row r="74" spans="24:24">
      <c r="X74" s="96"/>
    </row>
    <row r="75" spans="24:24">
      <c r="X75" s="96"/>
    </row>
    <row r="76" spans="24:24">
      <c r="X76" s="96"/>
    </row>
    <row r="77" spans="24:24">
      <c r="X77" s="96"/>
    </row>
    <row r="78" spans="24:24">
      <c r="X78" s="96"/>
    </row>
    <row r="88" spans="24:24">
      <c r="X88" s="96"/>
    </row>
    <row r="89" spans="24:24">
      <c r="X89" s="96"/>
    </row>
    <row r="90" spans="24:24">
      <c r="X90" s="96"/>
    </row>
    <row r="91" spans="24:24">
      <c r="X91" s="96"/>
    </row>
  </sheetData>
  <mergeCells count="4">
    <mergeCell ref="A1:P1"/>
    <mergeCell ref="A2:P4"/>
    <mergeCell ref="A40:Y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topLeftCell="A2" zoomScale="40" zoomScaleNormal="100" zoomScaleSheetLayoutView="40" zoomScalePageLayoutView="62" workbookViewId="0">
      <selection activeCell="A2" sqref="A2:P4"/>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16" style="77" customWidth="1"/>
    <col min="10" max="10" width="18.7109375" style="77" customWidth="1"/>
    <col min="11" max="11" width="17.140625" style="77" customWidth="1"/>
    <col min="12" max="12" width="15.7109375" style="77" customWidth="1"/>
    <col min="13" max="13" width="16.85546875" style="77" customWidth="1"/>
    <col min="14" max="14" width="16.28515625" style="77" customWidth="1"/>
    <col min="15" max="15" width="15" style="77" customWidth="1"/>
    <col min="16" max="16" width="9.7109375" style="77" customWidth="1"/>
    <col min="17" max="17" width="18" style="77" bestFit="1" customWidth="1"/>
    <col min="18" max="18" width="17.42578125" style="77" customWidth="1"/>
    <col min="19" max="22" width="11.42578125" style="77"/>
    <col min="23" max="23" width="18.7109375" style="77" bestFit="1" customWidth="1"/>
    <col min="24" max="16384" width="11.42578125" style="77"/>
  </cols>
  <sheetData>
    <row r="1" spans="1:29" ht="90.75" customHeight="1">
      <c r="A1" s="2263"/>
      <c r="B1" s="2263"/>
      <c r="C1" s="2263"/>
      <c r="D1" s="2263"/>
      <c r="E1" s="2263"/>
      <c r="F1" s="2263"/>
      <c r="G1" s="2263"/>
      <c r="H1" s="2263"/>
      <c r="I1" s="2263"/>
      <c r="J1" s="2263"/>
      <c r="K1" s="2263"/>
      <c r="L1" s="2263"/>
      <c r="M1" s="2263"/>
      <c r="N1" s="2263"/>
      <c r="O1" s="2263"/>
      <c r="P1" s="2263"/>
    </row>
    <row r="2" spans="1:29" ht="408.75" customHeight="1">
      <c r="A2" s="2264" t="s">
        <v>1015</v>
      </c>
      <c r="B2" s="2265"/>
      <c r="C2" s="2265"/>
      <c r="D2" s="2265"/>
      <c r="E2" s="2265"/>
      <c r="F2" s="2265"/>
      <c r="G2" s="2265"/>
      <c r="H2" s="2265"/>
      <c r="I2" s="2265"/>
      <c r="J2" s="2265"/>
      <c r="K2" s="2265"/>
      <c r="L2" s="2265"/>
      <c r="M2" s="2265"/>
      <c r="N2" s="2265"/>
      <c r="O2" s="2265"/>
      <c r="P2" s="2265"/>
      <c r="Q2" s="61"/>
      <c r="R2" s="61"/>
    </row>
    <row r="3" spans="1:29" ht="408.75" customHeight="1">
      <c r="A3" s="2265"/>
      <c r="B3" s="2265"/>
      <c r="C3" s="2265"/>
      <c r="D3" s="2265"/>
      <c r="E3" s="2265"/>
      <c r="F3" s="2265"/>
      <c r="G3" s="2265"/>
      <c r="H3" s="2265"/>
      <c r="I3" s="2265"/>
      <c r="J3" s="2265"/>
      <c r="K3" s="2265"/>
      <c r="L3" s="2265"/>
      <c r="M3" s="2265"/>
      <c r="N3" s="2265"/>
      <c r="O3" s="2265"/>
      <c r="P3" s="2265"/>
      <c r="Q3" s="61"/>
      <c r="R3" s="61"/>
    </row>
    <row r="4" spans="1:29" ht="357" customHeight="1">
      <c r="A4" s="2265"/>
      <c r="B4" s="2265"/>
      <c r="C4" s="2265"/>
      <c r="D4" s="2265"/>
      <c r="E4" s="2265"/>
      <c r="F4" s="2265"/>
      <c r="G4" s="2265"/>
      <c r="H4" s="2265"/>
      <c r="I4" s="2265"/>
      <c r="J4" s="2265"/>
      <c r="K4" s="2265"/>
      <c r="L4" s="2265"/>
      <c r="M4" s="2265"/>
      <c r="N4" s="2265"/>
      <c r="O4" s="2265"/>
      <c r="P4" s="2265"/>
      <c r="Q4" s="61"/>
      <c r="R4" s="61"/>
      <c r="S4" s="77" t="s">
        <v>31</v>
      </c>
    </row>
    <row r="5" spans="1:29" s="2266" customFormat="1" ht="25.5" customHeight="1"/>
    <row r="6" spans="1:29" ht="25.5" customHeight="1">
      <c r="A6"/>
      <c r="B6"/>
      <c r="C6"/>
      <c r="D6"/>
      <c r="E6"/>
      <c r="F6"/>
      <c r="G6"/>
      <c r="H6"/>
      <c r="I6"/>
      <c r="J6"/>
      <c r="K6"/>
      <c r="L6"/>
      <c r="M6"/>
      <c r="N6"/>
      <c r="O6"/>
      <c r="P6"/>
      <c r="Q6" s="61"/>
      <c r="R6" s="61"/>
    </row>
    <row r="7" spans="1:29" ht="25.5" customHeight="1">
      <c r="A7"/>
      <c r="B7"/>
      <c r="C7"/>
      <c r="D7"/>
      <c r="E7"/>
      <c r="F7"/>
      <c r="G7"/>
      <c r="H7"/>
      <c r="I7"/>
      <c r="J7"/>
      <c r="K7"/>
      <c r="L7"/>
      <c r="M7"/>
      <c r="N7"/>
      <c r="O7"/>
      <c r="P7"/>
      <c r="Q7" s="61"/>
      <c r="R7" s="61"/>
    </row>
    <row r="8" spans="1:29" ht="25.5" customHeight="1">
      <c r="A8"/>
      <c r="B8"/>
      <c r="C8"/>
      <c r="D8"/>
      <c r="E8"/>
      <c r="F8"/>
      <c r="G8"/>
      <c r="H8"/>
      <c r="I8"/>
      <c r="J8"/>
      <c r="K8"/>
      <c r="L8"/>
      <c r="M8"/>
      <c r="N8"/>
      <c r="O8"/>
      <c r="P8"/>
      <c r="Q8" s="61"/>
      <c r="R8" s="61"/>
    </row>
    <row r="9" spans="1:29" ht="25.5" customHeight="1">
      <c r="A9"/>
      <c r="B9"/>
      <c r="C9"/>
      <c r="D9"/>
      <c r="E9"/>
      <c r="F9"/>
      <c r="G9"/>
      <c r="H9"/>
      <c r="I9"/>
      <c r="J9"/>
      <c r="K9"/>
      <c r="L9"/>
      <c r="M9"/>
      <c r="N9"/>
      <c r="O9"/>
      <c r="P9"/>
      <c r="Q9" s="61"/>
      <c r="R9" s="61"/>
    </row>
    <row r="10" spans="1:29" ht="25.5" customHeight="1">
      <c r="A10"/>
      <c r="B10"/>
      <c r="C10"/>
      <c r="D10"/>
      <c r="E10"/>
      <c r="F10"/>
      <c r="G10"/>
      <c r="H10"/>
      <c r="I10"/>
      <c r="J10"/>
      <c r="K10"/>
      <c r="L10"/>
      <c r="M10"/>
      <c r="N10"/>
      <c r="O10"/>
      <c r="P10"/>
      <c r="Q10" s="61"/>
      <c r="R10" s="61"/>
    </row>
    <row r="11" spans="1:29" ht="25.5" customHeight="1">
      <c r="A11"/>
      <c r="B11"/>
      <c r="C11"/>
      <c r="D11"/>
      <c r="E11"/>
      <c r="F11"/>
      <c r="G11"/>
      <c r="H11"/>
      <c r="I11"/>
      <c r="J11"/>
      <c r="K11"/>
      <c r="L11"/>
      <c r="M11"/>
      <c r="N11"/>
      <c r="O11"/>
      <c r="P11"/>
      <c r="Q11" s="61"/>
      <c r="R11" s="61"/>
    </row>
    <row r="12" spans="1:29" ht="23.25" customHeight="1">
      <c r="A12"/>
      <c r="B12"/>
      <c r="C12"/>
      <c r="D12"/>
      <c r="E12"/>
      <c r="F12"/>
      <c r="G12"/>
      <c r="H12"/>
      <c r="I12"/>
      <c r="J12"/>
      <c r="K12"/>
      <c r="L12"/>
      <c r="M12"/>
      <c r="N12"/>
      <c r="O12"/>
      <c r="P12"/>
      <c r="Q12" s="61"/>
      <c r="R12" s="61"/>
    </row>
    <row r="13" spans="1:29" ht="25.5" customHeight="1">
      <c r="A13" s="31"/>
      <c r="B13" s="31"/>
      <c r="C13" s="31"/>
      <c r="D13" s="31"/>
      <c r="E13" s="31"/>
      <c r="F13" s="31"/>
      <c r="G13" s="31"/>
      <c r="H13" s="31"/>
      <c r="I13" s="31"/>
      <c r="J13" s="31"/>
      <c r="K13" s="31"/>
      <c r="L13" s="31"/>
      <c r="M13" s="31"/>
      <c r="N13" s="31"/>
      <c r="O13" s="31"/>
      <c r="P13" s="31"/>
      <c r="R13" s="61"/>
    </row>
    <row r="14" spans="1:29" ht="25.5" customHeight="1">
      <c r="A14" s="31"/>
      <c r="B14" s="31"/>
      <c r="C14" s="31"/>
      <c r="D14" s="31"/>
      <c r="E14" s="31"/>
      <c r="F14" s="31"/>
      <c r="G14" s="31"/>
      <c r="H14" s="31"/>
      <c r="I14" s="31"/>
      <c r="J14" s="31"/>
      <c r="K14" s="31"/>
      <c r="L14" s="31"/>
      <c r="M14" s="31"/>
      <c r="N14" s="31"/>
      <c r="O14" s="31"/>
      <c r="P14" s="31"/>
      <c r="Q14" s="31"/>
      <c r="R14" s="31"/>
    </row>
    <row r="15" spans="1:29" ht="25.5" customHeight="1">
      <c r="A15" s="31"/>
      <c r="B15" s="31"/>
      <c r="C15" s="31"/>
      <c r="D15" s="31"/>
      <c r="E15" s="31"/>
      <c r="F15" s="31"/>
      <c r="G15" s="31"/>
      <c r="H15" s="31"/>
      <c r="I15" s="31"/>
      <c r="J15" s="31"/>
      <c r="K15" s="31"/>
      <c r="L15" s="31"/>
      <c r="M15" s="31"/>
      <c r="N15" s="31"/>
      <c r="O15" s="31"/>
      <c r="P15" s="31"/>
      <c r="Q15" s="31"/>
      <c r="R15" s="31"/>
      <c r="AC15" s="77" t="s">
        <v>31</v>
      </c>
    </row>
    <row r="16" spans="1:29" ht="25.5" customHeight="1">
      <c r="A16" s="31"/>
      <c r="B16" s="31"/>
      <c r="C16" s="31"/>
      <c r="D16" s="31"/>
      <c r="E16" s="31"/>
      <c r="F16" s="31"/>
      <c r="G16" s="31"/>
      <c r="H16" s="31"/>
      <c r="I16" s="31"/>
      <c r="J16" s="31"/>
      <c r="K16" s="31"/>
      <c r="L16" s="31"/>
      <c r="M16" s="31"/>
      <c r="N16" s="31"/>
      <c r="O16" s="31"/>
      <c r="P16" s="31"/>
      <c r="Q16" s="31"/>
      <c r="R16" s="31"/>
    </row>
    <row r="17" spans="1:19" ht="25.5" customHeight="1">
      <c r="A17" s="31"/>
      <c r="B17" s="31"/>
      <c r="C17" s="31"/>
      <c r="D17" s="31"/>
      <c r="E17" s="31"/>
      <c r="F17" s="31"/>
      <c r="G17" s="31"/>
      <c r="H17" s="31"/>
      <c r="I17" s="31"/>
      <c r="J17" s="31"/>
      <c r="K17" s="31"/>
      <c r="L17" s="31"/>
      <c r="M17" s="31"/>
      <c r="N17" s="31"/>
      <c r="O17" s="31"/>
      <c r="P17" s="31"/>
      <c r="Q17" s="31"/>
      <c r="R17" s="31"/>
    </row>
    <row r="18" spans="1:19" ht="25.5" customHeight="1">
      <c r="A18" s="31"/>
      <c r="B18" s="31"/>
      <c r="C18" s="31"/>
      <c r="D18" s="31"/>
      <c r="E18" s="31"/>
      <c r="F18" s="31"/>
      <c r="G18" s="31"/>
      <c r="H18" s="31"/>
      <c r="I18" s="31"/>
      <c r="J18" s="31"/>
      <c r="K18" s="31"/>
      <c r="L18" s="31"/>
      <c r="M18" s="31"/>
      <c r="N18" s="31"/>
      <c r="O18" s="31"/>
      <c r="P18" s="31"/>
      <c r="Q18" s="31"/>
      <c r="R18" s="31"/>
    </row>
    <row r="19" spans="1:19" ht="25.5" customHeight="1">
      <c r="A19" s="31"/>
      <c r="B19" s="31"/>
      <c r="C19" s="31"/>
      <c r="D19" s="31"/>
      <c r="E19" s="31"/>
      <c r="F19" s="31"/>
      <c r="G19" s="31"/>
      <c r="H19" s="31"/>
      <c r="I19" s="31"/>
      <c r="J19" s="31"/>
      <c r="K19" s="31"/>
      <c r="L19" s="31"/>
      <c r="M19" s="31"/>
      <c r="N19" s="31"/>
      <c r="O19" s="31"/>
      <c r="P19" s="31"/>
      <c r="Q19" s="31"/>
      <c r="R19" s="31"/>
    </row>
    <row r="20" spans="1:19" ht="25.5" customHeight="1">
      <c r="A20" s="31"/>
      <c r="B20" s="31"/>
      <c r="C20" s="31"/>
      <c r="D20" s="31"/>
      <c r="E20" s="31"/>
      <c r="F20" s="31"/>
      <c r="G20" s="31"/>
      <c r="H20" s="31"/>
      <c r="I20" s="31"/>
      <c r="J20" s="31"/>
      <c r="K20" s="31"/>
      <c r="L20" s="31"/>
      <c r="M20" s="31"/>
      <c r="N20" s="31"/>
      <c r="O20" s="31"/>
      <c r="P20" s="31"/>
      <c r="Q20" s="31"/>
      <c r="R20" s="31"/>
    </row>
    <row r="21" spans="1:19" ht="25.5" customHeight="1">
      <c r="A21" s="31"/>
      <c r="B21" s="31"/>
      <c r="C21" s="31"/>
      <c r="D21" s="31"/>
      <c r="E21" s="31"/>
      <c r="F21" s="31"/>
      <c r="G21" s="31"/>
      <c r="H21" s="31"/>
      <c r="I21" s="31"/>
      <c r="J21" s="31"/>
      <c r="K21" s="31"/>
      <c r="L21" s="31"/>
      <c r="M21" s="31"/>
      <c r="N21" s="31"/>
      <c r="O21" s="31"/>
      <c r="P21" s="31"/>
      <c r="Q21" s="31"/>
      <c r="R21" s="31"/>
    </row>
    <row r="22" spans="1:19" ht="25.5" customHeight="1">
      <c r="A22" s="31"/>
      <c r="B22" s="31"/>
      <c r="C22" s="31"/>
      <c r="D22" s="31"/>
      <c r="E22" s="31"/>
      <c r="F22" s="31"/>
      <c r="G22" s="31"/>
      <c r="H22" s="31"/>
      <c r="I22" s="31"/>
      <c r="J22" s="31"/>
      <c r="K22" s="31"/>
      <c r="L22" s="31"/>
      <c r="M22" s="31"/>
      <c r="N22" s="31"/>
      <c r="O22" s="31"/>
      <c r="P22" s="31"/>
      <c r="Q22" s="31"/>
      <c r="R22" s="31"/>
    </row>
    <row r="23" spans="1:19" ht="25.5" customHeight="1">
      <c r="A23" s="31"/>
      <c r="B23" s="31"/>
      <c r="C23" s="31"/>
      <c r="D23" s="31"/>
      <c r="E23" s="31"/>
      <c r="F23" s="31"/>
      <c r="G23" s="31"/>
      <c r="H23" s="31"/>
      <c r="I23" s="31"/>
      <c r="J23" s="31"/>
      <c r="K23" s="31"/>
      <c r="L23" s="31"/>
      <c r="M23" s="31"/>
      <c r="N23" s="31"/>
      <c r="O23" s="31"/>
      <c r="P23" s="31"/>
      <c r="Q23" s="31"/>
      <c r="R23" s="31"/>
    </row>
    <row r="24" spans="1:19" ht="25.5" customHeight="1">
      <c r="A24" s="31"/>
      <c r="B24" s="31"/>
      <c r="C24" s="31"/>
      <c r="D24" s="31"/>
      <c r="E24" s="31"/>
      <c r="F24" s="31"/>
      <c r="G24" s="31"/>
      <c r="H24" s="31"/>
      <c r="I24" s="31"/>
      <c r="J24" s="31"/>
      <c r="K24" s="31"/>
      <c r="L24" s="31"/>
      <c r="M24" s="31"/>
      <c r="N24" s="31"/>
      <c r="O24" s="31"/>
      <c r="P24" s="31"/>
      <c r="Q24" s="31"/>
      <c r="R24" s="31"/>
    </row>
    <row r="25" spans="1:19" ht="25.5" customHeight="1">
      <c r="A25" s="31"/>
      <c r="B25" s="31"/>
      <c r="C25" s="31"/>
      <c r="D25" s="31"/>
      <c r="E25" s="31"/>
      <c r="F25" s="31"/>
      <c r="G25" s="31"/>
      <c r="H25" s="31"/>
      <c r="I25" s="31"/>
      <c r="J25" s="31"/>
      <c r="K25" s="31"/>
      <c r="L25" s="31"/>
      <c r="M25" s="31"/>
      <c r="N25" s="31"/>
      <c r="O25" s="31"/>
      <c r="P25" s="31"/>
      <c r="Q25" s="31"/>
      <c r="R25" s="31"/>
    </row>
    <row r="26" spans="1:19" ht="25.5" customHeight="1">
      <c r="A26" s="31"/>
      <c r="B26" s="31"/>
      <c r="C26" s="31"/>
      <c r="D26" s="31"/>
      <c r="E26" s="31"/>
      <c r="F26" s="31"/>
      <c r="G26" s="31"/>
      <c r="H26" s="31"/>
      <c r="I26" s="31"/>
      <c r="J26" s="31"/>
      <c r="K26" s="31"/>
      <c r="L26" s="31"/>
      <c r="M26" s="31"/>
      <c r="N26" s="31"/>
      <c r="O26" s="31"/>
      <c r="P26" s="31"/>
      <c r="Q26" s="31"/>
      <c r="R26" s="31"/>
    </row>
    <row r="27" spans="1:19" ht="25.5" customHeight="1">
      <c r="A27" s="31"/>
      <c r="B27" s="31"/>
      <c r="C27" s="31"/>
      <c r="D27" s="31"/>
      <c r="E27" s="31"/>
      <c r="F27" s="31"/>
      <c r="G27" s="31"/>
      <c r="H27" s="31"/>
      <c r="I27" s="31"/>
      <c r="J27" s="31"/>
      <c r="K27" s="31"/>
      <c r="L27" s="31"/>
      <c r="M27" s="31"/>
      <c r="N27" s="31"/>
      <c r="O27" s="31"/>
      <c r="P27" s="31"/>
      <c r="Q27" s="31"/>
      <c r="R27" s="31"/>
      <c r="S27" s="77" t="s">
        <v>31</v>
      </c>
    </row>
    <row r="28" spans="1:19" ht="25.5" customHeight="1">
      <c r="A28" s="31"/>
      <c r="B28" s="31"/>
      <c r="C28" s="31"/>
      <c r="D28" s="31"/>
      <c r="E28" s="31"/>
      <c r="F28" s="31"/>
      <c r="G28" s="31"/>
      <c r="H28" s="31"/>
      <c r="I28" s="31"/>
      <c r="J28" s="31"/>
      <c r="K28" s="31"/>
      <c r="L28" s="31"/>
      <c r="M28" s="31"/>
      <c r="N28" s="31"/>
      <c r="O28" s="31"/>
      <c r="P28" s="31"/>
      <c r="Q28" s="31"/>
      <c r="R28" s="31"/>
    </row>
    <row r="29" spans="1:19" ht="25.5" customHeight="1">
      <c r="A29" s="31"/>
      <c r="B29" s="31"/>
      <c r="C29" s="31"/>
      <c r="D29" s="31"/>
      <c r="E29" s="31"/>
      <c r="F29" s="31"/>
      <c r="G29" s="31"/>
      <c r="H29" s="31"/>
      <c r="I29" s="31"/>
      <c r="J29" s="31"/>
      <c r="K29" s="31"/>
      <c r="L29" s="31"/>
      <c r="M29" s="31"/>
      <c r="N29" s="31"/>
      <c r="O29" s="31"/>
      <c r="P29" s="31"/>
      <c r="Q29" s="31"/>
      <c r="R29" s="31"/>
    </row>
    <row r="30" spans="1:19" ht="25.5" customHeight="1">
      <c r="A30" s="31"/>
      <c r="B30" s="31"/>
      <c r="C30" s="31"/>
      <c r="D30" s="31"/>
      <c r="E30" s="31"/>
      <c r="F30" s="31"/>
      <c r="G30" s="31"/>
      <c r="H30" s="31"/>
      <c r="I30" s="31"/>
      <c r="J30" s="31"/>
      <c r="K30" s="31"/>
      <c r="L30" s="31"/>
      <c r="M30" s="31"/>
      <c r="N30" s="31"/>
      <c r="O30" s="31"/>
      <c r="P30" s="31"/>
      <c r="Q30" s="31"/>
      <c r="R30" s="31"/>
    </row>
    <row r="31" spans="1:19" ht="25.5" customHeight="1">
      <c r="A31" s="31"/>
      <c r="B31" s="31"/>
      <c r="C31" s="31"/>
      <c r="D31" s="31"/>
      <c r="E31" s="31"/>
      <c r="F31" s="31"/>
      <c r="G31" s="31"/>
      <c r="H31" s="31"/>
      <c r="I31" s="31"/>
      <c r="J31" s="31"/>
      <c r="K31" s="31"/>
      <c r="L31" s="31"/>
      <c r="M31" s="31"/>
      <c r="N31" s="31"/>
      <c r="O31" s="31"/>
      <c r="P31" s="31"/>
      <c r="Q31" s="31"/>
      <c r="R31" s="31"/>
    </row>
    <row r="32" spans="1:19" ht="25.5" customHeight="1">
      <c r="A32" s="31"/>
      <c r="B32" s="31"/>
      <c r="C32" s="31"/>
      <c r="D32" s="31"/>
      <c r="E32" s="31"/>
      <c r="F32" s="31"/>
      <c r="G32" s="31"/>
      <c r="H32" s="31"/>
      <c r="I32" s="31"/>
      <c r="J32" s="31"/>
      <c r="K32" s="31"/>
      <c r="L32" s="31"/>
      <c r="M32" s="31"/>
      <c r="N32" s="31"/>
      <c r="O32" s="31"/>
      <c r="P32" s="31"/>
      <c r="Q32" s="31"/>
      <c r="R32" s="31"/>
    </row>
    <row r="33" spans="1:26" ht="25.5" customHeight="1">
      <c r="A33" s="31"/>
      <c r="B33" s="31"/>
      <c r="C33" s="31"/>
      <c r="D33" s="31"/>
      <c r="E33" s="31"/>
      <c r="F33" s="31"/>
      <c r="G33" s="31"/>
      <c r="H33" s="31"/>
      <c r="I33" s="31"/>
      <c r="J33" s="31"/>
      <c r="K33" s="31"/>
      <c r="L33" s="31"/>
      <c r="M33" s="31"/>
      <c r="N33" s="31"/>
      <c r="O33" s="31"/>
      <c r="P33" s="31"/>
      <c r="Q33" s="31"/>
      <c r="R33" s="31"/>
    </row>
    <row r="34" spans="1:26" ht="25.5" customHeight="1">
      <c r="A34" s="31"/>
      <c r="B34" s="31"/>
      <c r="C34" s="31"/>
      <c r="D34" s="31"/>
      <c r="E34" s="31"/>
      <c r="F34" s="31"/>
      <c r="G34" s="31"/>
      <c r="H34" s="31"/>
      <c r="I34" s="31"/>
      <c r="J34" s="31"/>
      <c r="K34" s="31"/>
      <c r="L34" s="31"/>
      <c r="M34" s="31"/>
      <c r="N34" s="31"/>
      <c r="O34" s="31"/>
      <c r="P34" s="31"/>
      <c r="Q34" s="31"/>
      <c r="R34" s="31"/>
    </row>
    <row r="35" spans="1:26">
      <c r="S35" s="96"/>
      <c r="T35" s="96"/>
      <c r="U35" s="96"/>
      <c r="V35" s="96"/>
      <c r="W35" s="96"/>
      <c r="X35" s="96"/>
    </row>
    <row r="36" spans="1:26">
      <c r="S36" s="96"/>
      <c r="T36" s="96"/>
      <c r="U36" s="96"/>
      <c r="V36" s="96"/>
      <c r="W36" s="96"/>
      <c r="X36" s="96"/>
    </row>
    <row r="37" spans="1:26">
      <c r="S37" s="96"/>
      <c r="T37" s="96"/>
      <c r="U37" s="96"/>
      <c r="V37" s="96"/>
      <c r="W37" s="96"/>
      <c r="X37" s="96"/>
    </row>
    <row r="38" spans="1:26">
      <c r="S38" s="96"/>
      <c r="T38" s="96"/>
      <c r="U38" s="96"/>
      <c r="V38" s="96"/>
      <c r="W38" s="96"/>
      <c r="X38" s="96"/>
    </row>
    <row r="39" spans="1:26" ht="51" customHeight="1">
      <c r="S39" s="96"/>
      <c r="T39" s="96"/>
      <c r="U39" s="96"/>
      <c r="V39" s="96"/>
      <c r="W39" s="96"/>
      <c r="X39" s="96"/>
    </row>
    <row r="40" spans="1:26" ht="78" customHeight="1">
      <c r="A40" s="2067"/>
      <c r="B40" s="2067"/>
      <c r="C40" s="2067"/>
      <c r="D40" s="2067"/>
      <c r="E40" s="2067"/>
      <c r="F40" s="2067"/>
      <c r="G40" s="2067"/>
      <c r="H40" s="2067"/>
      <c r="I40" s="2067"/>
      <c r="J40" s="2067"/>
      <c r="K40" s="2067"/>
      <c r="L40" s="2067"/>
      <c r="M40" s="2067"/>
      <c r="N40" s="2067"/>
      <c r="O40" s="2067"/>
      <c r="P40" s="2067"/>
      <c r="Q40" s="2067"/>
      <c r="R40" s="2067"/>
      <c r="S40" s="2067"/>
      <c r="T40" s="2067"/>
      <c r="U40" s="2067"/>
      <c r="V40" s="96"/>
      <c r="W40" s="96"/>
      <c r="X40" s="96"/>
    </row>
    <row r="41" spans="1:26">
      <c r="S41" s="96"/>
    </row>
    <row r="42" spans="1:26">
      <c r="S42" s="96"/>
    </row>
    <row r="43" spans="1:26">
      <c r="S43" s="96"/>
    </row>
    <row r="44" spans="1:26">
      <c r="S44" s="96"/>
    </row>
    <row r="45" spans="1:26">
      <c r="S45" s="96"/>
    </row>
    <row r="46" spans="1:26">
      <c r="S46" s="96"/>
      <c r="T46" s="96"/>
      <c r="U46" s="96"/>
      <c r="V46" s="96"/>
      <c r="W46" s="96"/>
      <c r="X46" s="96"/>
      <c r="Y46" s="96"/>
      <c r="Z46" s="96"/>
    </row>
    <row r="47" spans="1:26">
      <c r="S47" s="96"/>
      <c r="T47" s="96"/>
      <c r="U47" s="96"/>
      <c r="V47" s="96"/>
      <c r="W47" s="96"/>
      <c r="X47" s="96"/>
      <c r="Y47" s="96"/>
      <c r="Z47" s="96"/>
    </row>
    <row r="48" spans="1:26">
      <c r="S48" s="96"/>
      <c r="T48" s="96"/>
      <c r="U48" s="96"/>
      <c r="V48" s="96"/>
      <c r="W48" s="96"/>
      <c r="X48" s="96"/>
      <c r="Y48" s="96"/>
      <c r="Z48" s="96"/>
    </row>
    <row r="49" spans="2:26">
      <c r="S49" s="96"/>
      <c r="T49" s="96"/>
      <c r="U49" s="96"/>
      <c r="V49" s="96"/>
      <c r="W49" s="96"/>
      <c r="X49" s="96"/>
      <c r="Y49" s="96"/>
      <c r="Z49" s="96"/>
    </row>
    <row r="50" spans="2:26">
      <c r="S50" s="96"/>
      <c r="T50" s="96"/>
      <c r="U50" s="96"/>
      <c r="V50" s="96"/>
      <c r="W50" s="96"/>
      <c r="X50" s="96"/>
      <c r="Y50" s="96"/>
      <c r="Z50" s="96"/>
    </row>
    <row r="51" spans="2:26">
      <c r="S51" s="96"/>
      <c r="T51" s="96"/>
      <c r="U51" s="96"/>
      <c r="V51" s="96"/>
      <c r="W51" s="96"/>
      <c r="X51" s="96"/>
      <c r="Y51" s="96"/>
      <c r="Z51" s="96"/>
    </row>
    <row r="52" spans="2:26">
      <c r="B52" s="96"/>
      <c r="C52" s="96"/>
      <c r="D52" s="96"/>
      <c r="E52" s="96"/>
      <c r="F52" s="96"/>
      <c r="G52" s="96"/>
      <c r="H52" s="96"/>
      <c r="I52" s="96"/>
      <c r="J52" s="96"/>
      <c r="K52" s="96"/>
      <c r="L52" s="96"/>
      <c r="M52" s="96"/>
      <c r="N52" s="96"/>
      <c r="O52" s="96"/>
      <c r="P52" s="96"/>
      <c r="Q52" s="96"/>
      <c r="R52" s="96"/>
      <c r="S52" s="96"/>
      <c r="T52" s="96"/>
      <c r="U52" s="96"/>
      <c r="V52" s="96"/>
      <c r="W52" s="96"/>
      <c r="X52" s="96"/>
      <c r="Y52" s="96"/>
      <c r="Z52" s="96"/>
    </row>
    <row r="71" spans="20:20">
      <c r="T71" s="96"/>
    </row>
    <row r="72" spans="20:20">
      <c r="T72" s="96"/>
    </row>
    <row r="73" spans="20:20">
      <c r="T73" s="96"/>
    </row>
    <row r="74" spans="20:20">
      <c r="T74" s="96"/>
    </row>
    <row r="75" spans="20:20">
      <c r="T75" s="96"/>
    </row>
    <row r="76" spans="20:20">
      <c r="T76" s="96"/>
    </row>
    <row r="77" spans="20:20">
      <c r="T77" s="96"/>
    </row>
    <row r="78" spans="20:20">
      <c r="T78" s="96"/>
    </row>
    <row r="88" spans="20:20">
      <c r="T88" s="96"/>
    </row>
    <row r="89" spans="20:20">
      <c r="T89" s="96"/>
    </row>
    <row r="90" spans="20:20">
      <c r="T90" s="96"/>
    </row>
    <row r="91" spans="20:20">
      <c r="T91" s="96"/>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R3" sqref="R3"/>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9"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ht="105.75" customHeight="1">
      <c r="A1" s="2069"/>
      <c r="B1" s="2069"/>
      <c r="C1" s="2069"/>
      <c r="D1" s="2069"/>
      <c r="E1" s="2069"/>
      <c r="F1" s="2069"/>
      <c r="G1" s="2069"/>
      <c r="H1" s="2069"/>
      <c r="I1" s="2069"/>
      <c r="J1" s="2069"/>
      <c r="K1" s="2069"/>
      <c r="L1" s="2069"/>
      <c r="M1" s="2069"/>
      <c r="N1" s="2069"/>
      <c r="O1" s="2069"/>
      <c r="P1" s="2069"/>
    </row>
    <row r="2" spans="1:33" ht="408.75" customHeight="1">
      <c r="A2" s="2267" t="s">
        <v>407</v>
      </c>
      <c r="B2" s="2268"/>
      <c r="C2" s="2268"/>
      <c r="D2" s="2268"/>
      <c r="E2" s="2268"/>
      <c r="F2" s="2268"/>
      <c r="G2" s="2268"/>
      <c r="H2" s="2268"/>
      <c r="I2" s="2268"/>
      <c r="J2" s="2268"/>
      <c r="K2" s="2268"/>
      <c r="L2" s="2268"/>
      <c r="M2" s="2268"/>
      <c r="N2" s="2268"/>
      <c r="O2" s="2268"/>
      <c r="P2" s="2268"/>
      <c r="Q2" s="61"/>
      <c r="R2" s="61"/>
      <c r="S2" s="24"/>
      <c r="T2" s="24"/>
      <c r="U2" s="24"/>
      <c r="V2" s="24"/>
    </row>
    <row r="3" spans="1:33" ht="408.75" customHeight="1">
      <c r="A3" s="2268"/>
      <c r="B3" s="2268"/>
      <c r="C3" s="2268"/>
      <c r="D3" s="2268"/>
      <c r="E3" s="2268"/>
      <c r="F3" s="2268"/>
      <c r="G3" s="2268"/>
      <c r="H3" s="2268"/>
      <c r="I3" s="2268"/>
      <c r="J3" s="2268"/>
      <c r="K3" s="2268"/>
      <c r="L3" s="2268"/>
      <c r="M3" s="2268"/>
      <c r="N3" s="2268"/>
      <c r="O3" s="2268"/>
      <c r="P3" s="2268"/>
      <c r="Q3" s="61"/>
      <c r="R3" s="61"/>
      <c r="S3" s="24"/>
      <c r="T3" s="24"/>
      <c r="U3" s="24"/>
      <c r="V3" s="24"/>
    </row>
    <row r="4" spans="1:33" ht="409.5" customHeight="1">
      <c r="A4" s="2268"/>
      <c r="B4" s="2268"/>
      <c r="C4" s="2268"/>
      <c r="D4" s="2268"/>
      <c r="E4" s="2268"/>
      <c r="F4" s="2268"/>
      <c r="G4" s="2268"/>
      <c r="H4" s="2268"/>
      <c r="I4" s="2268"/>
      <c r="J4" s="2268"/>
      <c r="K4" s="2268"/>
      <c r="L4" s="2268"/>
      <c r="M4" s="2268"/>
      <c r="N4" s="2268"/>
      <c r="O4" s="2268"/>
      <c r="P4" s="2268"/>
      <c r="Q4" s="61"/>
      <c r="R4" s="61"/>
      <c r="S4" s="24"/>
      <c r="T4" s="24"/>
      <c r="U4" s="24"/>
      <c r="V4" s="24"/>
    </row>
    <row r="5" spans="1:33" ht="114.75" customHeight="1">
      <c r="A5" s="2268"/>
      <c r="B5" s="2268"/>
      <c r="C5" s="2268"/>
      <c r="D5" s="2268"/>
      <c r="E5" s="2268"/>
      <c r="F5" s="2268"/>
      <c r="G5" s="2268"/>
      <c r="H5" s="2268"/>
      <c r="I5" s="2268"/>
      <c r="J5" s="2268"/>
      <c r="K5" s="2268"/>
      <c r="L5" s="2268"/>
      <c r="M5" s="2268"/>
      <c r="N5" s="2268"/>
      <c r="O5" s="2268"/>
      <c r="P5" s="2268"/>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c r="S38" s="95"/>
      <c r="T38" s="95"/>
      <c r="U38" s="95"/>
      <c r="V38" s="95"/>
      <c r="W38" s="96"/>
      <c r="X38" s="96"/>
      <c r="Y38" s="96"/>
      <c r="Z38" s="96"/>
      <c r="AA38" s="96"/>
      <c r="AB38" s="96"/>
    </row>
    <row r="39" spans="1:30" ht="51" customHeight="1">
      <c r="S39" s="95"/>
      <c r="T39" s="95"/>
      <c r="U39" s="95"/>
      <c r="V39" s="95"/>
      <c r="W39" s="96"/>
      <c r="X39" s="96"/>
      <c r="Y39" s="96"/>
      <c r="Z39" s="96"/>
      <c r="AA39" s="96"/>
      <c r="AB39" s="96"/>
    </row>
    <row r="40" spans="1:30" ht="78" customHeight="1">
      <c r="A40" s="2067"/>
      <c r="B40" s="2067"/>
      <c r="C40" s="2067"/>
      <c r="D40" s="2067"/>
      <c r="E40" s="2067"/>
      <c r="F40" s="2067"/>
      <c r="G40" s="2067"/>
      <c r="H40" s="2067"/>
      <c r="I40" s="2067"/>
      <c r="J40" s="2067"/>
      <c r="K40" s="2067"/>
      <c r="L40" s="2067"/>
      <c r="M40" s="2067"/>
      <c r="N40" s="2067"/>
      <c r="O40" s="2067"/>
      <c r="P40" s="2067"/>
      <c r="Q40" s="2067"/>
      <c r="R40" s="2067"/>
      <c r="S40" s="2067"/>
      <c r="T40" s="2067"/>
      <c r="U40" s="2067"/>
      <c r="V40" s="2067"/>
      <c r="W40" s="2067"/>
      <c r="X40" s="2067"/>
      <c r="Y40" s="2067"/>
      <c r="Z40" s="96"/>
      <c r="AA40" s="96"/>
      <c r="AB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row>
    <row r="71" spans="24:24">
      <c r="X71" s="96"/>
    </row>
    <row r="72" spans="24:24">
      <c r="X72" s="96"/>
    </row>
    <row r="73" spans="24:24">
      <c r="X73" s="96"/>
    </row>
    <row r="74" spans="24:24">
      <c r="X74" s="96"/>
    </row>
    <row r="75" spans="24:24">
      <c r="X75" s="96"/>
    </row>
    <row r="76" spans="24:24">
      <c r="X76" s="96"/>
    </row>
    <row r="77" spans="24:24">
      <c r="X77" s="96"/>
    </row>
    <row r="78" spans="24:24">
      <c r="X78" s="96"/>
    </row>
    <row r="88" spans="24:24">
      <c r="X88" s="96"/>
    </row>
    <row r="89" spans="24:24">
      <c r="X89" s="96"/>
    </row>
    <row r="90" spans="24:24">
      <c r="X90" s="96"/>
    </row>
    <row r="91" spans="24:24">
      <c r="X91" s="96"/>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G91"/>
  <sheetViews>
    <sheetView showGridLines="0" view="pageBreakPreview" zoomScale="55" zoomScaleNormal="100" zoomScaleSheetLayoutView="55" zoomScalePageLayoutView="62" workbookViewId="0">
      <selection activeCell="Q3" sqref="Q3"/>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1.4257812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ht="90.75" customHeight="1">
      <c r="A1" s="2065"/>
      <c r="B1" s="2065"/>
      <c r="C1" s="2065"/>
      <c r="D1" s="2065"/>
      <c r="E1" s="2065"/>
      <c r="F1" s="2065"/>
      <c r="G1" s="2065"/>
      <c r="H1" s="2065"/>
      <c r="I1" s="2065"/>
      <c r="J1" s="2065"/>
      <c r="K1" s="2065"/>
      <c r="L1" s="2065"/>
      <c r="M1" s="2065"/>
      <c r="N1" s="2065"/>
      <c r="O1" s="2065"/>
      <c r="P1" s="2065"/>
    </row>
    <row r="2" spans="1:33" ht="408.75" customHeight="1">
      <c r="A2" s="2264" t="s">
        <v>579</v>
      </c>
      <c r="B2" s="2265"/>
      <c r="C2" s="2265"/>
      <c r="D2" s="2265"/>
      <c r="E2" s="2265"/>
      <c r="F2" s="2265"/>
      <c r="G2" s="2265"/>
      <c r="H2" s="2265"/>
      <c r="I2" s="2265"/>
      <c r="J2" s="2265"/>
      <c r="K2" s="2265"/>
      <c r="L2" s="2265"/>
      <c r="M2" s="2265"/>
      <c r="N2" s="2265"/>
      <c r="O2" s="2265"/>
      <c r="P2" s="2265"/>
      <c r="Q2" s="61"/>
      <c r="R2" s="61"/>
      <c r="S2" s="24"/>
      <c r="T2" s="24"/>
      <c r="U2" s="24"/>
      <c r="V2" s="24"/>
    </row>
    <row r="3" spans="1:33" ht="408.75" customHeight="1">
      <c r="A3" s="2265"/>
      <c r="B3" s="2265"/>
      <c r="C3" s="2265"/>
      <c r="D3" s="2265"/>
      <c r="E3" s="2265"/>
      <c r="F3" s="2265"/>
      <c r="G3" s="2265"/>
      <c r="H3" s="2265"/>
      <c r="I3" s="2265"/>
      <c r="J3" s="2265"/>
      <c r="K3" s="2265"/>
      <c r="L3" s="2265"/>
      <c r="M3" s="2265"/>
      <c r="N3" s="2265"/>
      <c r="O3" s="2265"/>
      <c r="P3" s="2265"/>
      <c r="Q3" s="61"/>
      <c r="R3" s="61"/>
      <c r="S3" s="24"/>
      <c r="T3" s="24"/>
      <c r="U3" s="24"/>
      <c r="V3" s="24"/>
    </row>
    <row r="4" spans="1:33" ht="409.5" customHeight="1">
      <c r="A4" s="2265"/>
      <c r="B4" s="2265"/>
      <c r="C4" s="2265"/>
      <c r="D4" s="2265"/>
      <c r="E4" s="2265"/>
      <c r="F4" s="2265"/>
      <c r="G4" s="2265"/>
      <c r="H4" s="2265"/>
      <c r="I4" s="2265"/>
      <c r="J4" s="2265"/>
      <c r="K4" s="2265"/>
      <c r="L4" s="2265"/>
      <c r="M4" s="2265"/>
      <c r="N4" s="2265"/>
      <c r="O4" s="2265"/>
      <c r="P4" s="2265"/>
      <c r="Q4" s="61"/>
      <c r="R4" s="61"/>
      <c r="S4" s="24"/>
      <c r="T4" s="24"/>
      <c r="U4" s="24"/>
      <c r="V4" s="24"/>
    </row>
    <row r="5" spans="1:33" ht="386.25" customHeight="1">
      <c r="A5" s="2262"/>
      <c r="B5" s="2262"/>
      <c r="C5" s="2262"/>
      <c r="D5" s="2262"/>
      <c r="E5" s="2262"/>
      <c r="F5" s="2262"/>
      <c r="G5" s="2262"/>
      <c r="H5" s="2262"/>
      <c r="I5" s="2262"/>
      <c r="J5" s="2262"/>
      <c r="K5" s="2262"/>
      <c r="L5" s="2262"/>
      <c r="M5" s="2262"/>
      <c r="N5" s="2262"/>
      <c r="O5" s="2262"/>
      <c r="P5" s="2262"/>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c r="S38" s="95"/>
      <c r="T38" s="95"/>
      <c r="U38" s="95"/>
      <c r="V38" s="95"/>
      <c r="W38" s="96"/>
      <c r="X38" s="96"/>
      <c r="Y38" s="96"/>
      <c r="Z38" s="96"/>
      <c r="AA38" s="96"/>
      <c r="AB38" s="96"/>
    </row>
    <row r="39" spans="1:30" ht="51" customHeight="1">
      <c r="S39" s="95"/>
      <c r="T39" s="95"/>
      <c r="U39" s="95"/>
      <c r="V39" s="95"/>
      <c r="W39" s="96"/>
      <c r="X39" s="96"/>
      <c r="Y39" s="96"/>
      <c r="Z39" s="96"/>
      <c r="AA39" s="96"/>
      <c r="AB39" s="96"/>
    </row>
    <row r="40" spans="1:30" ht="78" customHeight="1">
      <c r="A40" s="2067"/>
      <c r="B40" s="2067"/>
      <c r="C40" s="2067"/>
      <c r="D40" s="2067"/>
      <c r="E40" s="2067"/>
      <c r="F40" s="2067"/>
      <c r="G40" s="2067"/>
      <c r="H40" s="2067"/>
      <c r="I40" s="2067"/>
      <c r="J40" s="2067"/>
      <c r="K40" s="2067"/>
      <c r="L40" s="2067"/>
      <c r="M40" s="2067"/>
      <c r="N40" s="2067"/>
      <c r="O40" s="2067"/>
      <c r="P40" s="2067"/>
      <c r="Q40" s="2067"/>
      <c r="R40" s="2067"/>
      <c r="S40" s="2067"/>
      <c r="T40" s="2067"/>
      <c r="U40" s="2067"/>
      <c r="V40" s="2067"/>
      <c r="W40" s="2067"/>
      <c r="X40" s="2067"/>
      <c r="Y40" s="2067"/>
      <c r="Z40" s="96"/>
      <c r="AA40" s="96"/>
      <c r="AB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row>
    <row r="71" spans="24:24">
      <c r="X71" s="96"/>
    </row>
    <row r="72" spans="24:24">
      <c r="X72" s="96"/>
    </row>
    <row r="73" spans="24:24">
      <c r="X73" s="96"/>
    </row>
    <row r="74" spans="24:24">
      <c r="X74" s="96"/>
    </row>
    <row r="75" spans="24:24">
      <c r="X75" s="96"/>
    </row>
    <row r="76" spans="24:24">
      <c r="X76" s="96"/>
    </row>
    <row r="77" spans="24:24">
      <c r="X77" s="96"/>
    </row>
    <row r="78" spans="24:24">
      <c r="X78" s="96"/>
    </row>
    <row r="88" spans="24:24">
      <c r="X88" s="96"/>
    </row>
    <row r="89" spans="24:24">
      <c r="X89" s="96"/>
    </row>
    <row r="90" spans="24:24">
      <c r="X90" s="96"/>
    </row>
    <row r="91" spans="24:24">
      <c r="X91" s="96"/>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topLeftCell="A7" zoomScale="85" zoomScaleNormal="100" zoomScaleSheetLayoutView="85" workbookViewId="0">
      <selection activeCell="O45" sqref="O45"/>
    </sheetView>
  </sheetViews>
  <sheetFormatPr baseColWidth="10" defaultColWidth="11.42578125" defaultRowHeight="15"/>
  <cols>
    <col min="1" max="6" width="11.42578125" style="77"/>
    <col min="7" max="7" width="13.42578125" style="77" customWidth="1"/>
    <col min="8" max="10" width="11.42578125" style="77"/>
    <col min="11" max="11" width="14" style="77" customWidth="1"/>
    <col min="12" max="12" width="13.140625" style="77" customWidth="1"/>
    <col min="13" max="14" width="11.42578125" style="77"/>
    <col min="15" max="15" width="19.7109375" style="77" customWidth="1"/>
    <col min="16" max="16384" width="11.42578125" style="77"/>
  </cols>
  <sheetData/>
  <pageMargins left="0.7" right="0.7" top="0.75" bottom="0.75" header="0.3" footer="0.3"/>
  <pageSetup scale="77" orientation="landscape"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Normal="100" zoomScaleSheetLayoutView="100" workbookViewId="0">
      <selection activeCell="N36" sqref="N36"/>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42578125" style="77"/>
    <col min="14" max="14" width="19.7109375" style="77" customWidth="1"/>
    <col min="15" max="16384" width="11.42578125" style="77"/>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A1"/>
  <sheetViews>
    <sheetView showGridLines="0" view="pageBreakPreview" zoomScale="85" zoomScaleNormal="100" zoomScaleSheetLayoutView="85" workbookViewId="0">
      <selection activeCell="O49" sqref="O49"/>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O3:O34"/>
  <sheetViews>
    <sheetView showGridLines="0" view="pageBreakPreview" zoomScale="70" zoomScaleNormal="100" zoomScaleSheetLayoutView="70" workbookViewId="0">
      <pane ySplit="3" topLeftCell="A4" activePane="bottomLeft" state="frozen"/>
      <selection pane="bottomLeft" activeCell="P27" sqref="P27"/>
    </sheetView>
  </sheetViews>
  <sheetFormatPr baseColWidth="10" defaultColWidth="11.42578125" defaultRowHeight="15"/>
  <cols>
    <col min="1" max="3" width="11.42578125" style="77"/>
    <col min="4" max="4" width="16.42578125" style="77" customWidth="1"/>
    <col min="5" max="6" width="11.42578125" style="77"/>
    <col min="7" max="7" width="13.42578125" style="77" customWidth="1"/>
    <col min="8" max="10" width="11.42578125" style="77"/>
    <col min="11" max="11" width="15.5703125" style="77" customWidth="1"/>
    <col min="12" max="12" width="13.140625" style="77" customWidth="1"/>
    <col min="13" max="14" width="11.42578125" style="77"/>
    <col min="15" max="15" width="11.5703125" style="77" customWidth="1"/>
    <col min="16" max="16384" width="11.42578125" style="77"/>
  </cols>
  <sheetData>
    <row r="3" ht="39" customHeight="1"/>
    <row r="4" ht="39" customHeight="1"/>
    <row r="20" spans="15:15">
      <c r="O20" s="754"/>
    </row>
    <row r="29" spans="15:15">
      <c r="O29" s="727"/>
    </row>
    <row r="30" spans="15:15">
      <c r="O30" s="727"/>
    </row>
    <row r="34" spans="15:15">
      <c r="O34" s="727"/>
    </row>
  </sheetData>
  <pageMargins left="0.70866141732283472" right="0.70866141732283472" top="0.74803149606299213" bottom="0.74803149606299213" header="0.31496062992125984" footer="0.31496062992125984"/>
  <pageSetup scale="7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3"/>
  <sheetViews>
    <sheetView showGridLines="0" view="pageBreakPreview" zoomScale="55" zoomScaleNormal="100" zoomScaleSheetLayoutView="55" workbookViewId="0">
      <selection activeCell="U39" sqref="U39"/>
    </sheetView>
  </sheetViews>
  <sheetFormatPr baseColWidth="10" defaultColWidth="11.42578125" defaultRowHeight="20.25" customHeight="1"/>
  <cols>
    <col min="1" max="1" width="24.7109375" style="238" customWidth="1"/>
    <col min="2" max="2" width="22.7109375" style="77" customWidth="1"/>
    <col min="3" max="3" width="27.28515625" style="77" customWidth="1"/>
    <col min="4" max="4" width="33.7109375" style="77" customWidth="1"/>
    <col min="5" max="5" width="21.5703125" style="77" customWidth="1"/>
    <col min="6" max="6" width="25.7109375" style="77" customWidth="1"/>
    <col min="7" max="7" width="19.7109375" style="77" customWidth="1"/>
    <col min="8" max="8" width="15.42578125" style="77" customWidth="1"/>
    <col min="9" max="9" width="29.85546875" style="77" customWidth="1"/>
    <col min="10" max="12" width="18.42578125" style="77" customWidth="1"/>
    <col min="13" max="13" width="16.28515625" style="77" bestFit="1" customWidth="1"/>
    <col min="14" max="16384" width="11.42578125" style="77"/>
  </cols>
  <sheetData>
    <row r="1" spans="1:17" ht="105" customHeight="1">
      <c r="A1" s="2065"/>
      <c r="B1" s="2065"/>
      <c r="C1" s="2065"/>
      <c r="D1" s="2065"/>
      <c r="E1" s="2065"/>
      <c r="F1" s="2065"/>
      <c r="G1" s="2065"/>
      <c r="H1" s="2065"/>
      <c r="I1" s="2065"/>
      <c r="J1" s="2065"/>
      <c r="K1" s="2065"/>
      <c r="L1" s="2065"/>
      <c r="M1" s="2065"/>
      <c r="N1" s="2065"/>
      <c r="O1" s="2065"/>
      <c r="P1" s="2065"/>
    </row>
    <row r="2" spans="1:17" s="38" customFormat="1" ht="9" customHeight="1">
      <c r="A2" s="300"/>
      <c r="B2" s="300"/>
      <c r="C2" s="300"/>
      <c r="D2" s="300"/>
      <c r="E2" s="300"/>
      <c r="F2" s="300"/>
      <c r="G2" s="300"/>
      <c r="H2" s="300"/>
      <c r="I2" s="300"/>
      <c r="J2" s="300"/>
      <c r="K2" s="300"/>
      <c r="L2" s="300"/>
      <c r="M2" s="300"/>
    </row>
    <row r="3" spans="1:17" ht="48.75" customHeight="1">
      <c r="A3" s="296" t="s">
        <v>227</v>
      </c>
      <c r="B3" s="294" t="s">
        <v>608</v>
      </c>
      <c r="C3" s="294" t="s">
        <v>514</v>
      </c>
      <c r="D3" s="296" t="s">
        <v>513</v>
      </c>
    </row>
    <row r="4" spans="1:17" ht="20.25" customHeight="1">
      <c r="A4" s="360" t="s">
        <v>241</v>
      </c>
      <c r="B4" s="715">
        <f>+'III.1.4.Afil. SFS'!E4</f>
        <v>253374</v>
      </c>
      <c r="C4" s="716">
        <v>9020226</v>
      </c>
      <c r="D4" s="717">
        <f t="shared" ref="D4:D15" si="0">B4/C4</f>
        <v>2.8089540106866501E-2</v>
      </c>
      <c r="E4" s="95"/>
    </row>
    <row r="5" spans="1:17" ht="20.25" customHeight="1">
      <c r="A5" s="360" t="s">
        <v>240</v>
      </c>
      <c r="B5" s="718">
        <f>+'III.1.4.Afil. SFS'!E5</f>
        <v>514040</v>
      </c>
      <c r="C5" s="719">
        <v>9123786.5</v>
      </c>
      <c r="D5" s="720">
        <f t="shared" si="0"/>
        <v>5.6340643218689958E-2</v>
      </c>
      <c r="E5" s="726"/>
      <c r="G5" s="144"/>
    </row>
    <row r="6" spans="1:17" ht="20.25" customHeight="1">
      <c r="A6" s="360" t="s">
        <v>165</v>
      </c>
      <c r="B6" s="718">
        <f>+'III.1.4.Afil. SFS'!E6</f>
        <v>2559117</v>
      </c>
      <c r="C6" s="719">
        <v>9226223</v>
      </c>
      <c r="D6" s="720">
        <f t="shared" si="0"/>
        <v>0.27737428414639448</v>
      </c>
      <c r="E6" s="95"/>
      <c r="G6" s="173"/>
    </row>
    <row r="7" spans="1:17" ht="20.25" customHeight="1">
      <c r="A7" s="360" t="s">
        <v>214</v>
      </c>
      <c r="B7" s="718">
        <f>+'III.1.4.Afil. SFS'!E7</f>
        <v>2917157</v>
      </c>
      <c r="C7" s="719">
        <v>9327818</v>
      </c>
      <c r="D7" s="720">
        <f t="shared" si="0"/>
        <v>0.31273734114452062</v>
      </c>
      <c r="E7" s="95"/>
      <c r="F7" s="96"/>
    </row>
    <row r="8" spans="1:17" ht="20.25" customHeight="1">
      <c r="A8" s="360" t="s">
        <v>215</v>
      </c>
      <c r="B8" s="718">
        <f>+'III.1.4.Afil. SFS'!E8</f>
        <v>3514506</v>
      </c>
      <c r="C8" s="719">
        <v>9428533.4999999963</v>
      </c>
      <c r="D8" s="720">
        <f t="shared" si="0"/>
        <v>0.37275213584381933</v>
      </c>
      <c r="E8" s="724"/>
      <c r="F8" s="95"/>
      <c r="G8" s="96"/>
      <c r="H8" s="96"/>
    </row>
    <row r="9" spans="1:17" ht="20.25" customHeight="1">
      <c r="A9" s="360" t="s">
        <v>184</v>
      </c>
      <c r="B9" s="718">
        <f>+'III.1.4.Afil. SFS'!E9</f>
        <v>4404974</v>
      </c>
      <c r="C9" s="719">
        <v>9529297.5000000037</v>
      </c>
      <c r="D9" s="720">
        <f t="shared" si="0"/>
        <v>0.46225590081535373</v>
      </c>
      <c r="E9" s="95"/>
      <c r="F9" s="725"/>
      <c r="G9" s="109"/>
      <c r="H9" s="49"/>
      <c r="Q9" s="268"/>
    </row>
    <row r="10" spans="1:17" ht="20.25" customHeight="1">
      <c r="A10" s="360" t="s">
        <v>216</v>
      </c>
      <c r="B10" s="718">
        <f>+'III.1.4.Afil. SFS'!E10</f>
        <v>4550576</v>
      </c>
      <c r="C10" s="719">
        <v>9630258.5</v>
      </c>
      <c r="D10" s="720">
        <f t="shared" si="0"/>
        <v>0.47252895651762616</v>
      </c>
      <c r="E10" s="95"/>
      <c r="G10" s="96"/>
      <c r="H10" s="96"/>
    </row>
    <row r="11" spans="1:17" ht="20.25" customHeight="1">
      <c r="A11" s="361" t="s">
        <v>457</v>
      </c>
      <c r="B11" s="718">
        <f>+'III.1.4.Afil. SFS'!E11</f>
        <v>5022465</v>
      </c>
      <c r="C11" s="721">
        <v>9730638.5</v>
      </c>
      <c r="D11" s="722">
        <f t="shared" si="0"/>
        <v>0.51614958257877941</v>
      </c>
      <c r="E11" s="95"/>
      <c r="F11" s="95"/>
      <c r="G11" s="96"/>
      <c r="H11" s="96"/>
    </row>
    <row r="12" spans="1:17" ht="20.25" customHeight="1">
      <c r="A12" s="361" t="s">
        <v>534</v>
      </c>
      <c r="B12" s="718">
        <f>+'III.1.4.Afil. SFS'!E12</f>
        <v>5638332</v>
      </c>
      <c r="C12" s="721">
        <v>9830624</v>
      </c>
      <c r="D12" s="722">
        <f t="shared" si="0"/>
        <v>0.57354772189435788</v>
      </c>
      <c r="E12" s="95"/>
      <c r="F12" s="95"/>
      <c r="G12" s="96"/>
      <c r="H12" s="96"/>
      <c r="Q12" s="736"/>
    </row>
    <row r="13" spans="1:17" ht="20.25" customHeight="1">
      <c r="A13" s="361" t="s">
        <v>541</v>
      </c>
      <c r="B13" s="718">
        <f>+'III.1.4.Afil. SFS'!E13</f>
        <v>6187615</v>
      </c>
      <c r="C13" s="721">
        <v>9930374</v>
      </c>
      <c r="D13" s="722">
        <f t="shared" si="0"/>
        <v>0.62309989533123322</v>
      </c>
      <c r="E13" s="95"/>
      <c r="F13" s="95"/>
      <c r="G13" s="96"/>
      <c r="H13" s="96"/>
    </row>
    <row r="14" spans="1:17" s="1458" customFormat="1" ht="20.25" customHeight="1">
      <c r="A14" s="361" t="s">
        <v>900</v>
      </c>
      <c r="B14" s="718">
        <f>+'III.1.4.Afil. SFS'!E14</f>
        <v>6687772</v>
      </c>
      <c r="C14" s="721">
        <v>10028012</v>
      </c>
      <c r="D14" s="722">
        <f t="shared" si="0"/>
        <v>0.66690905435693537</v>
      </c>
      <c r="E14" s="95"/>
      <c r="F14" s="95"/>
      <c r="G14" s="96"/>
      <c r="H14" s="96"/>
    </row>
    <row r="15" spans="1:17" ht="22.5" customHeight="1">
      <c r="A15" s="362" t="s">
        <v>1001</v>
      </c>
      <c r="B15" s="718">
        <f>+'III.1.4.Afil. SFS'!E15</f>
        <v>6802307</v>
      </c>
      <c r="C15" s="1304">
        <v>10059857</v>
      </c>
      <c r="D15" s="723">
        <f t="shared" si="0"/>
        <v>0.67618326980194654</v>
      </c>
      <c r="E15" s="96"/>
      <c r="F15" s="96"/>
      <c r="G15" s="96"/>
      <c r="H15" s="96"/>
      <c r="I15" s="96"/>
      <c r="J15" s="96"/>
      <c r="K15" s="96"/>
      <c r="L15" s="96"/>
      <c r="M15" s="96"/>
    </row>
    <row r="16" spans="1:17" ht="60.75" customHeight="1">
      <c r="A16" s="2066" t="s">
        <v>731</v>
      </c>
      <c r="B16" s="2066"/>
      <c r="C16" s="2066"/>
      <c r="D16" s="2066"/>
      <c r="E16" s="960"/>
      <c r="F16" s="96"/>
      <c r="G16" s="96"/>
      <c r="H16" s="96"/>
      <c r="I16" s="96"/>
      <c r="J16" s="96"/>
      <c r="K16" s="96"/>
      <c r="L16" s="96"/>
      <c r="M16" s="96"/>
    </row>
    <row r="17" spans="1:13" ht="20.25" customHeight="1">
      <c r="A17" s="203"/>
      <c r="B17" s="17"/>
      <c r="C17" s="96"/>
      <c r="D17" s="96"/>
      <c r="E17" s="96"/>
      <c r="F17" s="96"/>
      <c r="G17" s="96"/>
      <c r="H17" s="96"/>
      <c r="I17" s="96"/>
      <c r="J17" s="96"/>
      <c r="K17" s="96"/>
      <c r="L17" s="96"/>
      <c r="M17" s="96"/>
    </row>
    <row r="19" spans="1:13" ht="20.25" customHeight="1">
      <c r="F19"/>
    </row>
    <row r="44" ht="27.75" customHeight="1"/>
    <row r="45" ht="24" customHeight="1"/>
    <row r="46" ht="80.25" customHeight="1"/>
    <row r="47" ht="25.5" customHeight="1"/>
    <row r="48" ht="25.5" customHeight="1"/>
    <row r="49" spans="1:7" ht="25.5" customHeight="1"/>
    <row r="50" spans="1:7" ht="27.75" customHeight="1">
      <c r="A50" s="2064"/>
      <c r="B50" s="2064"/>
      <c r="C50" s="2064"/>
      <c r="D50" s="2064"/>
      <c r="E50" s="136"/>
      <c r="F50" s="136"/>
      <c r="G50" s="136"/>
    </row>
    <row r="51" spans="1:7" ht="24" customHeight="1">
      <c r="A51" s="2064"/>
      <c r="B51" s="2064"/>
      <c r="C51" s="2064"/>
      <c r="D51" s="2064"/>
      <c r="E51" s="136"/>
      <c r="F51" s="136"/>
      <c r="G51" s="136"/>
    </row>
    <row r="52" spans="1:7" ht="24" customHeight="1"/>
    <row r="53" spans="1:7" ht="26.25" customHeight="1"/>
  </sheetData>
  <mergeCells count="3">
    <mergeCell ref="A50:D51"/>
    <mergeCell ref="A1:P1"/>
    <mergeCell ref="A16:D16"/>
  </mergeCells>
  <printOptions horizontalCentered="1" verticalCentered="1"/>
  <pageMargins left="0.39370078740157483" right="0.39370078740157483" top="0.39370078740157483" bottom="0.23622047244094491" header="0.23622047244094491" footer="0.31496062992125984"/>
  <pageSetup scale="3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AG95"/>
  <sheetViews>
    <sheetView showGridLines="0" view="pageBreakPreview" zoomScale="55" zoomScaleNormal="100" zoomScaleSheetLayoutView="55" zoomScalePageLayoutView="62" workbookViewId="0">
      <selection activeCell="K7" sqref="K7"/>
    </sheetView>
  </sheetViews>
  <sheetFormatPr baseColWidth="10" defaultColWidth="11.42578125" defaultRowHeight="15"/>
  <cols>
    <col min="1" max="1" width="18.42578125" style="77" customWidth="1"/>
    <col min="2" max="2" width="18" style="77" customWidth="1"/>
    <col min="3" max="3" width="18.85546875" style="77" customWidth="1"/>
    <col min="4" max="4" width="16.140625" style="77" customWidth="1"/>
    <col min="5" max="5" width="19.140625" style="77" customWidth="1"/>
    <col min="6" max="6" width="18.5703125" style="77" customWidth="1"/>
    <col min="7" max="7" width="17" style="77" customWidth="1"/>
    <col min="8" max="8" width="17.710937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9" width="24.7109375" style="77" customWidth="1"/>
    <col min="20" max="20" width="20.42578125" style="77" customWidth="1"/>
    <col min="21" max="21" width="14.7109375" style="77" customWidth="1"/>
    <col min="22" max="22" width="25.42578125" style="77" customWidth="1"/>
    <col min="23" max="23" width="25" style="77" customWidth="1"/>
    <col min="24" max="26" width="11.42578125" style="77"/>
    <col min="27" max="27" width="18.7109375" style="77" bestFit="1" customWidth="1"/>
    <col min="28" max="16384" width="11.42578125" style="77"/>
  </cols>
  <sheetData>
    <row r="1" spans="1:22" ht="114.75" customHeight="1">
      <c r="A1" s="2069"/>
      <c r="B1" s="2069"/>
      <c r="C1" s="2069"/>
      <c r="D1" s="2069"/>
      <c r="E1" s="2069"/>
      <c r="F1" s="2069"/>
      <c r="G1" s="2069"/>
      <c r="H1" s="2069"/>
      <c r="I1" s="2069"/>
      <c r="J1" s="2069"/>
      <c r="K1" s="2069"/>
      <c r="L1" s="2069"/>
      <c r="M1" s="2069"/>
      <c r="N1" s="2069"/>
      <c r="O1" s="2069"/>
      <c r="P1" s="2069"/>
      <c r="Q1" s="2069"/>
    </row>
    <row r="2" spans="1:22" ht="11.25" customHeight="1">
      <c r="A2" s="180"/>
      <c r="B2" s="180"/>
      <c r="C2" s="180"/>
      <c r="D2" s="180"/>
      <c r="E2" s="180"/>
      <c r="F2" s="180"/>
      <c r="G2" s="180"/>
      <c r="H2" s="180"/>
      <c r="I2" s="180"/>
      <c r="J2" s="180"/>
      <c r="K2" s="180"/>
      <c r="L2" s="180"/>
      <c r="M2" s="180"/>
      <c r="N2" s="180"/>
      <c r="O2" s="180"/>
      <c r="P2" s="180"/>
    </row>
    <row r="3" spans="1:22" ht="49.5" customHeight="1">
      <c r="A3" s="332" t="s">
        <v>227</v>
      </c>
      <c r="B3" s="294" t="s">
        <v>207</v>
      </c>
      <c r="C3" s="299" t="s">
        <v>543</v>
      </c>
      <c r="D3" s="294" t="s">
        <v>503</v>
      </c>
      <c r="E3" s="296" t="s">
        <v>734</v>
      </c>
      <c r="F3" s="294" t="s">
        <v>224</v>
      </c>
      <c r="G3" s="294" t="s">
        <v>225</v>
      </c>
      <c r="H3" s="295" t="s">
        <v>396</v>
      </c>
      <c r="I3" s="236"/>
      <c r="J3" s="236"/>
      <c r="K3" s="236"/>
      <c r="L3" s="236"/>
      <c r="M3" s="236"/>
      <c r="N3" s="236"/>
      <c r="O3" s="236"/>
      <c r="P3" s="237" t="s">
        <v>504</v>
      </c>
      <c r="Q3" s="61"/>
      <c r="R3" s="61"/>
      <c r="S3" s="24"/>
      <c r="T3" s="24"/>
      <c r="U3" s="24"/>
      <c r="V3" s="24"/>
    </row>
    <row r="4" spans="1:22" ht="25.5" customHeight="1">
      <c r="A4" s="325" t="s">
        <v>26</v>
      </c>
      <c r="B4" s="795">
        <v>0</v>
      </c>
      <c r="C4" s="728">
        <f>+'III.3.2. Afil anual SFS RS '!E4</f>
        <v>253374</v>
      </c>
      <c r="D4" s="729">
        <v>0</v>
      </c>
      <c r="E4" s="331">
        <f>B4+C4+D4</f>
        <v>253374</v>
      </c>
      <c r="F4" s="794">
        <v>0</v>
      </c>
      <c r="G4" s="328">
        <f t="shared" ref="G4:G10" si="0">C4/E4</f>
        <v>1</v>
      </c>
      <c r="H4" s="329">
        <v>0</v>
      </c>
      <c r="I4" s="231"/>
      <c r="J4" s="231"/>
      <c r="K4" s="231"/>
      <c r="L4" s="234"/>
      <c r="M4" s="232"/>
      <c r="N4" s="232" t="s">
        <v>168</v>
      </c>
      <c r="O4" s="233"/>
      <c r="P4" s="235">
        <f t="shared" ref="P4:P10" si="1">L4/E4</f>
        <v>0</v>
      </c>
      <c r="Q4" s="61"/>
      <c r="R4" s="61"/>
      <c r="S4" s="24"/>
      <c r="T4" s="24"/>
      <c r="U4" s="24"/>
      <c r="V4" s="24"/>
    </row>
    <row r="5" spans="1:22" ht="25.5" customHeight="1">
      <c r="A5" s="325" t="s">
        <v>27</v>
      </c>
      <c r="B5" s="793">
        <v>0</v>
      </c>
      <c r="C5" s="326">
        <f>+'III.3.2. Afil anual SFS RS '!E5</f>
        <v>514040</v>
      </c>
      <c r="D5" s="731">
        <v>0</v>
      </c>
      <c r="E5" s="323">
        <f t="shared" ref="E5:E14" si="2">B5+C5+D5</f>
        <v>514040</v>
      </c>
      <c r="F5" s="794">
        <v>0</v>
      </c>
      <c r="G5" s="328">
        <f t="shared" si="0"/>
        <v>1</v>
      </c>
      <c r="H5" s="329">
        <v>0</v>
      </c>
      <c r="I5" s="231"/>
      <c r="J5" s="231"/>
      <c r="K5" s="231"/>
      <c r="L5" s="234"/>
      <c r="M5" s="232"/>
      <c r="N5" s="232"/>
      <c r="O5" s="233"/>
      <c r="P5" s="235">
        <f t="shared" si="1"/>
        <v>0</v>
      </c>
      <c r="Q5" s="61"/>
      <c r="R5" s="61"/>
      <c r="S5" s="24"/>
      <c r="T5" s="24"/>
      <c r="U5" s="24"/>
      <c r="V5" s="24"/>
    </row>
    <row r="6" spans="1:22" ht="25.5" customHeight="1">
      <c r="A6" s="325" t="s">
        <v>28</v>
      </c>
      <c r="B6" s="730">
        <v>1477181</v>
      </c>
      <c r="C6" s="326">
        <f>+'III.3.2. Afil anual SFS RS '!E6</f>
        <v>1081936</v>
      </c>
      <c r="D6" s="731">
        <v>0</v>
      </c>
      <c r="E6" s="323">
        <f t="shared" si="2"/>
        <v>2559117</v>
      </c>
      <c r="F6" s="328">
        <f t="shared" ref="F6:F13" si="3">B6/E6</f>
        <v>0.57722292493856275</v>
      </c>
      <c r="G6" s="328">
        <f t="shared" si="0"/>
        <v>0.42277707506143719</v>
      </c>
      <c r="H6" s="329">
        <v>0</v>
      </c>
      <c r="I6" s="231"/>
      <c r="J6" s="231"/>
      <c r="K6" s="231"/>
      <c r="L6" s="234"/>
      <c r="M6" s="232"/>
      <c r="N6" s="232"/>
      <c r="O6" s="233"/>
      <c r="P6" s="235">
        <f t="shared" si="1"/>
        <v>0</v>
      </c>
      <c r="Q6" s="61"/>
      <c r="R6" s="61"/>
      <c r="S6" s="24"/>
      <c r="T6" s="24"/>
      <c r="U6" s="24"/>
      <c r="V6" s="24"/>
    </row>
    <row r="7" spans="1:22" ht="25.5" customHeight="1">
      <c r="A7" s="325" t="s">
        <v>29</v>
      </c>
      <c r="B7" s="730">
        <v>1692259</v>
      </c>
      <c r="C7" s="326">
        <f>+'III.3.2. Afil anual SFS RS '!E7</f>
        <v>1224898</v>
      </c>
      <c r="D7" s="731">
        <v>0</v>
      </c>
      <c r="E7" s="323">
        <f t="shared" si="2"/>
        <v>2917157</v>
      </c>
      <c r="F7" s="328">
        <f t="shared" si="3"/>
        <v>0.58010556168214467</v>
      </c>
      <c r="G7" s="328">
        <f t="shared" si="0"/>
        <v>0.41989443831785539</v>
      </c>
      <c r="H7" s="329">
        <v>0</v>
      </c>
      <c r="I7" s="231"/>
      <c r="J7" s="231"/>
      <c r="K7" s="231"/>
      <c r="L7" s="234"/>
      <c r="M7" s="232"/>
      <c r="N7" s="232"/>
      <c r="O7" s="233"/>
      <c r="P7" s="235">
        <f t="shared" si="1"/>
        <v>0</v>
      </c>
      <c r="Q7" s="61"/>
      <c r="R7" s="61"/>
      <c r="S7" s="24"/>
      <c r="T7" s="24"/>
      <c r="U7" s="24"/>
      <c r="V7" s="24"/>
    </row>
    <row r="8" spans="1:22" ht="25.5" customHeight="1">
      <c r="A8" s="325" t="s">
        <v>30</v>
      </c>
      <c r="B8" s="730">
        <v>2088299</v>
      </c>
      <c r="C8" s="326">
        <f>+'III.3.2. Afil anual SFS RS '!E8</f>
        <v>1404225</v>
      </c>
      <c r="D8" s="732">
        <v>21982</v>
      </c>
      <c r="E8" s="323">
        <f t="shared" si="2"/>
        <v>3514506</v>
      </c>
      <c r="F8" s="328">
        <f t="shared" si="3"/>
        <v>0.59419417693411247</v>
      </c>
      <c r="G8" s="328">
        <f t="shared" si="0"/>
        <v>0.39955117447516092</v>
      </c>
      <c r="H8" s="330">
        <f t="shared" ref="H8:H15" si="4">D8/E8</f>
        <v>6.2546485907265491E-3</v>
      </c>
      <c r="I8" s="231"/>
      <c r="J8" s="231"/>
      <c r="K8" s="231"/>
      <c r="L8" s="234"/>
      <c r="M8" s="232"/>
      <c r="N8" s="232"/>
      <c r="O8" s="232"/>
      <c r="P8" s="235">
        <f t="shared" si="1"/>
        <v>0</v>
      </c>
      <c r="Q8" s="61"/>
      <c r="R8" s="61"/>
      <c r="S8" s="24"/>
      <c r="T8" s="24"/>
      <c r="U8" s="24"/>
      <c r="V8" s="24"/>
    </row>
    <row r="9" spans="1:22" ht="25.5" customHeight="1">
      <c r="A9" s="325" t="s">
        <v>183</v>
      </c>
      <c r="B9" s="730">
        <v>2364083</v>
      </c>
      <c r="C9" s="326">
        <f>+'III.3.2. Afil anual SFS RS '!E9</f>
        <v>2013786</v>
      </c>
      <c r="D9" s="732">
        <v>27105</v>
      </c>
      <c r="E9" s="323">
        <f t="shared" si="2"/>
        <v>4404974</v>
      </c>
      <c r="F9" s="328">
        <f t="shared" si="3"/>
        <v>0.53668489303228573</v>
      </c>
      <c r="G9" s="328">
        <f t="shared" si="0"/>
        <v>0.45716183568847396</v>
      </c>
      <c r="H9" s="330">
        <f t="shared" si="4"/>
        <v>6.1532712792402404E-3</v>
      </c>
      <c r="I9" s="231"/>
      <c r="J9" s="231"/>
      <c r="K9" s="231"/>
      <c r="L9" s="234"/>
      <c r="M9" s="232"/>
      <c r="N9" s="232"/>
      <c r="O9" s="232"/>
      <c r="P9" s="235">
        <f t="shared" si="1"/>
        <v>0</v>
      </c>
      <c r="Q9" s="61"/>
      <c r="R9" s="61"/>
      <c r="S9" s="24"/>
      <c r="T9" s="24"/>
      <c r="U9" s="24"/>
      <c r="V9" s="24"/>
    </row>
    <row r="10" spans="1:22" ht="25.5" customHeight="1">
      <c r="A10" s="325" t="s">
        <v>223</v>
      </c>
      <c r="B10" s="730">
        <v>2517423</v>
      </c>
      <c r="C10" s="326">
        <f>+'III.3.2. Afil anual SFS RS '!E10</f>
        <v>2003427</v>
      </c>
      <c r="D10" s="732">
        <v>29726</v>
      </c>
      <c r="E10" s="323">
        <f t="shared" si="2"/>
        <v>4550576</v>
      </c>
      <c r="F10" s="328">
        <f t="shared" si="3"/>
        <v>0.55320974751328178</v>
      </c>
      <c r="G10" s="328">
        <f t="shared" si="0"/>
        <v>0.44025789262721904</v>
      </c>
      <c r="H10" s="330">
        <f t="shared" si="4"/>
        <v>6.5323598594991053E-3</v>
      </c>
      <c r="I10" s="231"/>
      <c r="J10" s="231"/>
      <c r="K10" s="231"/>
      <c r="L10" s="234"/>
      <c r="M10" s="232"/>
      <c r="N10" s="232"/>
      <c r="O10" s="232"/>
      <c r="P10" s="235">
        <f t="shared" si="1"/>
        <v>0</v>
      </c>
      <c r="Q10" s="61"/>
      <c r="R10" s="61"/>
      <c r="S10" s="24"/>
      <c r="T10" s="24"/>
      <c r="U10" s="24"/>
      <c r="V10" s="24"/>
    </row>
    <row r="11" spans="1:22" ht="25.5" customHeight="1">
      <c r="A11" s="325" t="s">
        <v>456</v>
      </c>
      <c r="B11" s="730">
        <v>2688411</v>
      </c>
      <c r="C11" s="326">
        <f>+'III.3.2. Afil anual SFS RS '!E11</f>
        <v>2303351</v>
      </c>
      <c r="D11" s="732">
        <v>30703</v>
      </c>
      <c r="E11" s="323">
        <f t="shared" si="2"/>
        <v>5022465</v>
      </c>
      <c r="F11" s="328">
        <f t="shared" si="3"/>
        <v>0.53527719954245578</v>
      </c>
      <c r="G11" s="328">
        <f>C11/E11</f>
        <v>0.45860966676721493</v>
      </c>
      <c r="H11" s="330">
        <f t="shared" si="4"/>
        <v>6.1131336903293499E-3</v>
      </c>
      <c r="I11" s="231"/>
      <c r="J11" s="231"/>
      <c r="K11" s="231"/>
      <c r="L11" s="234"/>
      <c r="M11" s="232"/>
      <c r="N11" s="232"/>
      <c r="O11" s="232"/>
      <c r="P11" s="235"/>
      <c r="Q11" s="61"/>
      <c r="R11" s="61"/>
      <c r="S11" s="24"/>
      <c r="T11" s="24"/>
      <c r="U11" s="24"/>
      <c r="V11" s="24"/>
    </row>
    <row r="12" spans="1:22" ht="25.5" customHeight="1">
      <c r="A12" s="325" t="s">
        <v>530</v>
      </c>
      <c r="B12" s="730">
        <v>2859306</v>
      </c>
      <c r="C12" s="326">
        <f>+'III.3.2. Afil anual SFS RS '!E12</f>
        <v>2751753</v>
      </c>
      <c r="D12" s="732">
        <v>27273</v>
      </c>
      <c r="E12" s="323">
        <f t="shared" si="2"/>
        <v>5638332</v>
      </c>
      <c r="F12" s="328">
        <f t="shared" si="3"/>
        <v>0.50711912672045567</v>
      </c>
      <c r="G12" s="328">
        <f>C12/E12</f>
        <v>0.48804380444429307</v>
      </c>
      <c r="H12" s="330">
        <f t="shared" si="4"/>
        <v>4.8370688352512761E-3</v>
      </c>
      <c r="I12" s="231"/>
      <c r="J12" s="231"/>
      <c r="K12" s="231"/>
      <c r="L12" s="234"/>
      <c r="M12" s="232"/>
      <c r="N12" s="232"/>
      <c r="O12" s="232"/>
      <c r="P12" s="235"/>
      <c r="Q12" s="61"/>
      <c r="R12" s="61"/>
      <c r="S12" s="24"/>
      <c r="T12" s="24"/>
      <c r="U12" s="24"/>
      <c r="V12" s="24"/>
    </row>
    <row r="13" spans="1:22" ht="25.5" customHeight="1">
      <c r="A13" s="325" t="s">
        <v>542</v>
      </c>
      <c r="B13" s="730">
        <v>3141599</v>
      </c>
      <c r="C13" s="326">
        <f>+'III.3.2. Afil anual SFS RS '!E13</f>
        <v>3015646</v>
      </c>
      <c r="D13" s="732">
        <v>30370</v>
      </c>
      <c r="E13" s="323">
        <f t="shared" si="2"/>
        <v>6187615</v>
      </c>
      <c r="F13" s="328">
        <f t="shared" si="3"/>
        <v>0.50772373523562797</v>
      </c>
      <c r="G13" s="328">
        <f>C13/E13</f>
        <v>0.48736807315904429</v>
      </c>
      <c r="H13" s="330">
        <f t="shared" si="4"/>
        <v>4.9081916053277394E-3</v>
      </c>
      <c r="I13" s="231"/>
      <c r="J13" s="231"/>
      <c r="K13" s="231"/>
      <c r="L13" s="234"/>
      <c r="M13" s="232"/>
      <c r="N13" s="232"/>
      <c r="O13" s="232"/>
      <c r="P13" s="235"/>
      <c r="Q13" s="61"/>
      <c r="R13" s="61"/>
      <c r="S13" s="24"/>
      <c r="T13" s="24"/>
      <c r="U13" s="24"/>
      <c r="V13" s="24"/>
    </row>
    <row r="14" spans="1:22" s="1458" customFormat="1" ht="25.5" customHeight="1">
      <c r="A14" s="325" t="s">
        <v>953</v>
      </c>
      <c r="B14" s="730">
        <v>3339838</v>
      </c>
      <c r="C14" s="326">
        <v>3317405</v>
      </c>
      <c r="D14" s="732">
        <v>30529</v>
      </c>
      <c r="E14" s="323">
        <f t="shared" si="2"/>
        <v>6687772</v>
      </c>
      <c r="F14" s="328">
        <f t="shared" ref="F14" si="5">B14/E14</f>
        <v>0.49939471620743053</v>
      </c>
      <c r="G14" s="328">
        <f>C14/E14</f>
        <v>0.4960403853480651</v>
      </c>
      <c r="H14" s="330">
        <f t="shared" ref="H14" si="6">D14/E14</f>
        <v>4.5648984445043877E-3</v>
      </c>
      <c r="I14" s="231"/>
      <c r="J14" s="231"/>
      <c r="K14" s="231"/>
      <c r="L14" s="234"/>
      <c r="M14" s="232"/>
      <c r="N14" s="232"/>
      <c r="O14" s="232"/>
      <c r="P14" s="235"/>
      <c r="Q14" s="61"/>
      <c r="R14" s="61"/>
      <c r="S14" s="24"/>
      <c r="T14" s="24"/>
      <c r="U14" s="24"/>
      <c r="V14" s="24"/>
    </row>
    <row r="15" spans="1:22" ht="25.5" customHeight="1">
      <c r="A15" s="327" t="s">
        <v>1003</v>
      </c>
      <c r="B15" s="2009">
        <v>3473780</v>
      </c>
      <c r="C15" s="2010">
        <v>3298747</v>
      </c>
      <c r="D15" s="2011">
        <v>29780</v>
      </c>
      <c r="E15" s="2012">
        <f>B15+C15+D15</f>
        <v>6802307</v>
      </c>
      <c r="F15" s="1812">
        <f>B15/E15</f>
        <v>0.51067674540416952</v>
      </c>
      <c r="G15" s="1812">
        <f>C15/E15</f>
        <v>0.4849453281070672</v>
      </c>
      <c r="H15" s="1813">
        <f t="shared" si="4"/>
        <v>4.3779264887632979E-3</v>
      </c>
      <c r="I15" s="231"/>
      <c r="J15" s="231"/>
      <c r="K15" s="231"/>
      <c r="L15" s="234"/>
      <c r="M15" s="232"/>
      <c r="N15" s="232"/>
      <c r="O15" s="232"/>
      <c r="P15" s="235">
        <f>L15/E15</f>
        <v>0</v>
      </c>
      <c r="Q15" s="61"/>
      <c r="R15" s="61"/>
      <c r="S15" s="24"/>
    </row>
    <row r="16" spans="1:22" ht="23.25" customHeight="1">
      <c r="A16" s="2068" t="s">
        <v>559</v>
      </c>
      <c r="B16" s="2068"/>
      <c r="C16" s="2068"/>
      <c r="D16" s="2068"/>
      <c r="E16" s="2068"/>
      <c r="F16" s="2068"/>
      <c r="G16" s="2068"/>
      <c r="H16" s="2068"/>
      <c r="I16" s="2068"/>
      <c r="J16" s="2068"/>
      <c r="K16" s="2068"/>
      <c r="L16" s="2068"/>
      <c r="M16" s="2068"/>
      <c r="N16" s="2068"/>
      <c r="O16" s="2068"/>
      <c r="P16" s="2068"/>
      <c r="Q16" s="61"/>
      <c r="R16" s="61"/>
      <c r="S16" s="24"/>
    </row>
    <row r="17" spans="1:33" ht="25.5" customHeight="1">
      <c r="R17" s="61"/>
      <c r="S17" s="24"/>
    </row>
    <row r="18" spans="1:33" ht="25.5" customHeight="1">
      <c r="A18" s="31"/>
      <c r="B18" s="31"/>
      <c r="C18" s="31"/>
      <c r="D18" s="31"/>
      <c r="E18" s="31"/>
      <c r="F18" s="31"/>
      <c r="G18" s="31"/>
      <c r="H18" s="31"/>
      <c r="I18" s="31"/>
      <c r="J18" s="31"/>
      <c r="K18" s="31"/>
      <c r="L18" s="31"/>
      <c r="M18" s="31"/>
      <c r="N18" s="31"/>
      <c r="O18" s="31"/>
      <c r="P18" s="31"/>
      <c r="Q18" s="31"/>
      <c r="R18" s="61"/>
      <c r="S18" s="31"/>
    </row>
    <row r="19" spans="1:33" ht="25.5" customHeight="1">
      <c r="A19" s="31"/>
      <c r="B19" s="31"/>
      <c r="C19" s="31"/>
      <c r="D19" s="31"/>
      <c r="E19" s="31"/>
      <c r="F19" s="31"/>
      <c r="G19" s="31"/>
      <c r="H19" s="31"/>
      <c r="I19" s="31"/>
      <c r="J19" s="31"/>
      <c r="K19" s="31"/>
      <c r="L19" s="31"/>
      <c r="M19" s="31"/>
      <c r="N19" s="31"/>
      <c r="O19" s="31"/>
      <c r="P19" s="31"/>
      <c r="Q19" s="31"/>
      <c r="R19" s="61"/>
      <c r="S19" s="31"/>
      <c r="AG19" s="77" t="s">
        <v>31</v>
      </c>
    </row>
    <row r="20" spans="1:33" ht="25.5" customHeight="1">
      <c r="A20" s="31"/>
      <c r="B20" s="31"/>
      <c r="C20" s="31"/>
      <c r="D20" s="31"/>
      <c r="E20" s="31"/>
      <c r="F20" s="31"/>
      <c r="G20" s="31"/>
      <c r="H20" s="31"/>
      <c r="I20" s="31"/>
      <c r="J20" s="31"/>
      <c r="K20" s="31"/>
      <c r="L20" s="31"/>
      <c r="M20" s="31"/>
      <c r="N20" s="31"/>
      <c r="O20" s="31"/>
      <c r="P20" s="31"/>
      <c r="Q20" s="31"/>
      <c r="R20" s="61"/>
      <c r="S20" s="31"/>
      <c r="T20" s="31"/>
      <c r="U20" s="31"/>
      <c r="V20" s="31"/>
    </row>
    <row r="21" spans="1:33" ht="25.5" customHeight="1">
      <c r="A21" s="31"/>
      <c r="B21" s="31"/>
      <c r="C21" s="31"/>
      <c r="D21" s="31"/>
      <c r="E21" s="31"/>
      <c r="F21" s="31"/>
      <c r="G21" s="31"/>
      <c r="H21" s="31"/>
      <c r="I21" s="31"/>
      <c r="J21" s="31"/>
      <c r="K21" s="31"/>
      <c r="L21" s="31"/>
      <c r="M21" s="31"/>
      <c r="N21" s="31"/>
      <c r="O21" s="31"/>
      <c r="P21" s="31"/>
      <c r="Q21" s="31"/>
      <c r="R21" s="61"/>
      <c r="S21" s="31"/>
      <c r="T21" s="31"/>
      <c r="U21" s="31"/>
      <c r="V21" s="31"/>
    </row>
    <row r="22" spans="1:33" ht="25.5" customHeight="1">
      <c r="A22" s="31"/>
      <c r="B22" s="31"/>
      <c r="C22" s="31"/>
      <c r="D22" s="31"/>
      <c r="E22" s="31"/>
      <c r="F22" s="31"/>
      <c r="G22" s="31"/>
      <c r="H22" s="31"/>
      <c r="I22" s="31"/>
      <c r="J22" s="31"/>
      <c r="K22" s="31"/>
      <c r="L22" s="31"/>
      <c r="M22" s="31"/>
      <c r="N22" s="31"/>
      <c r="O22" s="31"/>
      <c r="P22" s="31"/>
      <c r="Q22" s="31"/>
      <c r="R22" s="61"/>
      <c r="S22" s="31"/>
      <c r="T22" s="31"/>
      <c r="U22" s="31"/>
      <c r="V22" s="31"/>
    </row>
    <row r="23" spans="1:33" ht="25.5" customHeight="1">
      <c r="A23" s="31"/>
      <c r="B23" s="31"/>
      <c r="C23" s="31"/>
      <c r="D23" s="31"/>
      <c r="E23" s="31"/>
      <c r="F23" s="31"/>
      <c r="G23" s="31"/>
      <c r="H23" s="31"/>
      <c r="I23" s="31"/>
      <c r="J23" s="31"/>
      <c r="K23" s="31"/>
      <c r="L23" s="31"/>
      <c r="M23" s="31"/>
      <c r="N23" s="31"/>
      <c r="O23" s="31"/>
      <c r="P23" s="31"/>
      <c r="Q23" s="31"/>
      <c r="R23" s="61"/>
      <c r="S23" s="31"/>
      <c r="T23" s="31"/>
      <c r="U23" s="31"/>
      <c r="V23" s="31"/>
    </row>
    <row r="24" spans="1:33" ht="25.5" customHeight="1">
      <c r="A24" s="31"/>
      <c r="B24" s="31"/>
      <c r="C24" s="31"/>
      <c r="D24" s="31"/>
      <c r="E24" s="31"/>
      <c r="F24" s="31"/>
      <c r="G24" s="31"/>
      <c r="H24" s="31"/>
      <c r="I24" s="31"/>
      <c r="J24" s="31"/>
      <c r="K24" s="31"/>
      <c r="L24" s="31"/>
      <c r="M24" s="31"/>
      <c r="N24" s="31"/>
      <c r="O24" s="31"/>
      <c r="P24" s="31"/>
      <c r="Q24" s="31"/>
      <c r="R24" s="61"/>
      <c r="S24" s="31"/>
      <c r="T24" s="31"/>
      <c r="U24" s="31"/>
      <c r="V24" s="31"/>
    </row>
    <row r="25" spans="1:33" ht="25.5" customHeight="1">
      <c r="A25" s="31"/>
      <c r="B25" s="31"/>
      <c r="C25" s="31"/>
      <c r="D25" s="31"/>
      <c r="E25" s="31"/>
      <c r="F25" s="31"/>
      <c r="G25" s="31"/>
      <c r="H25" s="31"/>
      <c r="I25" s="31"/>
      <c r="J25" s="31"/>
      <c r="K25" s="31"/>
      <c r="L25" s="31"/>
      <c r="M25" s="31"/>
      <c r="N25" s="31"/>
      <c r="O25" s="31"/>
      <c r="P25" s="31"/>
      <c r="Q25" s="31"/>
      <c r="R25" s="61"/>
      <c r="S25" s="31"/>
      <c r="T25" s="31"/>
      <c r="U25" s="31"/>
      <c r="V25" s="31"/>
    </row>
    <row r="26" spans="1:3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3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3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3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3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33" ht="25.5" customHeight="1">
      <c r="A31" s="31"/>
      <c r="B31" s="31"/>
      <c r="C31" s="31"/>
      <c r="D31" s="31"/>
      <c r="E31" s="31"/>
      <c r="F31" s="31"/>
      <c r="G31" s="31"/>
      <c r="H31" s="31"/>
      <c r="I31" s="31"/>
      <c r="J31" s="31"/>
      <c r="K31" s="31"/>
      <c r="L31" s="31"/>
      <c r="M31" s="31"/>
      <c r="N31" s="31"/>
      <c r="O31" s="31"/>
      <c r="P31" s="31"/>
      <c r="Q31" s="31"/>
      <c r="R31" s="31"/>
      <c r="S31" s="31"/>
      <c r="T31" s="31"/>
      <c r="U31" s="31"/>
      <c r="V31" s="31"/>
      <c r="W31" s="77" t="s">
        <v>31</v>
      </c>
    </row>
    <row r="32" spans="1:3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8"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8"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8" ht="25.5" customHeight="1">
      <c r="A35" s="31"/>
      <c r="B35" s="31"/>
      <c r="C35" s="31"/>
      <c r="D35" s="31"/>
      <c r="E35" s="31"/>
      <c r="F35" s="31"/>
      <c r="G35" s="31"/>
      <c r="H35" s="31"/>
      <c r="I35" s="31"/>
      <c r="J35" s="31"/>
      <c r="K35" s="31"/>
      <c r="L35" s="31"/>
      <c r="M35" s="31"/>
      <c r="N35" s="31"/>
      <c r="O35" s="31"/>
      <c r="P35" s="31"/>
      <c r="Q35" s="31"/>
      <c r="R35" s="31"/>
      <c r="S35" s="31"/>
      <c r="T35" s="31"/>
      <c r="U35" s="31"/>
      <c r="V35" s="31"/>
    </row>
    <row r="36" spans="1:28" ht="25.5" customHeight="1">
      <c r="A36" s="31"/>
      <c r="B36" s="31"/>
      <c r="C36" s="31"/>
      <c r="D36" s="31"/>
      <c r="E36" s="31"/>
      <c r="F36" s="31"/>
      <c r="G36" s="31"/>
      <c r="H36" s="31"/>
      <c r="I36" s="31"/>
      <c r="J36" s="31"/>
      <c r="K36" s="31"/>
      <c r="L36" s="31"/>
      <c r="M36" s="31"/>
      <c r="N36" s="31"/>
      <c r="O36" s="31"/>
      <c r="P36" s="31"/>
      <c r="Q36" s="31"/>
      <c r="R36" s="31"/>
      <c r="S36" s="31"/>
      <c r="T36" s="31"/>
      <c r="U36" s="31"/>
      <c r="V36" s="31"/>
    </row>
    <row r="37" spans="1:28" ht="25.5" customHeight="1">
      <c r="A37" s="31"/>
      <c r="B37" s="31"/>
      <c r="C37" s="31"/>
      <c r="D37" s="31"/>
      <c r="E37" s="31"/>
      <c r="F37" s="31"/>
      <c r="G37" s="31"/>
      <c r="H37" s="31"/>
      <c r="I37" s="31"/>
      <c r="J37" s="31"/>
      <c r="K37" s="31"/>
      <c r="L37" s="31"/>
      <c r="M37" s="31"/>
      <c r="N37" s="31"/>
      <c r="O37" s="31"/>
      <c r="P37" s="31"/>
      <c r="Q37" s="31"/>
      <c r="R37" s="31"/>
      <c r="S37" s="31"/>
      <c r="T37" s="31"/>
      <c r="U37" s="31"/>
      <c r="V37" s="31"/>
    </row>
    <row r="38" spans="1:28" ht="25.5" customHeight="1">
      <c r="A38" s="31"/>
      <c r="B38" s="31"/>
      <c r="C38" s="31"/>
      <c r="D38" s="31"/>
      <c r="E38" s="31"/>
      <c r="F38" s="31"/>
      <c r="G38" s="31"/>
      <c r="H38" s="31"/>
      <c r="I38" s="31"/>
      <c r="J38" s="31"/>
      <c r="K38" s="31"/>
      <c r="L38" s="31"/>
      <c r="M38" s="31"/>
      <c r="N38" s="31"/>
      <c r="O38" s="31"/>
      <c r="P38" s="31"/>
      <c r="Q38" s="31"/>
      <c r="R38" s="31"/>
      <c r="S38" s="31"/>
      <c r="T38" s="31"/>
      <c r="U38" s="31"/>
      <c r="V38" s="31"/>
    </row>
    <row r="39" spans="1:28">
      <c r="S39" s="95"/>
      <c r="T39" s="95"/>
      <c r="U39" s="95"/>
      <c r="V39" s="95"/>
      <c r="W39" s="96"/>
      <c r="X39" s="96"/>
      <c r="Y39" s="96"/>
      <c r="Z39" s="96"/>
      <c r="AA39" s="96"/>
      <c r="AB39" s="96"/>
    </row>
    <row r="40" spans="1:28">
      <c r="S40" s="95"/>
      <c r="T40" s="95"/>
      <c r="U40" s="95"/>
      <c r="V40" s="95"/>
      <c r="W40" s="96"/>
      <c r="X40" s="96"/>
      <c r="Y40" s="96"/>
      <c r="Z40" s="96"/>
      <c r="AA40" s="96"/>
      <c r="AB40" s="96"/>
    </row>
    <row r="41" spans="1:28">
      <c r="S41" s="95"/>
      <c r="T41" s="95"/>
      <c r="U41" s="95"/>
      <c r="V41" s="95"/>
      <c r="W41" s="96"/>
      <c r="X41" s="96"/>
      <c r="Y41" s="96"/>
      <c r="Z41" s="96"/>
      <c r="AA41" s="96"/>
      <c r="AB41" s="96"/>
    </row>
    <row r="42" spans="1:28">
      <c r="S42" s="95"/>
      <c r="T42" s="95"/>
      <c r="U42" s="95"/>
      <c r="V42" s="95"/>
      <c r="W42" s="96"/>
      <c r="X42" s="96"/>
      <c r="Y42" s="96"/>
      <c r="Z42" s="96"/>
      <c r="AA42" s="96"/>
      <c r="AB42" s="96"/>
    </row>
    <row r="43" spans="1:28" ht="51" customHeight="1">
      <c r="S43" s="95"/>
      <c r="T43" s="95"/>
      <c r="U43" s="95"/>
      <c r="V43" s="95"/>
      <c r="W43" s="96"/>
      <c r="X43" s="96"/>
      <c r="Y43" s="96"/>
      <c r="Z43" s="96"/>
      <c r="AA43" s="96"/>
      <c r="AB43" s="96"/>
    </row>
    <row r="44" spans="1:28" ht="78" customHeight="1">
      <c r="A44" s="2067"/>
      <c r="B44" s="2067"/>
      <c r="C44" s="2067"/>
      <c r="D44" s="2067"/>
      <c r="E44" s="2067"/>
      <c r="F44" s="2067"/>
      <c r="G44" s="2067"/>
      <c r="H44" s="2067"/>
      <c r="I44" s="2067"/>
      <c r="J44" s="2067"/>
      <c r="K44" s="2067"/>
      <c r="L44" s="2067"/>
      <c r="M44" s="2067"/>
      <c r="N44" s="2067"/>
      <c r="O44" s="2067"/>
      <c r="P44" s="2067"/>
      <c r="Q44" s="2067"/>
      <c r="R44" s="2067"/>
      <c r="S44" s="2067"/>
      <c r="T44" s="2067"/>
      <c r="U44" s="2067"/>
      <c r="V44" s="2067"/>
      <c r="W44" s="2067"/>
      <c r="X44" s="2067"/>
      <c r="Y44" s="2067"/>
      <c r="Z44" s="96"/>
      <c r="AA44" s="96"/>
      <c r="AB44" s="96"/>
    </row>
    <row r="45" spans="1:28">
      <c r="S45" s="96"/>
      <c r="T45" s="96"/>
      <c r="U45" s="96"/>
      <c r="V45" s="96"/>
      <c r="W45" s="96"/>
    </row>
    <row r="46" spans="1:28">
      <c r="S46" s="96"/>
      <c r="T46" s="96"/>
      <c r="U46" s="96"/>
      <c r="V46" s="96"/>
      <c r="W46" s="96"/>
    </row>
    <row r="47" spans="1:28">
      <c r="S47" s="96"/>
      <c r="T47" s="96"/>
      <c r="U47" s="96"/>
      <c r="V47" s="96"/>
      <c r="W47" s="96"/>
    </row>
    <row r="48" spans="1:28">
      <c r="S48" s="96"/>
      <c r="T48" s="96"/>
      <c r="U48" s="96"/>
      <c r="V48" s="96"/>
      <c r="W48" s="96"/>
    </row>
    <row r="49" spans="2:30">
      <c r="S49" s="96"/>
      <c r="T49" s="96"/>
      <c r="U49" s="96"/>
      <c r="V49" s="96"/>
      <c r="W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S52" s="96"/>
      <c r="T52" s="96"/>
      <c r="U52" s="96"/>
      <c r="V52" s="96"/>
      <c r="W52" s="96"/>
      <c r="X52" s="96"/>
      <c r="Y52" s="96"/>
      <c r="Z52" s="96"/>
      <c r="AA52" s="96"/>
      <c r="AB52" s="96"/>
      <c r="AC52" s="96"/>
      <c r="AD52" s="96"/>
    </row>
    <row r="53" spans="2:30">
      <c r="S53" s="96"/>
      <c r="T53" s="96"/>
      <c r="U53" s="96"/>
      <c r="V53" s="96"/>
      <c r="W53" s="96"/>
      <c r="X53" s="96"/>
      <c r="Y53" s="96"/>
      <c r="Z53" s="96"/>
      <c r="AA53" s="96"/>
      <c r="AB53" s="96"/>
      <c r="AC53" s="96"/>
      <c r="AD53" s="96"/>
    </row>
    <row r="54" spans="2:30">
      <c r="S54" s="96"/>
      <c r="T54" s="96"/>
      <c r="U54" s="96"/>
      <c r="V54" s="96"/>
      <c r="W54" s="96"/>
      <c r="X54" s="96"/>
      <c r="Y54" s="96"/>
      <c r="Z54" s="96"/>
      <c r="AA54" s="96"/>
      <c r="AB54" s="96"/>
      <c r="AC54" s="96"/>
      <c r="AD54" s="96"/>
    </row>
    <row r="55" spans="2:30">
      <c r="S55" s="96"/>
      <c r="T55" s="96"/>
      <c r="U55" s="96"/>
      <c r="V55" s="96"/>
      <c r="W55" s="96"/>
      <c r="X55" s="96"/>
      <c r="Y55" s="96"/>
      <c r="Z55" s="96"/>
      <c r="AA55" s="96"/>
      <c r="AB55" s="96"/>
      <c r="AC55" s="96"/>
      <c r="AD55" s="96"/>
    </row>
    <row r="56" spans="2:30">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row>
    <row r="75" spans="24:24">
      <c r="X75" s="96"/>
    </row>
    <row r="76" spans="24:24">
      <c r="X76" s="96"/>
    </row>
    <row r="77" spans="24:24">
      <c r="X77" s="96"/>
    </row>
    <row r="78" spans="24:24">
      <c r="X78" s="96"/>
    </row>
    <row r="79" spans="24:24">
      <c r="X79" s="96"/>
    </row>
    <row r="80" spans="24:24">
      <c r="X80" s="96"/>
    </row>
    <row r="81" spans="24:24">
      <c r="X81" s="96"/>
    </row>
    <row r="82" spans="24:24">
      <c r="X82" s="96"/>
    </row>
    <row r="92" spans="24:24">
      <c r="X92" s="96"/>
    </row>
    <row r="93" spans="24:24">
      <c r="X93" s="96"/>
    </row>
    <row r="94" spans="24:24">
      <c r="X94" s="96"/>
    </row>
    <row r="95" spans="24:24">
      <c r="X95" s="96"/>
    </row>
  </sheetData>
  <mergeCells count="3">
    <mergeCell ref="A44:Y44"/>
    <mergeCell ref="A16:P16"/>
    <mergeCell ref="A1:Q1"/>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8"/>
  <sheetViews>
    <sheetView showGridLines="0" view="pageBreakPreview" zoomScaleNormal="100" zoomScaleSheetLayoutView="100" workbookViewId="0">
      <pane ySplit="3" topLeftCell="A134" activePane="bottomLeft" state="frozen"/>
      <selection pane="bottomLeft" activeCell="F148" sqref="F148"/>
    </sheetView>
  </sheetViews>
  <sheetFormatPr baseColWidth="10" defaultRowHeight="15"/>
  <cols>
    <col min="1" max="1" width="122.5703125" style="77" customWidth="1"/>
    <col min="2" max="16384" width="11.42578125" style="77"/>
  </cols>
  <sheetData>
    <row r="1" spans="1:1">
      <c r="A1" s="1591" t="s">
        <v>949</v>
      </c>
    </row>
    <row r="2" spans="1:1" ht="24" customHeight="1"/>
    <row r="4" spans="1:1" ht="5.25" customHeight="1"/>
    <row r="5" spans="1:1">
      <c r="A5" s="50" t="s">
        <v>742</v>
      </c>
    </row>
    <row r="6" spans="1:1" ht="3" customHeight="1">
      <c r="A6" s="50"/>
    </row>
    <row r="7" spans="1:1">
      <c r="A7" s="1386" t="s">
        <v>743</v>
      </c>
    </row>
    <row r="8" spans="1:1">
      <c r="A8" s="1386" t="s">
        <v>744</v>
      </c>
    </row>
    <row r="9" spans="1:1" ht="14.25" customHeight="1">
      <c r="A9" s="1386" t="s">
        <v>745</v>
      </c>
    </row>
    <row r="10" spans="1:1" ht="15" customHeight="1">
      <c r="A10" s="1386" t="s">
        <v>746</v>
      </c>
    </row>
    <row r="11" spans="1:1" ht="6" customHeight="1" collapsed="1"/>
    <row r="12" spans="1:1" ht="15.75" customHeight="1">
      <c r="A12" s="1387" t="s">
        <v>747</v>
      </c>
    </row>
    <row r="13" spans="1:1" ht="20.25" customHeight="1">
      <c r="A13" s="1386" t="s">
        <v>748</v>
      </c>
    </row>
    <row r="14" spans="1:1">
      <c r="A14" s="1386" t="s">
        <v>749</v>
      </c>
    </row>
    <row r="15" spans="1:1">
      <c r="A15" s="1386" t="s">
        <v>750</v>
      </c>
    </row>
    <row r="16" spans="1:1">
      <c r="A16" s="1386" t="s">
        <v>751</v>
      </c>
    </row>
    <row r="17" spans="1:1">
      <c r="A17" s="1386" t="s">
        <v>752</v>
      </c>
    </row>
    <row r="18" spans="1:1" collapsed="1">
      <c r="A18" s="1386" t="s">
        <v>753</v>
      </c>
    </row>
    <row r="19" spans="1:1" ht="4.5" customHeight="1">
      <c r="A19" s="1388"/>
    </row>
    <row r="20" spans="1:1">
      <c r="A20" s="1387" t="s">
        <v>754</v>
      </c>
    </row>
    <row r="21" spans="1:1" ht="3.75" customHeight="1">
      <c r="A21" s="1387"/>
    </row>
    <row r="22" spans="1:1">
      <c r="A22" s="1389" t="s">
        <v>755</v>
      </c>
    </row>
    <row r="23" spans="1:1" ht="6" customHeight="1">
      <c r="A23" s="1389"/>
    </row>
    <row r="24" spans="1:1">
      <c r="A24" s="1390" t="s">
        <v>756</v>
      </c>
    </row>
    <row r="25" spans="1:1">
      <c r="A25" s="1390" t="s">
        <v>757</v>
      </c>
    </row>
    <row r="26" spans="1:1">
      <c r="A26" s="1390" t="s">
        <v>758</v>
      </c>
    </row>
    <row r="27" spans="1:1">
      <c r="A27" s="1390" t="s">
        <v>759</v>
      </c>
    </row>
    <row r="28" spans="1:1">
      <c r="A28" s="1390" t="s">
        <v>760</v>
      </c>
    </row>
    <row r="29" spans="1:1">
      <c r="A29" s="1390" t="s">
        <v>761</v>
      </c>
    </row>
    <row r="30" spans="1:1">
      <c r="A30" s="1390" t="s">
        <v>762</v>
      </c>
    </row>
    <row r="31" spans="1:1" ht="6.75" customHeight="1"/>
    <row r="32" spans="1:1">
      <c r="A32" s="1389" t="s">
        <v>763</v>
      </c>
    </row>
    <row r="33" spans="1:1" ht="3.75" customHeight="1"/>
    <row r="34" spans="1:1" s="1391" customFormat="1">
      <c r="A34" s="1390" t="s">
        <v>764</v>
      </c>
    </row>
    <row r="35" spans="1:1">
      <c r="A35" s="1390" t="s">
        <v>765</v>
      </c>
    </row>
    <row r="36" spans="1:1">
      <c r="A36" s="1390" t="s">
        <v>766</v>
      </c>
    </row>
    <row r="37" spans="1:1">
      <c r="A37" s="1390" t="s">
        <v>767</v>
      </c>
    </row>
    <row r="38" spans="1:1">
      <c r="A38" s="1390" t="s">
        <v>768</v>
      </c>
    </row>
    <row r="39" spans="1:1">
      <c r="A39" s="1390" t="s">
        <v>769</v>
      </c>
    </row>
    <row r="40" spans="1:1" ht="7.5" customHeight="1">
      <c r="A40" s="1392"/>
    </row>
    <row r="41" spans="1:1">
      <c r="A41" s="1389" t="s">
        <v>770</v>
      </c>
    </row>
    <row r="42" spans="1:1" ht="6" customHeight="1"/>
    <row r="43" spans="1:1">
      <c r="A43" s="1390" t="s">
        <v>771</v>
      </c>
    </row>
    <row r="44" spans="1:1">
      <c r="A44" s="1390" t="s">
        <v>772</v>
      </c>
    </row>
    <row r="45" spans="1:1">
      <c r="A45" s="1390" t="s">
        <v>773</v>
      </c>
    </row>
    <row r="46" spans="1:1">
      <c r="A46" s="1390" t="s">
        <v>774</v>
      </c>
    </row>
    <row r="47" spans="1:1">
      <c r="A47" s="1390" t="s">
        <v>775</v>
      </c>
    </row>
    <row r="48" spans="1:1">
      <c r="A48" s="1390" t="s">
        <v>776</v>
      </c>
    </row>
    <row r="49" spans="1:1">
      <c r="A49" s="1390" t="s">
        <v>777</v>
      </c>
    </row>
    <row r="50" spans="1:1" ht="6.75" customHeight="1"/>
    <row r="51" spans="1:1" ht="21.75" customHeight="1">
      <c r="A51" s="1389" t="s">
        <v>778</v>
      </c>
    </row>
    <row r="52" spans="1:1" ht="6.75" customHeight="1"/>
    <row r="53" spans="1:1">
      <c r="A53" s="1390" t="s">
        <v>779</v>
      </c>
    </row>
    <row r="54" spans="1:1">
      <c r="A54" s="1390" t="s">
        <v>780</v>
      </c>
    </row>
    <row r="55" spans="1:1">
      <c r="A55" s="1390" t="s">
        <v>781</v>
      </c>
    </row>
    <row r="56" spans="1:1">
      <c r="A56" s="1390" t="s">
        <v>782</v>
      </c>
    </row>
    <row r="58" spans="1:1">
      <c r="A58" s="1389" t="s">
        <v>783</v>
      </c>
    </row>
    <row r="60" spans="1:1">
      <c r="A60" s="1390" t="s">
        <v>784</v>
      </c>
    </row>
    <row r="61" spans="1:1">
      <c r="A61" s="1390" t="s">
        <v>785</v>
      </c>
    </row>
    <row r="62" spans="1:1">
      <c r="A62" s="1390" t="s">
        <v>786</v>
      </c>
    </row>
    <row r="63" spans="1:1">
      <c r="A63" s="1390" t="s">
        <v>787</v>
      </c>
    </row>
    <row r="64" spans="1:1">
      <c r="A64" s="1390" t="s">
        <v>788</v>
      </c>
    </row>
    <row r="65" spans="1:1">
      <c r="A65" s="1390" t="s">
        <v>789</v>
      </c>
    </row>
    <row r="66" spans="1:1">
      <c r="A66" s="1390" t="s">
        <v>790</v>
      </c>
    </row>
    <row r="67" spans="1:1">
      <c r="A67" s="1390" t="s">
        <v>791</v>
      </c>
    </row>
    <row r="68" spans="1:1">
      <c r="A68" s="1390" t="s">
        <v>792</v>
      </c>
    </row>
    <row r="69" spans="1:1">
      <c r="A69" s="1390" t="s">
        <v>793</v>
      </c>
    </row>
    <row r="70" spans="1:1" s="70" customFormat="1">
      <c r="A70" s="1393" t="s">
        <v>794</v>
      </c>
    </row>
    <row r="71" spans="1:1">
      <c r="A71" s="1390" t="s">
        <v>795</v>
      </c>
    </row>
    <row r="72" spans="1:1">
      <c r="A72" s="1390" t="s">
        <v>796</v>
      </c>
    </row>
    <row r="73" spans="1:1">
      <c r="A73" s="1390" t="s">
        <v>797</v>
      </c>
    </row>
    <row r="74" spans="1:1">
      <c r="A74" s="1390" t="s">
        <v>798</v>
      </c>
    </row>
    <row r="76" spans="1:1">
      <c r="A76" s="1389" t="s">
        <v>799</v>
      </c>
    </row>
    <row r="77" spans="1:1" ht="7.5" customHeight="1"/>
    <row r="78" spans="1:1">
      <c r="A78" s="1390" t="s">
        <v>800</v>
      </c>
    </row>
    <row r="79" spans="1:1">
      <c r="A79" s="1390" t="s">
        <v>801</v>
      </c>
    </row>
    <row r="80" spans="1:1">
      <c r="A80" s="1390" t="s">
        <v>802</v>
      </c>
    </row>
    <row r="81" spans="1:1">
      <c r="A81" s="1390" t="s">
        <v>803</v>
      </c>
    </row>
    <row r="82" spans="1:1">
      <c r="A82" s="1390" t="s">
        <v>804</v>
      </c>
    </row>
    <row r="83" spans="1:1" ht="14.25" customHeight="1">
      <c r="A83" s="1390" t="s">
        <v>805</v>
      </c>
    </row>
    <row r="84" spans="1:1" ht="9" customHeight="1">
      <c r="A84" s="1392"/>
    </row>
    <row r="85" spans="1:1">
      <c r="A85" s="1387" t="s">
        <v>806</v>
      </c>
    </row>
    <row r="86" spans="1:1" ht="6" customHeight="1">
      <c r="A86" s="1387"/>
    </row>
    <row r="87" spans="1:1">
      <c r="A87" s="1389" t="s">
        <v>807</v>
      </c>
    </row>
    <row r="88" spans="1:1" ht="21" customHeight="1">
      <c r="A88" s="1390" t="s">
        <v>808</v>
      </c>
    </row>
    <row r="89" spans="1:1">
      <c r="A89" s="1390" t="s">
        <v>809</v>
      </c>
    </row>
    <row r="90" spans="1:1">
      <c r="A90" s="1390" t="s">
        <v>810</v>
      </c>
    </row>
    <row r="91" spans="1:1">
      <c r="A91" s="1390" t="s">
        <v>811</v>
      </c>
    </row>
    <row r="92" spans="1:1">
      <c r="A92" s="1390" t="s">
        <v>812</v>
      </c>
    </row>
    <row r="93" spans="1:1">
      <c r="A93" s="1390" t="s">
        <v>813</v>
      </c>
    </row>
    <row r="94" spans="1:1">
      <c r="A94" s="1392"/>
    </row>
    <row r="95" spans="1:1">
      <c r="A95" s="1389" t="s">
        <v>814</v>
      </c>
    </row>
    <row r="96" spans="1:1" ht="6.75" customHeight="1"/>
    <row r="97" spans="1:16384" ht="13.5" customHeight="1">
      <c r="A97" s="1390" t="s">
        <v>815</v>
      </c>
      <c r="B97" s="1392"/>
      <c r="C97" s="1392"/>
      <c r="D97" s="1392"/>
      <c r="E97" s="1392"/>
      <c r="F97" s="1392"/>
      <c r="G97" s="1392"/>
      <c r="H97" s="1392"/>
      <c r="I97" s="1392"/>
      <c r="J97" s="1392"/>
      <c r="K97" s="1392"/>
      <c r="L97" s="1392"/>
      <c r="M97" s="1392"/>
      <c r="N97" s="1392"/>
      <c r="O97" s="1392"/>
      <c r="P97" s="1392"/>
      <c r="Q97" s="1392"/>
      <c r="R97" s="1392" t="s">
        <v>809</v>
      </c>
      <c r="S97" s="1392" t="s">
        <v>809</v>
      </c>
      <c r="T97" s="1392" t="s">
        <v>809</v>
      </c>
      <c r="U97" s="1392" t="s">
        <v>809</v>
      </c>
      <c r="V97" s="1392" t="s">
        <v>809</v>
      </c>
      <c r="W97" s="1392" t="s">
        <v>809</v>
      </c>
      <c r="X97" s="1392" t="s">
        <v>809</v>
      </c>
      <c r="Y97" s="1392" t="s">
        <v>809</v>
      </c>
      <c r="Z97" s="1392" t="s">
        <v>809</v>
      </c>
      <c r="AA97" s="1392" t="s">
        <v>809</v>
      </c>
      <c r="AB97" s="1392" t="s">
        <v>809</v>
      </c>
      <c r="AC97" s="1392" t="s">
        <v>809</v>
      </c>
      <c r="AD97" s="1392" t="s">
        <v>809</v>
      </c>
      <c r="AE97" s="1392" t="s">
        <v>809</v>
      </c>
      <c r="AF97" s="1392" t="s">
        <v>809</v>
      </c>
      <c r="AG97" s="1392" t="s">
        <v>809</v>
      </c>
      <c r="AH97" s="1392" t="s">
        <v>809</v>
      </c>
      <c r="AI97" s="1392" t="s">
        <v>809</v>
      </c>
      <c r="AJ97" s="1392" t="s">
        <v>809</v>
      </c>
      <c r="AK97" s="1392" t="s">
        <v>809</v>
      </c>
      <c r="AL97" s="1392" t="s">
        <v>809</v>
      </c>
      <c r="AM97" s="1392" t="s">
        <v>809</v>
      </c>
      <c r="AN97" s="1392" t="s">
        <v>809</v>
      </c>
      <c r="AO97" s="1392" t="s">
        <v>809</v>
      </c>
      <c r="AP97" s="1392" t="s">
        <v>809</v>
      </c>
      <c r="AQ97" s="1392" t="s">
        <v>809</v>
      </c>
      <c r="AR97" s="1392" t="s">
        <v>809</v>
      </c>
      <c r="AS97" s="1392" t="s">
        <v>809</v>
      </c>
      <c r="AT97" s="1392" t="s">
        <v>809</v>
      </c>
      <c r="AU97" s="1392" t="s">
        <v>809</v>
      </c>
      <c r="AV97" s="1392" t="s">
        <v>809</v>
      </c>
      <c r="AW97" s="1392" t="s">
        <v>809</v>
      </c>
      <c r="AX97" s="1392" t="s">
        <v>809</v>
      </c>
      <c r="AY97" s="1392" t="s">
        <v>809</v>
      </c>
      <c r="AZ97" s="1392" t="s">
        <v>809</v>
      </c>
      <c r="BA97" s="1392" t="s">
        <v>809</v>
      </c>
      <c r="BB97" s="1392" t="s">
        <v>809</v>
      </c>
      <c r="BC97" s="1392" t="s">
        <v>809</v>
      </c>
      <c r="BD97" s="1392" t="s">
        <v>809</v>
      </c>
      <c r="BE97" s="1392" t="s">
        <v>809</v>
      </c>
      <c r="BF97" s="1392" t="s">
        <v>809</v>
      </c>
      <c r="BG97" s="1392" t="s">
        <v>809</v>
      </c>
      <c r="BH97" s="1392" t="s">
        <v>809</v>
      </c>
      <c r="BI97" s="1392" t="s">
        <v>809</v>
      </c>
      <c r="BJ97" s="1392" t="s">
        <v>809</v>
      </c>
      <c r="BK97" s="1392" t="s">
        <v>809</v>
      </c>
      <c r="BL97" s="1392" t="s">
        <v>809</v>
      </c>
      <c r="BM97" s="1392" t="s">
        <v>809</v>
      </c>
      <c r="BN97" s="1392" t="s">
        <v>809</v>
      </c>
      <c r="BO97" s="1392" t="s">
        <v>809</v>
      </c>
      <c r="BP97" s="1392" t="s">
        <v>809</v>
      </c>
      <c r="BQ97" s="1392" t="s">
        <v>809</v>
      </c>
      <c r="BR97" s="1392" t="s">
        <v>809</v>
      </c>
      <c r="BS97" s="1392" t="s">
        <v>809</v>
      </c>
      <c r="BT97" s="1392" t="s">
        <v>809</v>
      </c>
      <c r="BU97" s="1392" t="s">
        <v>809</v>
      </c>
      <c r="BV97" s="1392" t="s">
        <v>809</v>
      </c>
      <c r="BW97" s="1392" t="s">
        <v>809</v>
      </c>
      <c r="BX97" s="1392" t="s">
        <v>809</v>
      </c>
      <c r="BY97" s="1392" t="s">
        <v>809</v>
      </c>
      <c r="BZ97" s="1392" t="s">
        <v>809</v>
      </c>
      <c r="CA97" s="1392" t="s">
        <v>809</v>
      </c>
      <c r="CB97" s="1392" t="s">
        <v>809</v>
      </c>
      <c r="CC97" s="1392" t="s">
        <v>809</v>
      </c>
      <c r="CD97" s="1392" t="s">
        <v>809</v>
      </c>
      <c r="CE97" s="1392" t="s">
        <v>809</v>
      </c>
      <c r="CF97" s="1392" t="s">
        <v>809</v>
      </c>
      <c r="CG97" s="1392" t="s">
        <v>809</v>
      </c>
      <c r="CH97" s="1392" t="s">
        <v>809</v>
      </c>
      <c r="CI97" s="1392" t="s">
        <v>809</v>
      </c>
      <c r="CJ97" s="1392" t="s">
        <v>809</v>
      </c>
      <c r="CK97" s="1392" t="s">
        <v>809</v>
      </c>
      <c r="CL97" s="1392" t="s">
        <v>809</v>
      </c>
      <c r="CM97" s="1392" t="s">
        <v>809</v>
      </c>
      <c r="CN97" s="1392" t="s">
        <v>809</v>
      </c>
      <c r="CO97" s="1392" t="s">
        <v>809</v>
      </c>
      <c r="CP97" s="1392" t="s">
        <v>809</v>
      </c>
      <c r="CQ97" s="1392" t="s">
        <v>809</v>
      </c>
      <c r="CR97" s="1392" t="s">
        <v>809</v>
      </c>
      <c r="CS97" s="1392" t="s">
        <v>809</v>
      </c>
      <c r="CT97" s="1392" t="s">
        <v>809</v>
      </c>
      <c r="CU97" s="1392" t="s">
        <v>809</v>
      </c>
      <c r="CV97" s="1392" t="s">
        <v>809</v>
      </c>
      <c r="CW97" s="1392" t="s">
        <v>809</v>
      </c>
      <c r="CX97" s="1392" t="s">
        <v>809</v>
      </c>
      <c r="CY97" s="1392" t="s">
        <v>809</v>
      </c>
      <c r="CZ97" s="1392" t="s">
        <v>809</v>
      </c>
      <c r="DA97" s="1392" t="s">
        <v>809</v>
      </c>
      <c r="DB97" s="1392" t="s">
        <v>809</v>
      </c>
      <c r="DC97" s="1392" t="s">
        <v>809</v>
      </c>
      <c r="DD97" s="1392" t="s">
        <v>809</v>
      </c>
      <c r="DE97" s="1392" t="s">
        <v>809</v>
      </c>
      <c r="DF97" s="1392" t="s">
        <v>809</v>
      </c>
      <c r="DG97" s="1392" t="s">
        <v>809</v>
      </c>
      <c r="DH97" s="1392" t="s">
        <v>809</v>
      </c>
      <c r="DI97" s="1392" t="s">
        <v>809</v>
      </c>
      <c r="DJ97" s="1392" t="s">
        <v>809</v>
      </c>
      <c r="DK97" s="1392" t="s">
        <v>809</v>
      </c>
      <c r="DL97" s="1392" t="s">
        <v>809</v>
      </c>
      <c r="DM97" s="1392" t="s">
        <v>809</v>
      </c>
      <c r="DN97" s="1392" t="s">
        <v>809</v>
      </c>
      <c r="DO97" s="1392" t="s">
        <v>809</v>
      </c>
      <c r="DP97" s="1392" t="s">
        <v>809</v>
      </c>
      <c r="DQ97" s="1392" t="s">
        <v>809</v>
      </c>
      <c r="DR97" s="1392" t="s">
        <v>809</v>
      </c>
      <c r="DS97" s="1392" t="s">
        <v>809</v>
      </c>
      <c r="DT97" s="1392" t="s">
        <v>809</v>
      </c>
      <c r="DU97" s="1392" t="s">
        <v>809</v>
      </c>
      <c r="DV97" s="1392" t="s">
        <v>809</v>
      </c>
      <c r="DW97" s="1392" t="s">
        <v>809</v>
      </c>
      <c r="DX97" s="1392" t="s">
        <v>809</v>
      </c>
      <c r="DY97" s="1392" t="s">
        <v>809</v>
      </c>
      <c r="DZ97" s="1392" t="s">
        <v>809</v>
      </c>
      <c r="EA97" s="1392" t="s">
        <v>809</v>
      </c>
      <c r="EB97" s="1392" t="s">
        <v>809</v>
      </c>
      <c r="EC97" s="1392" t="s">
        <v>809</v>
      </c>
      <c r="ED97" s="1392" t="s">
        <v>809</v>
      </c>
      <c r="EE97" s="1392" t="s">
        <v>809</v>
      </c>
      <c r="EF97" s="1392" t="s">
        <v>809</v>
      </c>
      <c r="EG97" s="1392" t="s">
        <v>809</v>
      </c>
      <c r="EH97" s="1392" t="s">
        <v>809</v>
      </c>
      <c r="EI97" s="1392" t="s">
        <v>809</v>
      </c>
      <c r="EJ97" s="1392" t="s">
        <v>809</v>
      </c>
      <c r="EK97" s="1392" t="s">
        <v>809</v>
      </c>
      <c r="EL97" s="1392" t="s">
        <v>809</v>
      </c>
      <c r="EM97" s="1392" t="s">
        <v>809</v>
      </c>
      <c r="EN97" s="1392" t="s">
        <v>809</v>
      </c>
      <c r="EO97" s="1392" t="s">
        <v>809</v>
      </c>
      <c r="EP97" s="1392" t="s">
        <v>809</v>
      </c>
      <c r="EQ97" s="1392" t="s">
        <v>809</v>
      </c>
      <c r="ER97" s="1392" t="s">
        <v>809</v>
      </c>
      <c r="ES97" s="1392" t="s">
        <v>809</v>
      </c>
      <c r="ET97" s="1392" t="s">
        <v>809</v>
      </c>
      <c r="EU97" s="1392" t="s">
        <v>809</v>
      </c>
      <c r="EV97" s="1392" t="s">
        <v>809</v>
      </c>
      <c r="EW97" s="1392" t="s">
        <v>809</v>
      </c>
      <c r="EX97" s="1392" t="s">
        <v>809</v>
      </c>
      <c r="EY97" s="1392" t="s">
        <v>809</v>
      </c>
      <c r="EZ97" s="1392" t="s">
        <v>809</v>
      </c>
      <c r="FA97" s="1392" t="s">
        <v>809</v>
      </c>
      <c r="FB97" s="1392" t="s">
        <v>809</v>
      </c>
      <c r="FC97" s="1392" t="s">
        <v>809</v>
      </c>
      <c r="FD97" s="1392" t="s">
        <v>809</v>
      </c>
      <c r="FE97" s="1392" t="s">
        <v>809</v>
      </c>
      <c r="FF97" s="1392" t="s">
        <v>809</v>
      </c>
      <c r="FG97" s="1392" t="s">
        <v>809</v>
      </c>
      <c r="FH97" s="1392" t="s">
        <v>809</v>
      </c>
      <c r="FI97" s="1392" t="s">
        <v>809</v>
      </c>
      <c r="FJ97" s="1392" t="s">
        <v>809</v>
      </c>
      <c r="FK97" s="1392" t="s">
        <v>809</v>
      </c>
      <c r="FL97" s="1392" t="s">
        <v>809</v>
      </c>
      <c r="FM97" s="1392" t="s">
        <v>809</v>
      </c>
      <c r="FN97" s="1392" t="s">
        <v>809</v>
      </c>
      <c r="FO97" s="1392" t="s">
        <v>809</v>
      </c>
      <c r="FP97" s="1392" t="s">
        <v>809</v>
      </c>
      <c r="FQ97" s="1392" t="s">
        <v>809</v>
      </c>
      <c r="FR97" s="1392" t="s">
        <v>809</v>
      </c>
      <c r="FS97" s="1392" t="s">
        <v>809</v>
      </c>
      <c r="FT97" s="1392" t="s">
        <v>809</v>
      </c>
      <c r="FU97" s="1392" t="s">
        <v>809</v>
      </c>
      <c r="FV97" s="1392" t="s">
        <v>809</v>
      </c>
      <c r="FW97" s="1392" t="s">
        <v>809</v>
      </c>
      <c r="FX97" s="1392" t="s">
        <v>809</v>
      </c>
      <c r="FY97" s="1392" t="s">
        <v>809</v>
      </c>
      <c r="FZ97" s="1392" t="s">
        <v>809</v>
      </c>
      <c r="GA97" s="1392" t="s">
        <v>809</v>
      </c>
      <c r="GB97" s="1392" t="s">
        <v>809</v>
      </c>
      <c r="GC97" s="1392" t="s">
        <v>809</v>
      </c>
      <c r="GD97" s="1392" t="s">
        <v>809</v>
      </c>
      <c r="GE97" s="1392" t="s">
        <v>809</v>
      </c>
      <c r="GF97" s="1392" t="s">
        <v>809</v>
      </c>
      <c r="GG97" s="1392" t="s">
        <v>809</v>
      </c>
      <c r="GH97" s="1392" t="s">
        <v>809</v>
      </c>
      <c r="GI97" s="1392" t="s">
        <v>809</v>
      </c>
      <c r="GJ97" s="1392" t="s">
        <v>809</v>
      </c>
      <c r="GK97" s="1392" t="s">
        <v>809</v>
      </c>
      <c r="GL97" s="1392" t="s">
        <v>809</v>
      </c>
      <c r="GM97" s="1392" t="s">
        <v>809</v>
      </c>
      <c r="GN97" s="1392" t="s">
        <v>809</v>
      </c>
      <c r="GO97" s="1392" t="s">
        <v>809</v>
      </c>
      <c r="GP97" s="1392" t="s">
        <v>809</v>
      </c>
      <c r="GQ97" s="1392" t="s">
        <v>809</v>
      </c>
      <c r="GR97" s="1392" t="s">
        <v>809</v>
      </c>
      <c r="GS97" s="1392" t="s">
        <v>809</v>
      </c>
      <c r="GT97" s="1392" t="s">
        <v>809</v>
      </c>
      <c r="GU97" s="1392" t="s">
        <v>809</v>
      </c>
      <c r="GV97" s="1392" t="s">
        <v>809</v>
      </c>
      <c r="GW97" s="1392" t="s">
        <v>809</v>
      </c>
      <c r="GX97" s="1392" t="s">
        <v>809</v>
      </c>
      <c r="GY97" s="1392" t="s">
        <v>809</v>
      </c>
      <c r="GZ97" s="1392" t="s">
        <v>809</v>
      </c>
      <c r="HA97" s="1392" t="s">
        <v>809</v>
      </c>
      <c r="HB97" s="1392" t="s">
        <v>809</v>
      </c>
      <c r="HC97" s="1392" t="s">
        <v>809</v>
      </c>
      <c r="HD97" s="1392" t="s">
        <v>809</v>
      </c>
      <c r="HE97" s="1392" t="s">
        <v>809</v>
      </c>
      <c r="HF97" s="1392" t="s">
        <v>809</v>
      </c>
      <c r="HG97" s="1392" t="s">
        <v>809</v>
      </c>
      <c r="HH97" s="1392" t="s">
        <v>809</v>
      </c>
      <c r="HI97" s="1392" t="s">
        <v>809</v>
      </c>
      <c r="HJ97" s="1392" t="s">
        <v>809</v>
      </c>
      <c r="HK97" s="1392" t="s">
        <v>809</v>
      </c>
      <c r="HL97" s="1392" t="s">
        <v>809</v>
      </c>
      <c r="HM97" s="1392" t="s">
        <v>809</v>
      </c>
      <c r="HN97" s="1392" t="s">
        <v>809</v>
      </c>
      <c r="HO97" s="1392" t="s">
        <v>809</v>
      </c>
      <c r="HP97" s="1392" t="s">
        <v>809</v>
      </c>
      <c r="HQ97" s="1392" t="s">
        <v>809</v>
      </c>
      <c r="HR97" s="1392" t="s">
        <v>809</v>
      </c>
      <c r="HS97" s="1392" t="s">
        <v>809</v>
      </c>
      <c r="HT97" s="1392" t="s">
        <v>809</v>
      </c>
      <c r="HU97" s="1392" t="s">
        <v>809</v>
      </c>
      <c r="HV97" s="1392" t="s">
        <v>809</v>
      </c>
      <c r="HW97" s="1392" t="s">
        <v>809</v>
      </c>
      <c r="HX97" s="1392" t="s">
        <v>809</v>
      </c>
      <c r="HY97" s="1392" t="s">
        <v>809</v>
      </c>
      <c r="HZ97" s="1392" t="s">
        <v>809</v>
      </c>
      <c r="IA97" s="1392" t="s">
        <v>809</v>
      </c>
      <c r="IB97" s="1392" t="s">
        <v>809</v>
      </c>
      <c r="IC97" s="1392" t="s">
        <v>809</v>
      </c>
      <c r="ID97" s="1392" t="s">
        <v>809</v>
      </c>
      <c r="IE97" s="1392" t="s">
        <v>809</v>
      </c>
      <c r="IF97" s="1392" t="s">
        <v>809</v>
      </c>
      <c r="IG97" s="1392" t="s">
        <v>809</v>
      </c>
      <c r="IH97" s="1392" t="s">
        <v>809</v>
      </c>
      <c r="II97" s="1392" t="s">
        <v>809</v>
      </c>
      <c r="IJ97" s="1392" t="s">
        <v>809</v>
      </c>
      <c r="IK97" s="1392" t="s">
        <v>809</v>
      </c>
      <c r="IL97" s="1392" t="s">
        <v>809</v>
      </c>
      <c r="IM97" s="1392" t="s">
        <v>809</v>
      </c>
      <c r="IN97" s="1392" t="s">
        <v>809</v>
      </c>
      <c r="IO97" s="1392" t="s">
        <v>809</v>
      </c>
      <c r="IP97" s="1392" t="s">
        <v>809</v>
      </c>
      <c r="IQ97" s="1392" t="s">
        <v>809</v>
      </c>
      <c r="IR97" s="1392" t="s">
        <v>809</v>
      </c>
      <c r="IS97" s="1392" t="s">
        <v>809</v>
      </c>
      <c r="IT97" s="1392" t="s">
        <v>809</v>
      </c>
      <c r="IU97" s="1392" t="s">
        <v>809</v>
      </c>
      <c r="IV97" s="1392" t="s">
        <v>809</v>
      </c>
      <c r="IW97" s="1392" t="s">
        <v>809</v>
      </c>
      <c r="IX97" s="1392" t="s">
        <v>809</v>
      </c>
      <c r="IY97" s="1392" t="s">
        <v>809</v>
      </c>
      <c r="IZ97" s="1392" t="s">
        <v>809</v>
      </c>
      <c r="JA97" s="1392" t="s">
        <v>809</v>
      </c>
      <c r="JB97" s="1392" t="s">
        <v>809</v>
      </c>
      <c r="JC97" s="1392" t="s">
        <v>809</v>
      </c>
      <c r="JD97" s="1392" t="s">
        <v>809</v>
      </c>
      <c r="JE97" s="1392" t="s">
        <v>809</v>
      </c>
      <c r="JF97" s="1392" t="s">
        <v>809</v>
      </c>
      <c r="JG97" s="1392" t="s">
        <v>809</v>
      </c>
      <c r="JH97" s="1392" t="s">
        <v>809</v>
      </c>
      <c r="JI97" s="1392" t="s">
        <v>809</v>
      </c>
      <c r="JJ97" s="1392" t="s">
        <v>809</v>
      </c>
      <c r="JK97" s="1392" t="s">
        <v>809</v>
      </c>
      <c r="JL97" s="1392" t="s">
        <v>809</v>
      </c>
      <c r="JM97" s="1392" t="s">
        <v>809</v>
      </c>
      <c r="JN97" s="1392" t="s">
        <v>809</v>
      </c>
      <c r="JO97" s="1392" t="s">
        <v>809</v>
      </c>
      <c r="JP97" s="1392" t="s">
        <v>809</v>
      </c>
      <c r="JQ97" s="1392" t="s">
        <v>809</v>
      </c>
      <c r="JR97" s="1392" t="s">
        <v>809</v>
      </c>
      <c r="JS97" s="1392" t="s">
        <v>809</v>
      </c>
      <c r="JT97" s="1392" t="s">
        <v>809</v>
      </c>
      <c r="JU97" s="1392" t="s">
        <v>809</v>
      </c>
      <c r="JV97" s="1392" t="s">
        <v>809</v>
      </c>
      <c r="JW97" s="1392" t="s">
        <v>809</v>
      </c>
      <c r="JX97" s="1392" t="s">
        <v>809</v>
      </c>
      <c r="JY97" s="1392" t="s">
        <v>809</v>
      </c>
      <c r="JZ97" s="1392" t="s">
        <v>809</v>
      </c>
      <c r="KA97" s="1392" t="s">
        <v>809</v>
      </c>
      <c r="KB97" s="1392" t="s">
        <v>809</v>
      </c>
      <c r="KC97" s="1392" t="s">
        <v>809</v>
      </c>
      <c r="KD97" s="1392" t="s">
        <v>809</v>
      </c>
      <c r="KE97" s="1392" t="s">
        <v>809</v>
      </c>
      <c r="KF97" s="1392" t="s">
        <v>809</v>
      </c>
      <c r="KG97" s="1392" t="s">
        <v>809</v>
      </c>
      <c r="KH97" s="1392" t="s">
        <v>809</v>
      </c>
      <c r="KI97" s="1392" t="s">
        <v>809</v>
      </c>
      <c r="KJ97" s="1392" t="s">
        <v>809</v>
      </c>
      <c r="KK97" s="1392" t="s">
        <v>809</v>
      </c>
      <c r="KL97" s="1392" t="s">
        <v>809</v>
      </c>
      <c r="KM97" s="1392" t="s">
        <v>809</v>
      </c>
      <c r="KN97" s="1392" t="s">
        <v>809</v>
      </c>
      <c r="KO97" s="1392" t="s">
        <v>809</v>
      </c>
      <c r="KP97" s="1392" t="s">
        <v>809</v>
      </c>
      <c r="KQ97" s="1392" t="s">
        <v>809</v>
      </c>
      <c r="KR97" s="1392" t="s">
        <v>809</v>
      </c>
      <c r="KS97" s="1392" t="s">
        <v>809</v>
      </c>
      <c r="KT97" s="1392" t="s">
        <v>809</v>
      </c>
      <c r="KU97" s="1392" t="s">
        <v>809</v>
      </c>
      <c r="KV97" s="1392" t="s">
        <v>809</v>
      </c>
      <c r="KW97" s="1392" t="s">
        <v>809</v>
      </c>
      <c r="KX97" s="1392" t="s">
        <v>809</v>
      </c>
      <c r="KY97" s="1392" t="s">
        <v>809</v>
      </c>
      <c r="KZ97" s="1392" t="s">
        <v>809</v>
      </c>
      <c r="LA97" s="1392" t="s">
        <v>809</v>
      </c>
      <c r="LB97" s="1392" t="s">
        <v>809</v>
      </c>
      <c r="LC97" s="1392" t="s">
        <v>809</v>
      </c>
      <c r="LD97" s="1392" t="s">
        <v>809</v>
      </c>
      <c r="LE97" s="1392" t="s">
        <v>809</v>
      </c>
      <c r="LF97" s="1392" t="s">
        <v>809</v>
      </c>
      <c r="LG97" s="1392" t="s">
        <v>809</v>
      </c>
      <c r="LH97" s="1392" t="s">
        <v>809</v>
      </c>
      <c r="LI97" s="1392" t="s">
        <v>809</v>
      </c>
      <c r="LJ97" s="1392" t="s">
        <v>809</v>
      </c>
      <c r="LK97" s="1392" t="s">
        <v>809</v>
      </c>
      <c r="LL97" s="1392" t="s">
        <v>809</v>
      </c>
      <c r="LM97" s="1392" t="s">
        <v>809</v>
      </c>
      <c r="LN97" s="1392" t="s">
        <v>809</v>
      </c>
      <c r="LO97" s="1392" t="s">
        <v>809</v>
      </c>
      <c r="LP97" s="1392" t="s">
        <v>809</v>
      </c>
      <c r="LQ97" s="1392" t="s">
        <v>809</v>
      </c>
      <c r="LR97" s="1392" t="s">
        <v>809</v>
      </c>
      <c r="LS97" s="1392" t="s">
        <v>809</v>
      </c>
      <c r="LT97" s="1392" t="s">
        <v>809</v>
      </c>
      <c r="LU97" s="1392" t="s">
        <v>809</v>
      </c>
      <c r="LV97" s="1392" t="s">
        <v>809</v>
      </c>
      <c r="LW97" s="1392" t="s">
        <v>809</v>
      </c>
      <c r="LX97" s="1392" t="s">
        <v>809</v>
      </c>
      <c r="LY97" s="1392" t="s">
        <v>809</v>
      </c>
      <c r="LZ97" s="1392" t="s">
        <v>809</v>
      </c>
      <c r="MA97" s="1392" t="s">
        <v>809</v>
      </c>
      <c r="MB97" s="1392" t="s">
        <v>809</v>
      </c>
      <c r="MC97" s="1392" t="s">
        <v>809</v>
      </c>
      <c r="MD97" s="1392" t="s">
        <v>809</v>
      </c>
      <c r="ME97" s="1392" t="s">
        <v>809</v>
      </c>
      <c r="MF97" s="1392" t="s">
        <v>809</v>
      </c>
      <c r="MG97" s="1392" t="s">
        <v>809</v>
      </c>
      <c r="MH97" s="1392" t="s">
        <v>809</v>
      </c>
      <c r="MI97" s="1392" t="s">
        <v>809</v>
      </c>
      <c r="MJ97" s="1392" t="s">
        <v>809</v>
      </c>
      <c r="MK97" s="1392" t="s">
        <v>809</v>
      </c>
      <c r="ML97" s="1392" t="s">
        <v>809</v>
      </c>
      <c r="MM97" s="1392" t="s">
        <v>809</v>
      </c>
      <c r="MN97" s="1392" t="s">
        <v>809</v>
      </c>
      <c r="MO97" s="1392" t="s">
        <v>809</v>
      </c>
      <c r="MP97" s="1392" t="s">
        <v>809</v>
      </c>
      <c r="MQ97" s="1392" t="s">
        <v>809</v>
      </c>
      <c r="MR97" s="1392" t="s">
        <v>809</v>
      </c>
      <c r="MS97" s="1392" t="s">
        <v>809</v>
      </c>
      <c r="MT97" s="1392" t="s">
        <v>809</v>
      </c>
      <c r="MU97" s="1392" t="s">
        <v>809</v>
      </c>
      <c r="MV97" s="1392" t="s">
        <v>809</v>
      </c>
      <c r="MW97" s="1392" t="s">
        <v>809</v>
      </c>
      <c r="MX97" s="1392" t="s">
        <v>809</v>
      </c>
      <c r="MY97" s="1392" t="s">
        <v>809</v>
      </c>
      <c r="MZ97" s="1392" t="s">
        <v>809</v>
      </c>
      <c r="NA97" s="1392" t="s">
        <v>809</v>
      </c>
      <c r="NB97" s="1392" t="s">
        <v>809</v>
      </c>
      <c r="NC97" s="1392" t="s">
        <v>809</v>
      </c>
      <c r="ND97" s="1392" t="s">
        <v>809</v>
      </c>
      <c r="NE97" s="1392" t="s">
        <v>809</v>
      </c>
      <c r="NF97" s="1392" t="s">
        <v>809</v>
      </c>
      <c r="NG97" s="1392" t="s">
        <v>809</v>
      </c>
      <c r="NH97" s="1392" t="s">
        <v>809</v>
      </c>
      <c r="NI97" s="1392" t="s">
        <v>809</v>
      </c>
      <c r="NJ97" s="1392" t="s">
        <v>809</v>
      </c>
      <c r="NK97" s="1392" t="s">
        <v>809</v>
      </c>
      <c r="NL97" s="1392" t="s">
        <v>809</v>
      </c>
      <c r="NM97" s="1392" t="s">
        <v>809</v>
      </c>
      <c r="NN97" s="1392" t="s">
        <v>809</v>
      </c>
      <c r="NO97" s="1392" t="s">
        <v>809</v>
      </c>
      <c r="NP97" s="1392" t="s">
        <v>809</v>
      </c>
      <c r="NQ97" s="1392" t="s">
        <v>809</v>
      </c>
      <c r="NR97" s="1392" t="s">
        <v>809</v>
      </c>
      <c r="NS97" s="1392" t="s">
        <v>809</v>
      </c>
      <c r="NT97" s="1392" t="s">
        <v>809</v>
      </c>
      <c r="NU97" s="1392" t="s">
        <v>809</v>
      </c>
      <c r="NV97" s="1392" t="s">
        <v>809</v>
      </c>
      <c r="NW97" s="1392" t="s">
        <v>809</v>
      </c>
      <c r="NX97" s="1392" t="s">
        <v>809</v>
      </c>
      <c r="NY97" s="1392" t="s">
        <v>809</v>
      </c>
      <c r="NZ97" s="1392" t="s">
        <v>809</v>
      </c>
      <c r="OA97" s="1392" t="s">
        <v>809</v>
      </c>
      <c r="OB97" s="1392" t="s">
        <v>809</v>
      </c>
      <c r="OC97" s="1392" t="s">
        <v>809</v>
      </c>
      <c r="OD97" s="1392" t="s">
        <v>809</v>
      </c>
      <c r="OE97" s="1392" t="s">
        <v>809</v>
      </c>
      <c r="OF97" s="1392" t="s">
        <v>809</v>
      </c>
      <c r="OG97" s="1392" t="s">
        <v>809</v>
      </c>
      <c r="OH97" s="1392" t="s">
        <v>809</v>
      </c>
      <c r="OI97" s="1392" t="s">
        <v>809</v>
      </c>
      <c r="OJ97" s="1392" t="s">
        <v>809</v>
      </c>
      <c r="OK97" s="1392" t="s">
        <v>809</v>
      </c>
      <c r="OL97" s="1392" t="s">
        <v>809</v>
      </c>
      <c r="OM97" s="1392" t="s">
        <v>809</v>
      </c>
      <c r="ON97" s="1392" t="s">
        <v>809</v>
      </c>
      <c r="OO97" s="1392" t="s">
        <v>809</v>
      </c>
      <c r="OP97" s="1392" t="s">
        <v>809</v>
      </c>
      <c r="OQ97" s="1392" t="s">
        <v>809</v>
      </c>
      <c r="OR97" s="1392" t="s">
        <v>809</v>
      </c>
      <c r="OS97" s="1392" t="s">
        <v>809</v>
      </c>
      <c r="OT97" s="1392" t="s">
        <v>809</v>
      </c>
      <c r="OU97" s="1392" t="s">
        <v>809</v>
      </c>
      <c r="OV97" s="1392" t="s">
        <v>809</v>
      </c>
      <c r="OW97" s="1392" t="s">
        <v>809</v>
      </c>
      <c r="OX97" s="1392" t="s">
        <v>809</v>
      </c>
      <c r="OY97" s="1392" t="s">
        <v>809</v>
      </c>
      <c r="OZ97" s="1392" t="s">
        <v>809</v>
      </c>
      <c r="PA97" s="1392" t="s">
        <v>809</v>
      </c>
      <c r="PB97" s="1392" t="s">
        <v>809</v>
      </c>
      <c r="PC97" s="1392" t="s">
        <v>809</v>
      </c>
      <c r="PD97" s="1392" t="s">
        <v>809</v>
      </c>
      <c r="PE97" s="1392" t="s">
        <v>809</v>
      </c>
      <c r="PF97" s="1392" t="s">
        <v>809</v>
      </c>
      <c r="PG97" s="1392" t="s">
        <v>809</v>
      </c>
      <c r="PH97" s="1392" t="s">
        <v>809</v>
      </c>
      <c r="PI97" s="1392" t="s">
        <v>809</v>
      </c>
      <c r="PJ97" s="1392" t="s">
        <v>809</v>
      </c>
      <c r="PK97" s="1392" t="s">
        <v>809</v>
      </c>
      <c r="PL97" s="1392" t="s">
        <v>809</v>
      </c>
      <c r="PM97" s="1392" t="s">
        <v>809</v>
      </c>
      <c r="PN97" s="1392" t="s">
        <v>809</v>
      </c>
      <c r="PO97" s="1392" t="s">
        <v>809</v>
      </c>
      <c r="PP97" s="1392" t="s">
        <v>809</v>
      </c>
      <c r="PQ97" s="1392" t="s">
        <v>809</v>
      </c>
      <c r="PR97" s="1392" t="s">
        <v>809</v>
      </c>
      <c r="PS97" s="1392" t="s">
        <v>809</v>
      </c>
      <c r="PT97" s="1392" t="s">
        <v>809</v>
      </c>
      <c r="PU97" s="1392" t="s">
        <v>809</v>
      </c>
      <c r="PV97" s="1392" t="s">
        <v>809</v>
      </c>
      <c r="PW97" s="1392" t="s">
        <v>809</v>
      </c>
      <c r="PX97" s="1392" t="s">
        <v>809</v>
      </c>
      <c r="PY97" s="1392" t="s">
        <v>809</v>
      </c>
      <c r="PZ97" s="1392" t="s">
        <v>809</v>
      </c>
      <c r="QA97" s="1392" t="s">
        <v>809</v>
      </c>
      <c r="QB97" s="1392" t="s">
        <v>809</v>
      </c>
      <c r="QC97" s="1392" t="s">
        <v>809</v>
      </c>
      <c r="QD97" s="1392" t="s">
        <v>809</v>
      </c>
      <c r="QE97" s="1392" t="s">
        <v>809</v>
      </c>
      <c r="QF97" s="1392" t="s">
        <v>809</v>
      </c>
      <c r="QG97" s="1392" t="s">
        <v>809</v>
      </c>
      <c r="QH97" s="1392" t="s">
        <v>809</v>
      </c>
      <c r="QI97" s="1392" t="s">
        <v>809</v>
      </c>
      <c r="QJ97" s="1392" t="s">
        <v>809</v>
      </c>
      <c r="QK97" s="1392" t="s">
        <v>809</v>
      </c>
      <c r="QL97" s="1392" t="s">
        <v>809</v>
      </c>
      <c r="QM97" s="1392" t="s">
        <v>809</v>
      </c>
      <c r="QN97" s="1392" t="s">
        <v>809</v>
      </c>
      <c r="QO97" s="1392" t="s">
        <v>809</v>
      </c>
      <c r="QP97" s="1392" t="s">
        <v>809</v>
      </c>
      <c r="QQ97" s="1392" t="s">
        <v>809</v>
      </c>
      <c r="QR97" s="1392" t="s">
        <v>809</v>
      </c>
      <c r="QS97" s="1392" t="s">
        <v>809</v>
      </c>
      <c r="QT97" s="1392" t="s">
        <v>809</v>
      </c>
      <c r="QU97" s="1392" t="s">
        <v>809</v>
      </c>
      <c r="QV97" s="1392" t="s">
        <v>809</v>
      </c>
      <c r="QW97" s="1392" t="s">
        <v>809</v>
      </c>
      <c r="QX97" s="1392" t="s">
        <v>809</v>
      </c>
      <c r="QY97" s="1392" t="s">
        <v>809</v>
      </c>
      <c r="QZ97" s="1392" t="s">
        <v>809</v>
      </c>
      <c r="RA97" s="1392" t="s">
        <v>809</v>
      </c>
      <c r="RB97" s="1392" t="s">
        <v>809</v>
      </c>
      <c r="RC97" s="1392" t="s">
        <v>809</v>
      </c>
      <c r="RD97" s="1392" t="s">
        <v>809</v>
      </c>
      <c r="RE97" s="1392" t="s">
        <v>809</v>
      </c>
      <c r="RF97" s="1392" t="s">
        <v>809</v>
      </c>
      <c r="RG97" s="1392" t="s">
        <v>809</v>
      </c>
      <c r="RH97" s="1392" t="s">
        <v>809</v>
      </c>
      <c r="RI97" s="1392" t="s">
        <v>809</v>
      </c>
      <c r="RJ97" s="1392" t="s">
        <v>809</v>
      </c>
      <c r="RK97" s="1392" t="s">
        <v>809</v>
      </c>
      <c r="RL97" s="1392" t="s">
        <v>809</v>
      </c>
      <c r="RM97" s="1392" t="s">
        <v>809</v>
      </c>
      <c r="RN97" s="1392" t="s">
        <v>809</v>
      </c>
      <c r="RO97" s="1392" t="s">
        <v>809</v>
      </c>
      <c r="RP97" s="1392" t="s">
        <v>809</v>
      </c>
      <c r="RQ97" s="1392" t="s">
        <v>809</v>
      </c>
      <c r="RR97" s="1392" t="s">
        <v>809</v>
      </c>
      <c r="RS97" s="1392" t="s">
        <v>809</v>
      </c>
      <c r="RT97" s="1392" t="s">
        <v>809</v>
      </c>
      <c r="RU97" s="1392" t="s">
        <v>809</v>
      </c>
      <c r="RV97" s="1392" t="s">
        <v>809</v>
      </c>
      <c r="RW97" s="1392" t="s">
        <v>809</v>
      </c>
      <c r="RX97" s="1392" t="s">
        <v>809</v>
      </c>
      <c r="RY97" s="1392" t="s">
        <v>809</v>
      </c>
      <c r="RZ97" s="1392" t="s">
        <v>809</v>
      </c>
      <c r="SA97" s="1392" t="s">
        <v>809</v>
      </c>
      <c r="SB97" s="1392" t="s">
        <v>809</v>
      </c>
      <c r="SC97" s="1392" t="s">
        <v>809</v>
      </c>
      <c r="SD97" s="1392" t="s">
        <v>809</v>
      </c>
      <c r="SE97" s="1392" t="s">
        <v>809</v>
      </c>
      <c r="SF97" s="1392" t="s">
        <v>809</v>
      </c>
      <c r="SG97" s="1392" t="s">
        <v>809</v>
      </c>
      <c r="SH97" s="1392" t="s">
        <v>809</v>
      </c>
      <c r="SI97" s="1392" t="s">
        <v>809</v>
      </c>
      <c r="SJ97" s="1392" t="s">
        <v>809</v>
      </c>
      <c r="SK97" s="1392" t="s">
        <v>809</v>
      </c>
      <c r="SL97" s="1392" t="s">
        <v>809</v>
      </c>
      <c r="SM97" s="1392" t="s">
        <v>809</v>
      </c>
      <c r="SN97" s="1392" t="s">
        <v>809</v>
      </c>
      <c r="SO97" s="1392" t="s">
        <v>809</v>
      </c>
      <c r="SP97" s="1392" t="s">
        <v>809</v>
      </c>
      <c r="SQ97" s="1392" t="s">
        <v>809</v>
      </c>
      <c r="SR97" s="1392" t="s">
        <v>809</v>
      </c>
      <c r="SS97" s="1392" t="s">
        <v>809</v>
      </c>
      <c r="ST97" s="1392" t="s">
        <v>809</v>
      </c>
      <c r="SU97" s="1392" t="s">
        <v>809</v>
      </c>
      <c r="SV97" s="1392" t="s">
        <v>809</v>
      </c>
      <c r="SW97" s="1392" t="s">
        <v>809</v>
      </c>
      <c r="SX97" s="1392" t="s">
        <v>809</v>
      </c>
      <c r="SY97" s="1392" t="s">
        <v>809</v>
      </c>
      <c r="SZ97" s="1392" t="s">
        <v>809</v>
      </c>
      <c r="TA97" s="1392" t="s">
        <v>809</v>
      </c>
      <c r="TB97" s="1392" t="s">
        <v>809</v>
      </c>
      <c r="TC97" s="1392" t="s">
        <v>809</v>
      </c>
      <c r="TD97" s="1392" t="s">
        <v>809</v>
      </c>
      <c r="TE97" s="1392" t="s">
        <v>809</v>
      </c>
      <c r="TF97" s="1392" t="s">
        <v>809</v>
      </c>
      <c r="TG97" s="1392" t="s">
        <v>809</v>
      </c>
      <c r="TH97" s="1392" t="s">
        <v>809</v>
      </c>
      <c r="TI97" s="1392" t="s">
        <v>809</v>
      </c>
      <c r="TJ97" s="1392" t="s">
        <v>809</v>
      </c>
      <c r="TK97" s="1392" t="s">
        <v>809</v>
      </c>
      <c r="TL97" s="1392" t="s">
        <v>809</v>
      </c>
      <c r="TM97" s="1392" t="s">
        <v>809</v>
      </c>
      <c r="TN97" s="1392" t="s">
        <v>809</v>
      </c>
      <c r="TO97" s="1392" t="s">
        <v>809</v>
      </c>
      <c r="TP97" s="1392" t="s">
        <v>809</v>
      </c>
      <c r="TQ97" s="1392" t="s">
        <v>809</v>
      </c>
      <c r="TR97" s="1392" t="s">
        <v>809</v>
      </c>
      <c r="TS97" s="1392" t="s">
        <v>809</v>
      </c>
      <c r="TT97" s="1392" t="s">
        <v>809</v>
      </c>
      <c r="TU97" s="1392" t="s">
        <v>809</v>
      </c>
      <c r="TV97" s="1392" t="s">
        <v>809</v>
      </c>
      <c r="TW97" s="1392" t="s">
        <v>809</v>
      </c>
      <c r="TX97" s="1392" t="s">
        <v>809</v>
      </c>
      <c r="TY97" s="1392" t="s">
        <v>809</v>
      </c>
      <c r="TZ97" s="1392" t="s">
        <v>809</v>
      </c>
      <c r="UA97" s="1392" t="s">
        <v>809</v>
      </c>
      <c r="UB97" s="1392" t="s">
        <v>809</v>
      </c>
      <c r="UC97" s="1392" t="s">
        <v>809</v>
      </c>
      <c r="UD97" s="1392" t="s">
        <v>809</v>
      </c>
      <c r="UE97" s="1392" t="s">
        <v>809</v>
      </c>
      <c r="UF97" s="1392" t="s">
        <v>809</v>
      </c>
      <c r="UG97" s="1392" t="s">
        <v>809</v>
      </c>
      <c r="UH97" s="1392" t="s">
        <v>809</v>
      </c>
      <c r="UI97" s="1392" t="s">
        <v>809</v>
      </c>
      <c r="UJ97" s="1392" t="s">
        <v>809</v>
      </c>
      <c r="UK97" s="1392" t="s">
        <v>809</v>
      </c>
      <c r="UL97" s="1392" t="s">
        <v>809</v>
      </c>
      <c r="UM97" s="1392" t="s">
        <v>809</v>
      </c>
      <c r="UN97" s="1392" t="s">
        <v>809</v>
      </c>
      <c r="UO97" s="1392" t="s">
        <v>809</v>
      </c>
      <c r="UP97" s="1392" t="s">
        <v>809</v>
      </c>
      <c r="UQ97" s="1392" t="s">
        <v>809</v>
      </c>
      <c r="UR97" s="1392" t="s">
        <v>809</v>
      </c>
      <c r="US97" s="1392" t="s">
        <v>809</v>
      </c>
      <c r="UT97" s="1392" t="s">
        <v>809</v>
      </c>
      <c r="UU97" s="1392" t="s">
        <v>809</v>
      </c>
      <c r="UV97" s="1392" t="s">
        <v>809</v>
      </c>
      <c r="UW97" s="1392" t="s">
        <v>809</v>
      </c>
      <c r="UX97" s="1392" t="s">
        <v>809</v>
      </c>
      <c r="UY97" s="1392" t="s">
        <v>809</v>
      </c>
      <c r="UZ97" s="1392" t="s">
        <v>809</v>
      </c>
      <c r="VA97" s="1392" t="s">
        <v>809</v>
      </c>
      <c r="VB97" s="1392" t="s">
        <v>809</v>
      </c>
      <c r="VC97" s="1392" t="s">
        <v>809</v>
      </c>
      <c r="VD97" s="1392" t="s">
        <v>809</v>
      </c>
      <c r="VE97" s="1392" t="s">
        <v>809</v>
      </c>
      <c r="VF97" s="1392" t="s">
        <v>809</v>
      </c>
      <c r="VG97" s="1392" t="s">
        <v>809</v>
      </c>
      <c r="VH97" s="1392" t="s">
        <v>809</v>
      </c>
      <c r="VI97" s="1392" t="s">
        <v>809</v>
      </c>
      <c r="VJ97" s="1392" t="s">
        <v>809</v>
      </c>
      <c r="VK97" s="1392" t="s">
        <v>809</v>
      </c>
      <c r="VL97" s="1392" t="s">
        <v>809</v>
      </c>
      <c r="VM97" s="1392" t="s">
        <v>809</v>
      </c>
      <c r="VN97" s="1392" t="s">
        <v>809</v>
      </c>
      <c r="VO97" s="1392" t="s">
        <v>809</v>
      </c>
      <c r="VP97" s="1392" t="s">
        <v>809</v>
      </c>
      <c r="VQ97" s="1392" t="s">
        <v>809</v>
      </c>
      <c r="VR97" s="1392" t="s">
        <v>809</v>
      </c>
      <c r="VS97" s="1392" t="s">
        <v>809</v>
      </c>
      <c r="VT97" s="1392" t="s">
        <v>809</v>
      </c>
      <c r="VU97" s="1392" t="s">
        <v>809</v>
      </c>
      <c r="VV97" s="1392" t="s">
        <v>809</v>
      </c>
      <c r="VW97" s="1392" t="s">
        <v>809</v>
      </c>
      <c r="VX97" s="1392" t="s">
        <v>809</v>
      </c>
      <c r="VY97" s="1392" t="s">
        <v>809</v>
      </c>
      <c r="VZ97" s="1392" t="s">
        <v>809</v>
      </c>
      <c r="WA97" s="1392" t="s">
        <v>809</v>
      </c>
      <c r="WB97" s="1392" t="s">
        <v>809</v>
      </c>
      <c r="WC97" s="1392" t="s">
        <v>809</v>
      </c>
      <c r="WD97" s="1392" t="s">
        <v>809</v>
      </c>
      <c r="WE97" s="1392" t="s">
        <v>809</v>
      </c>
      <c r="WF97" s="1392" t="s">
        <v>809</v>
      </c>
      <c r="WG97" s="1392" t="s">
        <v>809</v>
      </c>
      <c r="WH97" s="1392" t="s">
        <v>809</v>
      </c>
      <c r="WI97" s="1392" t="s">
        <v>809</v>
      </c>
      <c r="WJ97" s="1392" t="s">
        <v>809</v>
      </c>
      <c r="WK97" s="1392" t="s">
        <v>809</v>
      </c>
      <c r="WL97" s="1392" t="s">
        <v>809</v>
      </c>
      <c r="WM97" s="1392" t="s">
        <v>809</v>
      </c>
      <c r="WN97" s="1392" t="s">
        <v>809</v>
      </c>
      <c r="WO97" s="1392" t="s">
        <v>809</v>
      </c>
      <c r="WP97" s="1392" t="s">
        <v>809</v>
      </c>
      <c r="WQ97" s="1392" t="s">
        <v>809</v>
      </c>
      <c r="WR97" s="1392" t="s">
        <v>809</v>
      </c>
      <c r="WS97" s="1392" t="s">
        <v>809</v>
      </c>
      <c r="WT97" s="1392" t="s">
        <v>809</v>
      </c>
      <c r="WU97" s="1392" t="s">
        <v>809</v>
      </c>
      <c r="WV97" s="1392" t="s">
        <v>809</v>
      </c>
      <c r="WW97" s="1392" t="s">
        <v>809</v>
      </c>
      <c r="WX97" s="1392" t="s">
        <v>809</v>
      </c>
      <c r="WY97" s="1392" t="s">
        <v>809</v>
      </c>
      <c r="WZ97" s="1392" t="s">
        <v>809</v>
      </c>
      <c r="XA97" s="1392" t="s">
        <v>809</v>
      </c>
      <c r="XB97" s="1392" t="s">
        <v>809</v>
      </c>
      <c r="XC97" s="1392" t="s">
        <v>809</v>
      </c>
      <c r="XD97" s="1392" t="s">
        <v>809</v>
      </c>
      <c r="XE97" s="1392" t="s">
        <v>809</v>
      </c>
      <c r="XF97" s="1392" t="s">
        <v>809</v>
      </c>
      <c r="XG97" s="1392" t="s">
        <v>809</v>
      </c>
      <c r="XH97" s="1392" t="s">
        <v>809</v>
      </c>
      <c r="XI97" s="1392" t="s">
        <v>809</v>
      </c>
      <c r="XJ97" s="1392" t="s">
        <v>809</v>
      </c>
      <c r="XK97" s="1392" t="s">
        <v>809</v>
      </c>
      <c r="XL97" s="1392" t="s">
        <v>809</v>
      </c>
      <c r="XM97" s="1392" t="s">
        <v>809</v>
      </c>
      <c r="XN97" s="1392" t="s">
        <v>809</v>
      </c>
      <c r="XO97" s="1392" t="s">
        <v>809</v>
      </c>
      <c r="XP97" s="1392" t="s">
        <v>809</v>
      </c>
      <c r="XQ97" s="1392" t="s">
        <v>809</v>
      </c>
      <c r="XR97" s="1392" t="s">
        <v>809</v>
      </c>
      <c r="XS97" s="1392" t="s">
        <v>809</v>
      </c>
      <c r="XT97" s="1392" t="s">
        <v>809</v>
      </c>
      <c r="XU97" s="1392" t="s">
        <v>809</v>
      </c>
      <c r="XV97" s="1392" t="s">
        <v>809</v>
      </c>
      <c r="XW97" s="1392" t="s">
        <v>809</v>
      </c>
      <c r="XX97" s="1392" t="s">
        <v>809</v>
      </c>
      <c r="XY97" s="1392" t="s">
        <v>809</v>
      </c>
      <c r="XZ97" s="1392" t="s">
        <v>809</v>
      </c>
      <c r="YA97" s="1392" t="s">
        <v>809</v>
      </c>
      <c r="YB97" s="1392" t="s">
        <v>809</v>
      </c>
      <c r="YC97" s="1392" t="s">
        <v>809</v>
      </c>
      <c r="YD97" s="1392" t="s">
        <v>809</v>
      </c>
      <c r="YE97" s="1392" t="s">
        <v>809</v>
      </c>
      <c r="YF97" s="1392" t="s">
        <v>809</v>
      </c>
      <c r="YG97" s="1392" t="s">
        <v>809</v>
      </c>
      <c r="YH97" s="1392" t="s">
        <v>809</v>
      </c>
      <c r="YI97" s="1392" t="s">
        <v>809</v>
      </c>
      <c r="YJ97" s="1392" t="s">
        <v>809</v>
      </c>
      <c r="YK97" s="1392" t="s">
        <v>809</v>
      </c>
      <c r="YL97" s="1392" t="s">
        <v>809</v>
      </c>
      <c r="YM97" s="1392" t="s">
        <v>809</v>
      </c>
      <c r="YN97" s="1392" t="s">
        <v>809</v>
      </c>
      <c r="YO97" s="1392" t="s">
        <v>809</v>
      </c>
      <c r="YP97" s="1392" t="s">
        <v>809</v>
      </c>
      <c r="YQ97" s="1392" t="s">
        <v>809</v>
      </c>
      <c r="YR97" s="1392" t="s">
        <v>809</v>
      </c>
      <c r="YS97" s="1392" t="s">
        <v>809</v>
      </c>
      <c r="YT97" s="1392" t="s">
        <v>809</v>
      </c>
      <c r="YU97" s="1392" t="s">
        <v>809</v>
      </c>
      <c r="YV97" s="1392" t="s">
        <v>809</v>
      </c>
      <c r="YW97" s="1392" t="s">
        <v>809</v>
      </c>
      <c r="YX97" s="1392" t="s">
        <v>809</v>
      </c>
      <c r="YY97" s="1392" t="s">
        <v>809</v>
      </c>
      <c r="YZ97" s="1392" t="s">
        <v>809</v>
      </c>
      <c r="ZA97" s="1392" t="s">
        <v>809</v>
      </c>
      <c r="ZB97" s="1392" t="s">
        <v>809</v>
      </c>
      <c r="ZC97" s="1392" t="s">
        <v>809</v>
      </c>
      <c r="ZD97" s="1392" t="s">
        <v>809</v>
      </c>
      <c r="ZE97" s="1392" t="s">
        <v>809</v>
      </c>
      <c r="ZF97" s="1392" t="s">
        <v>809</v>
      </c>
      <c r="ZG97" s="1392" t="s">
        <v>809</v>
      </c>
      <c r="ZH97" s="1392" t="s">
        <v>809</v>
      </c>
      <c r="ZI97" s="1392" t="s">
        <v>809</v>
      </c>
      <c r="ZJ97" s="1392" t="s">
        <v>809</v>
      </c>
      <c r="ZK97" s="1392" t="s">
        <v>809</v>
      </c>
      <c r="ZL97" s="1392" t="s">
        <v>809</v>
      </c>
      <c r="ZM97" s="1392" t="s">
        <v>809</v>
      </c>
      <c r="ZN97" s="1392" t="s">
        <v>809</v>
      </c>
      <c r="ZO97" s="1392" t="s">
        <v>809</v>
      </c>
      <c r="ZP97" s="1392" t="s">
        <v>809</v>
      </c>
      <c r="ZQ97" s="1392" t="s">
        <v>809</v>
      </c>
      <c r="ZR97" s="1392" t="s">
        <v>809</v>
      </c>
      <c r="ZS97" s="1392" t="s">
        <v>809</v>
      </c>
      <c r="ZT97" s="1392" t="s">
        <v>809</v>
      </c>
      <c r="ZU97" s="1392" t="s">
        <v>809</v>
      </c>
      <c r="ZV97" s="1392" t="s">
        <v>809</v>
      </c>
      <c r="ZW97" s="1392" t="s">
        <v>809</v>
      </c>
      <c r="ZX97" s="1392" t="s">
        <v>809</v>
      </c>
      <c r="ZY97" s="1392" t="s">
        <v>809</v>
      </c>
      <c r="ZZ97" s="1392" t="s">
        <v>809</v>
      </c>
      <c r="AAA97" s="1392" t="s">
        <v>809</v>
      </c>
      <c r="AAB97" s="1392" t="s">
        <v>809</v>
      </c>
      <c r="AAC97" s="1392" t="s">
        <v>809</v>
      </c>
      <c r="AAD97" s="1392" t="s">
        <v>809</v>
      </c>
      <c r="AAE97" s="1392" t="s">
        <v>809</v>
      </c>
      <c r="AAF97" s="1392" t="s">
        <v>809</v>
      </c>
      <c r="AAG97" s="1392" t="s">
        <v>809</v>
      </c>
      <c r="AAH97" s="1392" t="s">
        <v>809</v>
      </c>
      <c r="AAI97" s="1392" t="s">
        <v>809</v>
      </c>
      <c r="AAJ97" s="1392" t="s">
        <v>809</v>
      </c>
      <c r="AAK97" s="1392" t="s">
        <v>809</v>
      </c>
      <c r="AAL97" s="1392" t="s">
        <v>809</v>
      </c>
      <c r="AAM97" s="1392" t="s">
        <v>809</v>
      </c>
      <c r="AAN97" s="1392" t="s">
        <v>809</v>
      </c>
      <c r="AAO97" s="1392" t="s">
        <v>809</v>
      </c>
      <c r="AAP97" s="1392" t="s">
        <v>809</v>
      </c>
      <c r="AAQ97" s="1392" t="s">
        <v>809</v>
      </c>
      <c r="AAR97" s="1392" t="s">
        <v>809</v>
      </c>
      <c r="AAS97" s="1392" t="s">
        <v>809</v>
      </c>
      <c r="AAT97" s="1392" t="s">
        <v>809</v>
      </c>
      <c r="AAU97" s="1392" t="s">
        <v>809</v>
      </c>
      <c r="AAV97" s="1392" t="s">
        <v>809</v>
      </c>
      <c r="AAW97" s="1392" t="s">
        <v>809</v>
      </c>
      <c r="AAX97" s="1392" t="s">
        <v>809</v>
      </c>
      <c r="AAY97" s="1392" t="s">
        <v>809</v>
      </c>
      <c r="AAZ97" s="1392" t="s">
        <v>809</v>
      </c>
      <c r="ABA97" s="1392" t="s">
        <v>809</v>
      </c>
      <c r="ABB97" s="1392" t="s">
        <v>809</v>
      </c>
      <c r="ABC97" s="1392" t="s">
        <v>809</v>
      </c>
      <c r="ABD97" s="1392" t="s">
        <v>809</v>
      </c>
      <c r="ABE97" s="1392" t="s">
        <v>809</v>
      </c>
      <c r="ABF97" s="1392" t="s">
        <v>809</v>
      </c>
      <c r="ABG97" s="1392" t="s">
        <v>809</v>
      </c>
      <c r="ABH97" s="1392" t="s">
        <v>809</v>
      </c>
      <c r="ABI97" s="1392" t="s">
        <v>809</v>
      </c>
      <c r="ABJ97" s="1392" t="s">
        <v>809</v>
      </c>
      <c r="ABK97" s="1392" t="s">
        <v>809</v>
      </c>
      <c r="ABL97" s="1392" t="s">
        <v>809</v>
      </c>
      <c r="ABM97" s="1392" t="s">
        <v>809</v>
      </c>
      <c r="ABN97" s="1392" t="s">
        <v>809</v>
      </c>
      <c r="ABO97" s="1392" t="s">
        <v>809</v>
      </c>
      <c r="ABP97" s="1392" t="s">
        <v>809</v>
      </c>
      <c r="ABQ97" s="1392" t="s">
        <v>809</v>
      </c>
      <c r="ABR97" s="1392" t="s">
        <v>809</v>
      </c>
      <c r="ABS97" s="1392" t="s">
        <v>809</v>
      </c>
      <c r="ABT97" s="1392" t="s">
        <v>809</v>
      </c>
      <c r="ABU97" s="1392" t="s">
        <v>809</v>
      </c>
      <c r="ABV97" s="1392" t="s">
        <v>809</v>
      </c>
      <c r="ABW97" s="1392" t="s">
        <v>809</v>
      </c>
      <c r="ABX97" s="1392" t="s">
        <v>809</v>
      </c>
      <c r="ABY97" s="1392" t="s">
        <v>809</v>
      </c>
      <c r="ABZ97" s="1392" t="s">
        <v>809</v>
      </c>
      <c r="ACA97" s="1392" t="s">
        <v>809</v>
      </c>
      <c r="ACB97" s="1392" t="s">
        <v>809</v>
      </c>
      <c r="ACC97" s="1392" t="s">
        <v>809</v>
      </c>
      <c r="ACD97" s="1392" t="s">
        <v>809</v>
      </c>
      <c r="ACE97" s="1392" t="s">
        <v>809</v>
      </c>
      <c r="ACF97" s="1392" t="s">
        <v>809</v>
      </c>
      <c r="ACG97" s="1392" t="s">
        <v>809</v>
      </c>
      <c r="ACH97" s="1392" t="s">
        <v>809</v>
      </c>
      <c r="ACI97" s="1392" t="s">
        <v>809</v>
      </c>
      <c r="ACJ97" s="1392" t="s">
        <v>809</v>
      </c>
      <c r="ACK97" s="1392" t="s">
        <v>809</v>
      </c>
      <c r="ACL97" s="1392" t="s">
        <v>809</v>
      </c>
      <c r="ACM97" s="1392" t="s">
        <v>809</v>
      </c>
      <c r="ACN97" s="1392" t="s">
        <v>809</v>
      </c>
      <c r="ACO97" s="1392" t="s">
        <v>809</v>
      </c>
      <c r="ACP97" s="1392" t="s">
        <v>809</v>
      </c>
      <c r="ACQ97" s="1392" t="s">
        <v>809</v>
      </c>
      <c r="ACR97" s="1392" t="s">
        <v>809</v>
      </c>
      <c r="ACS97" s="1392" t="s">
        <v>809</v>
      </c>
      <c r="ACT97" s="1392" t="s">
        <v>809</v>
      </c>
      <c r="ACU97" s="1392" t="s">
        <v>809</v>
      </c>
      <c r="ACV97" s="1392" t="s">
        <v>809</v>
      </c>
      <c r="ACW97" s="1392" t="s">
        <v>809</v>
      </c>
      <c r="ACX97" s="1392" t="s">
        <v>809</v>
      </c>
      <c r="ACY97" s="1392" t="s">
        <v>809</v>
      </c>
      <c r="ACZ97" s="1392" t="s">
        <v>809</v>
      </c>
      <c r="ADA97" s="1392" t="s">
        <v>809</v>
      </c>
      <c r="ADB97" s="1392" t="s">
        <v>809</v>
      </c>
      <c r="ADC97" s="1392" t="s">
        <v>809</v>
      </c>
      <c r="ADD97" s="1392" t="s">
        <v>809</v>
      </c>
      <c r="ADE97" s="1392" t="s">
        <v>809</v>
      </c>
      <c r="ADF97" s="1392" t="s">
        <v>809</v>
      </c>
      <c r="ADG97" s="1392" t="s">
        <v>809</v>
      </c>
      <c r="ADH97" s="1392" t="s">
        <v>809</v>
      </c>
      <c r="ADI97" s="1392" t="s">
        <v>809</v>
      </c>
      <c r="ADJ97" s="1392" t="s">
        <v>809</v>
      </c>
      <c r="ADK97" s="1392" t="s">
        <v>809</v>
      </c>
      <c r="ADL97" s="1392" t="s">
        <v>809</v>
      </c>
      <c r="ADM97" s="1392" t="s">
        <v>809</v>
      </c>
      <c r="ADN97" s="1392" t="s">
        <v>809</v>
      </c>
      <c r="ADO97" s="1392" t="s">
        <v>809</v>
      </c>
      <c r="ADP97" s="1392" t="s">
        <v>809</v>
      </c>
      <c r="ADQ97" s="1392" t="s">
        <v>809</v>
      </c>
      <c r="ADR97" s="1392" t="s">
        <v>809</v>
      </c>
      <c r="ADS97" s="1392" t="s">
        <v>809</v>
      </c>
      <c r="ADT97" s="1392" t="s">
        <v>809</v>
      </c>
      <c r="ADU97" s="1392" t="s">
        <v>809</v>
      </c>
      <c r="ADV97" s="1392" t="s">
        <v>809</v>
      </c>
      <c r="ADW97" s="1392" t="s">
        <v>809</v>
      </c>
      <c r="ADX97" s="1392" t="s">
        <v>809</v>
      </c>
      <c r="ADY97" s="1392" t="s">
        <v>809</v>
      </c>
      <c r="ADZ97" s="1392" t="s">
        <v>809</v>
      </c>
      <c r="AEA97" s="1392" t="s">
        <v>809</v>
      </c>
      <c r="AEB97" s="1392" t="s">
        <v>809</v>
      </c>
      <c r="AEC97" s="1392" t="s">
        <v>809</v>
      </c>
      <c r="AED97" s="1392" t="s">
        <v>809</v>
      </c>
      <c r="AEE97" s="1392" t="s">
        <v>809</v>
      </c>
      <c r="AEF97" s="1392" t="s">
        <v>809</v>
      </c>
      <c r="AEG97" s="1392" t="s">
        <v>809</v>
      </c>
      <c r="AEH97" s="1392" t="s">
        <v>809</v>
      </c>
      <c r="AEI97" s="1392" t="s">
        <v>809</v>
      </c>
      <c r="AEJ97" s="1392" t="s">
        <v>809</v>
      </c>
      <c r="AEK97" s="1392" t="s">
        <v>809</v>
      </c>
      <c r="AEL97" s="1392" t="s">
        <v>809</v>
      </c>
      <c r="AEM97" s="1392" t="s">
        <v>809</v>
      </c>
      <c r="AEN97" s="1392" t="s">
        <v>809</v>
      </c>
      <c r="AEO97" s="1392" t="s">
        <v>809</v>
      </c>
      <c r="AEP97" s="1392" t="s">
        <v>809</v>
      </c>
      <c r="AEQ97" s="1392" t="s">
        <v>809</v>
      </c>
      <c r="AER97" s="1392" t="s">
        <v>809</v>
      </c>
      <c r="AES97" s="1392" t="s">
        <v>809</v>
      </c>
      <c r="AET97" s="1392" t="s">
        <v>809</v>
      </c>
      <c r="AEU97" s="1392" t="s">
        <v>809</v>
      </c>
      <c r="AEV97" s="1392" t="s">
        <v>809</v>
      </c>
      <c r="AEW97" s="1392" t="s">
        <v>809</v>
      </c>
      <c r="AEX97" s="1392" t="s">
        <v>809</v>
      </c>
      <c r="AEY97" s="1392" t="s">
        <v>809</v>
      </c>
      <c r="AEZ97" s="1392" t="s">
        <v>809</v>
      </c>
      <c r="AFA97" s="1392" t="s">
        <v>809</v>
      </c>
      <c r="AFB97" s="1392" t="s">
        <v>809</v>
      </c>
      <c r="AFC97" s="1392" t="s">
        <v>809</v>
      </c>
      <c r="AFD97" s="1392" t="s">
        <v>809</v>
      </c>
      <c r="AFE97" s="1392" t="s">
        <v>809</v>
      </c>
      <c r="AFF97" s="1392" t="s">
        <v>809</v>
      </c>
      <c r="AFG97" s="1392" t="s">
        <v>809</v>
      </c>
      <c r="AFH97" s="1392" t="s">
        <v>809</v>
      </c>
      <c r="AFI97" s="1392" t="s">
        <v>809</v>
      </c>
      <c r="AFJ97" s="1392" t="s">
        <v>809</v>
      </c>
      <c r="AFK97" s="1392" t="s">
        <v>809</v>
      </c>
      <c r="AFL97" s="1392" t="s">
        <v>809</v>
      </c>
      <c r="AFM97" s="1392" t="s">
        <v>809</v>
      </c>
      <c r="AFN97" s="1392" t="s">
        <v>809</v>
      </c>
      <c r="AFO97" s="1392" t="s">
        <v>809</v>
      </c>
      <c r="AFP97" s="1392" t="s">
        <v>809</v>
      </c>
      <c r="AFQ97" s="1392" t="s">
        <v>809</v>
      </c>
      <c r="AFR97" s="1392" t="s">
        <v>809</v>
      </c>
      <c r="AFS97" s="1392" t="s">
        <v>809</v>
      </c>
      <c r="AFT97" s="1392" t="s">
        <v>809</v>
      </c>
      <c r="AFU97" s="1392" t="s">
        <v>809</v>
      </c>
      <c r="AFV97" s="1392" t="s">
        <v>809</v>
      </c>
      <c r="AFW97" s="1392" t="s">
        <v>809</v>
      </c>
      <c r="AFX97" s="1392" t="s">
        <v>809</v>
      </c>
      <c r="AFY97" s="1392" t="s">
        <v>809</v>
      </c>
      <c r="AFZ97" s="1392" t="s">
        <v>809</v>
      </c>
      <c r="AGA97" s="1392" t="s">
        <v>809</v>
      </c>
      <c r="AGB97" s="1392" t="s">
        <v>809</v>
      </c>
      <c r="AGC97" s="1392" t="s">
        <v>809</v>
      </c>
      <c r="AGD97" s="1392" t="s">
        <v>809</v>
      </c>
      <c r="AGE97" s="1392" t="s">
        <v>809</v>
      </c>
      <c r="AGF97" s="1392" t="s">
        <v>809</v>
      </c>
      <c r="AGG97" s="1392" t="s">
        <v>809</v>
      </c>
      <c r="AGH97" s="1392" t="s">
        <v>809</v>
      </c>
      <c r="AGI97" s="1392" t="s">
        <v>809</v>
      </c>
      <c r="AGJ97" s="1392" t="s">
        <v>809</v>
      </c>
      <c r="AGK97" s="1392" t="s">
        <v>809</v>
      </c>
      <c r="AGL97" s="1392" t="s">
        <v>809</v>
      </c>
      <c r="AGM97" s="1392" t="s">
        <v>809</v>
      </c>
      <c r="AGN97" s="1392" t="s">
        <v>809</v>
      </c>
      <c r="AGO97" s="1392" t="s">
        <v>809</v>
      </c>
      <c r="AGP97" s="1392" t="s">
        <v>809</v>
      </c>
      <c r="AGQ97" s="1392" t="s">
        <v>809</v>
      </c>
      <c r="AGR97" s="1392" t="s">
        <v>809</v>
      </c>
      <c r="AGS97" s="1392" t="s">
        <v>809</v>
      </c>
      <c r="AGT97" s="1392" t="s">
        <v>809</v>
      </c>
      <c r="AGU97" s="1392" t="s">
        <v>809</v>
      </c>
      <c r="AGV97" s="1392" t="s">
        <v>809</v>
      </c>
      <c r="AGW97" s="1392" t="s">
        <v>809</v>
      </c>
      <c r="AGX97" s="1392" t="s">
        <v>809</v>
      </c>
      <c r="AGY97" s="1392" t="s">
        <v>809</v>
      </c>
      <c r="AGZ97" s="1392" t="s">
        <v>809</v>
      </c>
      <c r="AHA97" s="1392" t="s">
        <v>809</v>
      </c>
      <c r="AHB97" s="1392" t="s">
        <v>809</v>
      </c>
      <c r="AHC97" s="1392" t="s">
        <v>809</v>
      </c>
      <c r="AHD97" s="1392" t="s">
        <v>809</v>
      </c>
      <c r="AHE97" s="1392" t="s">
        <v>809</v>
      </c>
      <c r="AHF97" s="1392" t="s">
        <v>809</v>
      </c>
      <c r="AHG97" s="1392" t="s">
        <v>809</v>
      </c>
      <c r="AHH97" s="1392" t="s">
        <v>809</v>
      </c>
      <c r="AHI97" s="1392" t="s">
        <v>809</v>
      </c>
      <c r="AHJ97" s="1392" t="s">
        <v>809</v>
      </c>
      <c r="AHK97" s="1392" t="s">
        <v>809</v>
      </c>
      <c r="AHL97" s="1392" t="s">
        <v>809</v>
      </c>
      <c r="AHM97" s="1392" t="s">
        <v>809</v>
      </c>
      <c r="AHN97" s="1392" t="s">
        <v>809</v>
      </c>
      <c r="AHO97" s="1392" t="s">
        <v>809</v>
      </c>
      <c r="AHP97" s="1392" t="s">
        <v>809</v>
      </c>
      <c r="AHQ97" s="1392" t="s">
        <v>809</v>
      </c>
      <c r="AHR97" s="1392" t="s">
        <v>809</v>
      </c>
      <c r="AHS97" s="1392" t="s">
        <v>809</v>
      </c>
      <c r="AHT97" s="1392" t="s">
        <v>809</v>
      </c>
      <c r="AHU97" s="1392" t="s">
        <v>809</v>
      </c>
      <c r="AHV97" s="1392" t="s">
        <v>809</v>
      </c>
      <c r="AHW97" s="1392" t="s">
        <v>809</v>
      </c>
      <c r="AHX97" s="1392" t="s">
        <v>809</v>
      </c>
      <c r="AHY97" s="1392" t="s">
        <v>809</v>
      </c>
      <c r="AHZ97" s="1392" t="s">
        <v>809</v>
      </c>
      <c r="AIA97" s="1392" t="s">
        <v>809</v>
      </c>
      <c r="AIB97" s="1392" t="s">
        <v>809</v>
      </c>
      <c r="AIC97" s="1392" t="s">
        <v>809</v>
      </c>
      <c r="AID97" s="1392" t="s">
        <v>809</v>
      </c>
      <c r="AIE97" s="1392" t="s">
        <v>809</v>
      </c>
      <c r="AIF97" s="1392" t="s">
        <v>809</v>
      </c>
      <c r="AIG97" s="1392" t="s">
        <v>809</v>
      </c>
      <c r="AIH97" s="1392" t="s">
        <v>809</v>
      </c>
      <c r="AII97" s="1392" t="s">
        <v>809</v>
      </c>
      <c r="AIJ97" s="1392" t="s">
        <v>809</v>
      </c>
      <c r="AIK97" s="1392" t="s">
        <v>809</v>
      </c>
      <c r="AIL97" s="1392" t="s">
        <v>809</v>
      </c>
      <c r="AIM97" s="1392" t="s">
        <v>809</v>
      </c>
      <c r="AIN97" s="1392" t="s">
        <v>809</v>
      </c>
      <c r="AIO97" s="1392" t="s">
        <v>809</v>
      </c>
      <c r="AIP97" s="1392" t="s">
        <v>809</v>
      </c>
      <c r="AIQ97" s="1392" t="s">
        <v>809</v>
      </c>
      <c r="AIR97" s="1392" t="s">
        <v>809</v>
      </c>
      <c r="AIS97" s="1392" t="s">
        <v>809</v>
      </c>
      <c r="AIT97" s="1392" t="s">
        <v>809</v>
      </c>
      <c r="AIU97" s="1392" t="s">
        <v>809</v>
      </c>
      <c r="AIV97" s="1392" t="s">
        <v>809</v>
      </c>
      <c r="AIW97" s="1392" t="s">
        <v>809</v>
      </c>
      <c r="AIX97" s="1392" t="s">
        <v>809</v>
      </c>
      <c r="AIY97" s="1392" t="s">
        <v>809</v>
      </c>
      <c r="AIZ97" s="1392" t="s">
        <v>809</v>
      </c>
      <c r="AJA97" s="1392" t="s">
        <v>809</v>
      </c>
      <c r="AJB97" s="1392" t="s">
        <v>809</v>
      </c>
      <c r="AJC97" s="1392" t="s">
        <v>809</v>
      </c>
      <c r="AJD97" s="1392" t="s">
        <v>809</v>
      </c>
      <c r="AJE97" s="1392" t="s">
        <v>809</v>
      </c>
      <c r="AJF97" s="1392" t="s">
        <v>809</v>
      </c>
      <c r="AJG97" s="1392" t="s">
        <v>809</v>
      </c>
      <c r="AJH97" s="1392" t="s">
        <v>809</v>
      </c>
      <c r="AJI97" s="1392" t="s">
        <v>809</v>
      </c>
      <c r="AJJ97" s="1392" t="s">
        <v>809</v>
      </c>
      <c r="AJK97" s="1392" t="s">
        <v>809</v>
      </c>
      <c r="AJL97" s="1392" t="s">
        <v>809</v>
      </c>
      <c r="AJM97" s="1392" t="s">
        <v>809</v>
      </c>
      <c r="AJN97" s="1392" t="s">
        <v>809</v>
      </c>
      <c r="AJO97" s="1392" t="s">
        <v>809</v>
      </c>
      <c r="AJP97" s="1392" t="s">
        <v>809</v>
      </c>
      <c r="AJQ97" s="1392" t="s">
        <v>809</v>
      </c>
      <c r="AJR97" s="1392" t="s">
        <v>809</v>
      </c>
      <c r="AJS97" s="1392" t="s">
        <v>809</v>
      </c>
      <c r="AJT97" s="1392" t="s">
        <v>809</v>
      </c>
      <c r="AJU97" s="1392" t="s">
        <v>809</v>
      </c>
      <c r="AJV97" s="1392" t="s">
        <v>809</v>
      </c>
      <c r="AJW97" s="1392" t="s">
        <v>809</v>
      </c>
      <c r="AJX97" s="1392" t="s">
        <v>809</v>
      </c>
      <c r="AJY97" s="1392" t="s">
        <v>809</v>
      </c>
      <c r="AJZ97" s="1392" t="s">
        <v>809</v>
      </c>
      <c r="AKA97" s="1392" t="s">
        <v>809</v>
      </c>
      <c r="AKB97" s="1392" t="s">
        <v>809</v>
      </c>
      <c r="AKC97" s="1392" t="s">
        <v>809</v>
      </c>
      <c r="AKD97" s="1392" t="s">
        <v>809</v>
      </c>
      <c r="AKE97" s="1392" t="s">
        <v>809</v>
      </c>
      <c r="AKF97" s="1392" t="s">
        <v>809</v>
      </c>
      <c r="AKG97" s="1392" t="s">
        <v>809</v>
      </c>
      <c r="AKH97" s="1392" t="s">
        <v>809</v>
      </c>
      <c r="AKI97" s="1392" t="s">
        <v>809</v>
      </c>
      <c r="AKJ97" s="1392" t="s">
        <v>809</v>
      </c>
      <c r="AKK97" s="1392" t="s">
        <v>809</v>
      </c>
      <c r="AKL97" s="1392" t="s">
        <v>809</v>
      </c>
      <c r="AKM97" s="1392" t="s">
        <v>809</v>
      </c>
      <c r="AKN97" s="1392" t="s">
        <v>809</v>
      </c>
      <c r="AKO97" s="1392" t="s">
        <v>809</v>
      </c>
      <c r="AKP97" s="1392" t="s">
        <v>809</v>
      </c>
      <c r="AKQ97" s="1392" t="s">
        <v>809</v>
      </c>
      <c r="AKR97" s="1392" t="s">
        <v>809</v>
      </c>
      <c r="AKS97" s="1392" t="s">
        <v>809</v>
      </c>
      <c r="AKT97" s="1392" t="s">
        <v>809</v>
      </c>
      <c r="AKU97" s="1392" t="s">
        <v>809</v>
      </c>
      <c r="AKV97" s="1392" t="s">
        <v>809</v>
      </c>
      <c r="AKW97" s="1392" t="s">
        <v>809</v>
      </c>
      <c r="AKX97" s="1392" t="s">
        <v>809</v>
      </c>
      <c r="AKY97" s="1392" t="s">
        <v>809</v>
      </c>
      <c r="AKZ97" s="1392" t="s">
        <v>809</v>
      </c>
      <c r="ALA97" s="1392" t="s">
        <v>809</v>
      </c>
      <c r="ALB97" s="1392" t="s">
        <v>809</v>
      </c>
      <c r="ALC97" s="1392" t="s">
        <v>809</v>
      </c>
      <c r="ALD97" s="1392" t="s">
        <v>809</v>
      </c>
      <c r="ALE97" s="1392" t="s">
        <v>809</v>
      </c>
      <c r="ALF97" s="1392" t="s">
        <v>809</v>
      </c>
      <c r="ALG97" s="1392" t="s">
        <v>809</v>
      </c>
      <c r="ALH97" s="1392" t="s">
        <v>809</v>
      </c>
      <c r="ALI97" s="1392" t="s">
        <v>809</v>
      </c>
      <c r="ALJ97" s="1392" t="s">
        <v>809</v>
      </c>
      <c r="ALK97" s="1392" t="s">
        <v>809</v>
      </c>
      <c r="ALL97" s="1392" t="s">
        <v>809</v>
      </c>
      <c r="ALM97" s="1392" t="s">
        <v>809</v>
      </c>
      <c r="ALN97" s="1392" t="s">
        <v>809</v>
      </c>
      <c r="ALO97" s="1392" t="s">
        <v>809</v>
      </c>
      <c r="ALP97" s="1392" t="s">
        <v>809</v>
      </c>
      <c r="ALQ97" s="1392" t="s">
        <v>809</v>
      </c>
      <c r="ALR97" s="1392" t="s">
        <v>809</v>
      </c>
      <c r="ALS97" s="1392" t="s">
        <v>809</v>
      </c>
      <c r="ALT97" s="1392" t="s">
        <v>809</v>
      </c>
      <c r="ALU97" s="1392" t="s">
        <v>809</v>
      </c>
      <c r="ALV97" s="1392" t="s">
        <v>809</v>
      </c>
      <c r="ALW97" s="1392" t="s">
        <v>809</v>
      </c>
      <c r="ALX97" s="1392" t="s">
        <v>809</v>
      </c>
      <c r="ALY97" s="1392" t="s">
        <v>809</v>
      </c>
      <c r="ALZ97" s="1392" t="s">
        <v>809</v>
      </c>
      <c r="AMA97" s="1392" t="s">
        <v>809</v>
      </c>
      <c r="AMB97" s="1392" t="s">
        <v>809</v>
      </c>
      <c r="AMC97" s="1392" t="s">
        <v>809</v>
      </c>
      <c r="AMD97" s="1392" t="s">
        <v>809</v>
      </c>
      <c r="AME97" s="1392" t="s">
        <v>809</v>
      </c>
      <c r="AMF97" s="1392" t="s">
        <v>809</v>
      </c>
      <c r="AMG97" s="1392" t="s">
        <v>809</v>
      </c>
      <c r="AMH97" s="1392" t="s">
        <v>809</v>
      </c>
      <c r="AMI97" s="1392" t="s">
        <v>809</v>
      </c>
      <c r="AMJ97" s="1392" t="s">
        <v>809</v>
      </c>
      <c r="AMK97" s="1392" t="s">
        <v>809</v>
      </c>
      <c r="AML97" s="1392" t="s">
        <v>809</v>
      </c>
      <c r="AMM97" s="1392" t="s">
        <v>809</v>
      </c>
      <c r="AMN97" s="1392" t="s">
        <v>809</v>
      </c>
      <c r="AMO97" s="1392" t="s">
        <v>809</v>
      </c>
      <c r="AMP97" s="1392" t="s">
        <v>809</v>
      </c>
      <c r="AMQ97" s="1392" t="s">
        <v>809</v>
      </c>
      <c r="AMR97" s="1392" t="s">
        <v>809</v>
      </c>
      <c r="AMS97" s="1392" t="s">
        <v>809</v>
      </c>
      <c r="AMT97" s="1392" t="s">
        <v>809</v>
      </c>
      <c r="AMU97" s="1392" t="s">
        <v>809</v>
      </c>
      <c r="AMV97" s="1392" t="s">
        <v>809</v>
      </c>
      <c r="AMW97" s="1392" t="s">
        <v>809</v>
      </c>
      <c r="AMX97" s="1392" t="s">
        <v>809</v>
      </c>
      <c r="AMY97" s="1392" t="s">
        <v>809</v>
      </c>
      <c r="AMZ97" s="1392" t="s">
        <v>809</v>
      </c>
      <c r="ANA97" s="1392" t="s">
        <v>809</v>
      </c>
      <c r="ANB97" s="1392" t="s">
        <v>809</v>
      </c>
      <c r="ANC97" s="1392" t="s">
        <v>809</v>
      </c>
      <c r="AND97" s="1392" t="s">
        <v>809</v>
      </c>
      <c r="ANE97" s="1392" t="s">
        <v>809</v>
      </c>
      <c r="ANF97" s="1392" t="s">
        <v>809</v>
      </c>
      <c r="ANG97" s="1392" t="s">
        <v>809</v>
      </c>
      <c r="ANH97" s="1392" t="s">
        <v>809</v>
      </c>
      <c r="ANI97" s="1392" t="s">
        <v>809</v>
      </c>
      <c r="ANJ97" s="1392" t="s">
        <v>809</v>
      </c>
      <c r="ANK97" s="1392" t="s">
        <v>809</v>
      </c>
      <c r="ANL97" s="1392" t="s">
        <v>809</v>
      </c>
      <c r="ANM97" s="1392" t="s">
        <v>809</v>
      </c>
      <c r="ANN97" s="1392" t="s">
        <v>809</v>
      </c>
      <c r="ANO97" s="1392" t="s">
        <v>809</v>
      </c>
      <c r="ANP97" s="1392" t="s">
        <v>809</v>
      </c>
      <c r="ANQ97" s="1392" t="s">
        <v>809</v>
      </c>
      <c r="ANR97" s="1392" t="s">
        <v>809</v>
      </c>
      <c r="ANS97" s="1392" t="s">
        <v>809</v>
      </c>
      <c r="ANT97" s="1392" t="s">
        <v>809</v>
      </c>
      <c r="ANU97" s="1392" t="s">
        <v>809</v>
      </c>
      <c r="ANV97" s="1392" t="s">
        <v>809</v>
      </c>
      <c r="ANW97" s="1392" t="s">
        <v>809</v>
      </c>
      <c r="ANX97" s="1392" t="s">
        <v>809</v>
      </c>
      <c r="ANY97" s="1392" t="s">
        <v>809</v>
      </c>
      <c r="ANZ97" s="1392" t="s">
        <v>809</v>
      </c>
      <c r="AOA97" s="1392" t="s">
        <v>809</v>
      </c>
      <c r="AOB97" s="1392" t="s">
        <v>809</v>
      </c>
      <c r="AOC97" s="1392" t="s">
        <v>809</v>
      </c>
      <c r="AOD97" s="1392" t="s">
        <v>809</v>
      </c>
      <c r="AOE97" s="1392" t="s">
        <v>809</v>
      </c>
      <c r="AOF97" s="1392" t="s">
        <v>809</v>
      </c>
      <c r="AOG97" s="1392" t="s">
        <v>809</v>
      </c>
      <c r="AOH97" s="1392" t="s">
        <v>809</v>
      </c>
      <c r="AOI97" s="1392" t="s">
        <v>809</v>
      </c>
      <c r="AOJ97" s="1392" t="s">
        <v>809</v>
      </c>
      <c r="AOK97" s="1392" t="s">
        <v>809</v>
      </c>
      <c r="AOL97" s="1392" t="s">
        <v>809</v>
      </c>
      <c r="AOM97" s="1392" t="s">
        <v>809</v>
      </c>
      <c r="AON97" s="1392" t="s">
        <v>809</v>
      </c>
      <c r="AOO97" s="1392" t="s">
        <v>809</v>
      </c>
      <c r="AOP97" s="1392" t="s">
        <v>809</v>
      </c>
      <c r="AOQ97" s="1392" t="s">
        <v>809</v>
      </c>
      <c r="AOR97" s="1392" t="s">
        <v>809</v>
      </c>
      <c r="AOS97" s="1392" t="s">
        <v>809</v>
      </c>
      <c r="AOT97" s="1392" t="s">
        <v>809</v>
      </c>
      <c r="AOU97" s="1392" t="s">
        <v>809</v>
      </c>
      <c r="AOV97" s="1392" t="s">
        <v>809</v>
      </c>
      <c r="AOW97" s="1392" t="s">
        <v>809</v>
      </c>
      <c r="AOX97" s="1392" t="s">
        <v>809</v>
      </c>
      <c r="AOY97" s="1392" t="s">
        <v>809</v>
      </c>
      <c r="AOZ97" s="1392" t="s">
        <v>809</v>
      </c>
      <c r="APA97" s="1392" t="s">
        <v>809</v>
      </c>
      <c r="APB97" s="1392" t="s">
        <v>809</v>
      </c>
      <c r="APC97" s="1392" t="s">
        <v>809</v>
      </c>
      <c r="APD97" s="1392" t="s">
        <v>809</v>
      </c>
      <c r="APE97" s="1392" t="s">
        <v>809</v>
      </c>
      <c r="APF97" s="1392" t="s">
        <v>809</v>
      </c>
      <c r="APG97" s="1392" t="s">
        <v>809</v>
      </c>
      <c r="APH97" s="1392" t="s">
        <v>809</v>
      </c>
      <c r="API97" s="1392" t="s">
        <v>809</v>
      </c>
      <c r="APJ97" s="1392" t="s">
        <v>809</v>
      </c>
      <c r="APK97" s="1392" t="s">
        <v>809</v>
      </c>
      <c r="APL97" s="1392" t="s">
        <v>809</v>
      </c>
      <c r="APM97" s="1392" t="s">
        <v>809</v>
      </c>
      <c r="APN97" s="1392" t="s">
        <v>809</v>
      </c>
      <c r="APO97" s="1392" t="s">
        <v>809</v>
      </c>
      <c r="APP97" s="1392" t="s">
        <v>809</v>
      </c>
      <c r="APQ97" s="1392" t="s">
        <v>809</v>
      </c>
      <c r="APR97" s="1392" t="s">
        <v>809</v>
      </c>
      <c r="APS97" s="1392" t="s">
        <v>809</v>
      </c>
      <c r="APT97" s="1392" t="s">
        <v>809</v>
      </c>
      <c r="APU97" s="1392" t="s">
        <v>809</v>
      </c>
      <c r="APV97" s="1392" t="s">
        <v>809</v>
      </c>
      <c r="APW97" s="1392" t="s">
        <v>809</v>
      </c>
      <c r="APX97" s="1392" t="s">
        <v>809</v>
      </c>
      <c r="APY97" s="1392" t="s">
        <v>809</v>
      </c>
      <c r="APZ97" s="1392" t="s">
        <v>809</v>
      </c>
      <c r="AQA97" s="1392" t="s">
        <v>809</v>
      </c>
      <c r="AQB97" s="1392" t="s">
        <v>809</v>
      </c>
      <c r="AQC97" s="1392" t="s">
        <v>809</v>
      </c>
      <c r="AQD97" s="1392" t="s">
        <v>809</v>
      </c>
      <c r="AQE97" s="1392" t="s">
        <v>809</v>
      </c>
      <c r="AQF97" s="1392" t="s">
        <v>809</v>
      </c>
      <c r="AQG97" s="1392" t="s">
        <v>809</v>
      </c>
      <c r="AQH97" s="1392" t="s">
        <v>809</v>
      </c>
      <c r="AQI97" s="1392" t="s">
        <v>809</v>
      </c>
      <c r="AQJ97" s="1392" t="s">
        <v>809</v>
      </c>
      <c r="AQK97" s="1392" t="s">
        <v>809</v>
      </c>
      <c r="AQL97" s="1392" t="s">
        <v>809</v>
      </c>
      <c r="AQM97" s="1392" t="s">
        <v>809</v>
      </c>
      <c r="AQN97" s="1392" t="s">
        <v>809</v>
      </c>
      <c r="AQO97" s="1392" t="s">
        <v>809</v>
      </c>
      <c r="AQP97" s="1392" t="s">
        <v>809</v>
      </c>
      <c r="AQQ97" s="1392" t="s">
        <v>809</v>
      </c>
      <c r="AQR97" s="1392" t="s">
        <v>809</v>
      </c>
      <c r="AQS97" s="1392" t="s">
        <v>809</v>
      </c>
      <c r="AQT97" s="1392" t="s">
        <v>809</v>
      </c>
      <c r="AQU97" s="1392" t="s">
        <v>809</v>
      </c>
      <c r="AQV97" s="1392" t="s">
        <v>809</v>
      </c>
      <c r="AQW97" s="1392" t="s">
        <v>809</v>
      </c>
      <c r="AQX97" s="1392" t="s">
        <v>809</v>
      </c>
      <c r="AQY97" s="1392" t="s">
        <v>809</v>
      </c>
      <c r="AQZ97" s="1392" t="s">
        <v>809</v>
      </c>
      <c r="ARA97" s="1392" t="s">
        <v>809</v>
      </c>
      <c r="ARB97" s="1392" t="s">
        <v>809</v>
      </c>
      <c r="ARC97" s="1392" t="s">
        <v>809</v>
      </c>
      <c r="ARD97" s="1392" t="s">
        <v>809</v>
      </c>
      <c r="ARE97" s="1392" t="s">
        <v>809</v>
      </c>
      <c r="ARF97" s="1392" t="s">
        <v>809</v>
      </c>
      <c r="ARG97" s="1392" t="s">
        <v>809</v>
      </c>
      <c r="ARH97" s="1392" t="s">
        <v>809</v>
      </c>
      <c r="ARI97" s="1392" t="s">
        <v>809</v>
      </c>
      <c r="ARJ97" s="1392" t="s">
        <v>809</v>
      </c>
      <c r="ARK97" s="1392" t="s">
        <v>809</v>
      </c>
      <c r="ARL97" s="1392" t="s">
        <v>809</v>
      </c>
      <c r="ARM97" s="1392" t="s">
        <v>809</v>
      </c>
      <c r="ARN97" s="1392" t="s">
        <v>809</v>
      </c>
      <c r="ARO97" s="1392" t="s">
        <v>809</v>
      </c>
      <c r="ARP97" s="1392" t="s">
        <v>809</v>
      </c>
      <c r="ARQ97" s="1392" t="s">
        <v>809</v>
      </c>
      <c r="ARR97" s="1392" t="s">
        <v>809</v>
      </c>
      <c r="ARS97" s="1392" t="s">
        <v>809</v>
      </c>
      <c r="ART97" s="1392" t="s">
        <v>809</v>
      </c>
      <c r="ARU97" s="1392" t="s">
        <v>809</v>
      </c>
      <c r="ARV97" s="1392" t="s">
        <v>809</v>
      </c>
      <c r="ARW97" s="1392" t="s">
        <v>809</v>
      </c>
      <c r="ARX97" s="1392" t="s">
        <v>809</v>
      </c>
      <c r="ARY97" s="1392" t="s">
        <v>809</v>
      </c>
      <c r="ARZ97" s="1392" t="s">
        <v>809</v>
      </c>
      <c r="ASA97" s="1392" t="s">
        <v>809</v>
      </c>
      <c r="ASB97" s="1392" t="s">
        <v>809</v>
      </c>
      <c r="ASC97" s="1392" t="s">
        <v>809</v>
      </c>
      <c r="ASD97" s="1392" t="s">
        <v>809</v>
      </c>
      <c r="ASE97" s="1392" t="s">
        <v>809</v>
      </c>
      <c r="ASF97" s="1392" t="s">
        <v>809</v>
      </c>
      <c r="ASG97" s="1392" t="s">
        <v>809</v>
      </c>
      <c r="ASH97" s="1392" t="s">
        <v>809</v>
      </c>
      <c r="ASI97" s="1392" t="s">
        <v>809</v>
      </c>
      <c r="ASJ97" s="1392" t="s">
        <v>809</v>
      </c>
      <c r="ASK97" s="1392" t="s">
        <v>809</v>
      </c>
      <c r="ASL97" s="1392" t="s">
        <v>809</v>
      </c>
      <c r="ASM97" s="1392" t="s">
        <v>809</v>
      </c>
      <c r="ASN97" s="1392" t="s">
        <v>809</v>
      </c>
      <c r="ASO97" s="1392" t="s">
        <v>809</v>
      </c>
      <c r="ASP97" s="1392" t="s">
        <v>809</v>
      </c>
      <c r="ASQ97" s="1392" t="s">
        <v>809</v>
      </c>
      <c r="ASR97" s="1392" t="s">
        <v>809</v>
      </c>
      <c r="ASS97" s="1392" t="s">
        <v>809</v>
      </c>
      <c r="AST97" s="1392" t="s">
        <v>809</v>
      </c>
      <c r="ASU97" s="1392" t="s">
        <v>809</v>
      </c>
      <c r="ASV97" s="1392" t="s">
        <v>809</v>
      </c>
      <c r="ASW97" s="1392" t="s">
        <v>809</v>
      </c>
      <c r="ASX97" s="1392" t="s">
        <v>809</v>
      </c>
      <c r="ASY97" s="1392" t="s">
        <v>809</v>
      </c>
      <c r="ASZ97" s="1392" t="s">
        <v>809</v>
      </c>
      <c r="ATA97" s="1392" t="s">
        <v>809</v>
      </c>
      <c r="ATB97" s="1392" t="s">
        <v>809</v>
      </c>
      <c r="ATC97" s="1392" t="s">
        <v>809</v>
      </c>
      <c r="ATD97" s="1392" t="s">
        <v>809</v>
      </c>
      <c r="ATE97" s="1392" t="s">
        <v>809</v>
      </c>
      <c r="ATF97" s="1392" t="s">
        <v>809</v>
      </c>
      <c r="ATG97" s="1392" t="s">
        <v>809</v>
      </c>
      <c r="ATH97" s="1392" t="s">
        <v>809</v>
      </c>
      <c r="ATI97" s="1392" t="s">
        <v>809</v>
      </c>
      <c r="ATJ97" s="1392" t="s">
        <v>809</v>
      </c>
      <c r="ATK97" s="1392" t="s">
        <v>809</v>
      </c>
      <c r="ATL97" s="1392" t="s">
        <v>809</v>
      </c>
      <c r="ATM97" s="1392" t="s">
        <v>809</v>
      </c>
      <c r="ATN97" s="1392" t="s">
        <v>809</v>
      </c>
      <c r="ATO97" s="1392" t="s">
        <v>809</v>
      </c>
      <c r="ATP97" s="1392" t="s">
        <v>809</v>
      </c>
      <c r="ATQ97" s="1392" t="s">
        <v>809</v>
      </c>
      <c r="ATR97" s="1392" t="s">
        <v>809</v>
      </c>
      <c r="ATS97" s="1392" t="s">
        <v>809</v>
      </c>
      <c r="ATT97" s="1392" t="s">
        <v>809</v>
      </c>
      <c r="ATU97" s="1392" t="s">
        <v>809</v>
      </c>
      <c r="ATV97" s="1392" t="s">
        <v>809</v>
      </c>
      <c r="ATW97" s="1392" t="s">
        <v>809</v>
      </c>
      <c r="ATX97" s="1392" t="s">
        <v>809</v>
      </c>
      <c r="ATY97" s="1392" t="s">
        <v>809</v>
      </c>
      <c r="ATZ97" s="1392" t="s">
        <v>809</v>
      </c>
      <c r="AUA97" s="1392" t="s">
        <v>809</v>
      </c>
      <c r="AUB97" s="1392" t="s">
        <v>809</v>
      </c>
      <c r="AUC97" s="1392" t="s">
        <v>809</v>
      </c>
      <c r="AUD97" s="1392" t="s">
        <v>809</v>
      </c>
      <c r="AUE97" s="1392" t="s">
        <v>809</v>
      </c>
      <c r="AUF97" s="1392" t="s">
        <v>809</v>
      </c>
      <c r="AUG97" s="1392" t="s">
        <v>809</v>
      </c>
      <c r="AUH97" s="1392" t="s">
        <v>809</v>
      </c>
      <c r="AUI97" s="1392" t="s">
        <v>809</v>
      </c>
      <c r="AUJ97" s="1392" t="s">
        <v>809</v>
      </c>
      <c r="AUK97" s="1392" t="s">
        <v>809</v>
      </c>
      <c r="AUL97" s="1392" t="s">
        <v>809</v>
      </c>
      <c r="AUM97" s="1392" t="s">
        <v>809</v>
      </c>
      <c r="AUN97" s="1392" t="s">
        <v>809</v>
      </c>
      <c r="AUO97" s="1392" t="s">
        <v>809</v>
      </c>
      <c r="AUP97" s="1392" t="s">
        <v>809</v>
      </c>
      <c r="AUQ97" s="1392" t="s">
        <v>809</v>
      </c>
      <c r="AUR97" s="1392" t="s">
        <v>809</v>
      </c>
      <c r="AUS97" s="1392" t="s">
        <v>809</v>
      </c>
      <c r="AUT97" s="1392" t="s">
        <v>809</v>
      </c>
      <c r="AUU97" s="1392" t="s">
        <v>809</v>
      </c>
      <c r="AUV97" s="1392" t="s">
        <v>809</v>
      </c>
      <c r="AUW97" s="1392" t="s">
        <v>809</v>
      </c>
      <c r="AUX97" s="1392" t="s">
        <v>809</v>
      </c>
      <c r="AUY97" s="1392" t="s">
        <v>809</v>
      </c>
      <c r="AUZ97" s="1392" t="s">
        <v>809</v>
      </c>
      <c r="AVA97" s="1392" t="s">
        <v>809</v>
      </c>
      <c r="AVB97" s="1392" t="s">
        <v>809</v>
      </c>
      <c r="AVC97" s="1392" t="s">
        <v>809</v>
      </c>
      <c r="AVD97" s="1392" t="s">
        <v>809</v>
      </c>
      <c r="AVE97" s="1392" t="s">
        <v>809</v>
      </c>
      <c r="AVF97" s="1392" t="s">
        <v>809</v>
      </c>
      <c r="AVG97" s="1392" t="s">
        <v>809</v>
      </c>
      <c r="AVH97" s="1392" t="s">
        <v>809</v>
      </c>
      <c r="AVI97" s="1392" t="s">
        <v>809</v>
      </c>
      <c r="AVJ97" s="1392" t="s">
        <v>809</v>
      </c>
      <c r="AVK97" s="1392" t="s">
        <v>809</v>
      </c>
      <c r="AVL97" s="1392" t="s">
        <v>809</v>
      </c>
      <c r="AVM97" s="1392" t="s">
        <v>809</v>
      </c>
      <c r="AVN97" s="1392" t="s">
        <v>809</v>
      </c>
      <c r="AVO97" s="1392" t="s">
        <v>809</v>
      </c>
      <c r="AVP97" s="1392" t="s">
        <v>809</v>
      </c>
      <c r="AVQ97" s="1392" t="s">
        <v>809</v>
      </c>
      <c r="AVR97" s="1392" t="s">
        <v>809</v>
      </c>
      <c r="AVS97" s="1392" t="s">
        <v>809</v>
      </c>
      <c r="AVT97" s="1392" t="s">
        <v>809</v>
      </c>
      <c r="AVU97" s="1392" t="s">
        <v>809</v>
      </c>
      <c r="AVV97" s="1392" t="s">
        <v>809</v>
      </c>
      <c r="AVW97" s="1392" t="s">
        <v>809</v>
      </c>
      <c r="AVX97" s="1392" t="s">
        <v>809</v>
      </c>
      <c r="AVY97" s="1392" t="s">
        <v>809</v>
      </c>
      <c r="AVZ97" s="1392" t="s">
        <v>809</v>
      </c>
      <c r="AWA97" s="1392" t="s">
        <v>809</v>
      </c>
      <c r="AWB97" s="1392" t="s">
        <v>809</v>
      </c>
      <c r="AWC97" s="1392" t="s">
        <v>809</v>
      </c>
      <c r="AWD97" s="1392" t="s">
        <v>809</v>
      </c>
      <c r="AWE97" s="1392" t="s">
        <v>809</v>
      </c>
      <c r="AWF97" s="1392" t="s">
        <v>809</v>
      </c>
      <c r="AWG97" s="1392" t="s">
        <v>809</v>
      </c>
      <c r="AWH97" s="1392" t="s">
        <v>809</v>
      </c>
      <c r="AWI97" s="1392" t="s">
        <v>809</v>
      </c>
      <c r="AWJ97" s="1392" t="s">
        <v>809</v>
      </c>
      <c r="AWK97" s="1392" t="s">
        <v>809</v>
      </c>
      <c r="AWL97" s="1392" t="s">
        <v>809</v>
      </c>
      <c r="AWM97" s="1392" t="s">
        <v>809</v>
      </c>
      <c r="AWN97" s="1392" t="s">
        <v>809</v>
      </c>
      <c r="AWO97" s="1392" t="s">
        <v>809</v>
      </c>
      <c r="AWP97" s="1392" t="s">
        <v>809</v>
      </c>
      <c r="AWQ97" s="1392" t="s">
        <v>809</v>
      </c>
      <c r="AWR97" s="1392" t="s">
        <v>809</v>
      </c>
      <c r="AWS97" s="1392" t="s">
        <v>809</v>
      </c>
      <c r="AWT97" s="1392" t="s">
        <v>809</v>
      </c>
      <c r="AWU97" s="1392" t="s">
        <v>809</v>
      </c>
      <c r="AWV97" s="1392" t="s">
        <v>809</v>
      </c>
      <c r="AWW97" s="1392" t="s">
        <v>809</v>
      </c>
      <c r="AWX97" s="1392" t="s">
        <v>809</v>
      </c>
      <c r="AWY97" s="1392" t="s">
        <v>809</v>
      </c>
      <c r="AWZ97" s="1392" t="s">
        <v>809</v>
      </c>
      <c r="AXA97" s="1392" t="s">
        <v>809</v>
      </c>
      <c r="AXB97" s="1392" t="s">
        <v>809</v>
      </c>
      <c r="AXC97" s="1392" t="s">
        <v>809</v>
      </c>
      <c r="AXD97" s="1392" t="s">
        <v>809</v>
      </c>
      <c r="AXE97" s="1392" t="s">
        <v>809</v>
      </c>
      <c r="AXF97" s="1392" t="s">
        <v>809</v>
      </c>
      <c r="AXG97" s="1392" t="s">
        <v>809</v>
      </c>
      <c r="AXH97" s="1392" t="s">
        <v>809</v>
      </c>
      <c r="AXI97" s="1392" t="s">
        <v>809</v>
      </c>
      <c r="AXJ97" s="1392" t="s">
        <v>809</v>
      </c>
      <c r="AXK97" s="1392" t="s">
        <v>809</v>
      </c>
      <c r="AXL97" s="1392" t="s">
        <v>809</v>
      </c>
      <c r="AXM97" s="1392" t="s">
        <v>809</v>
      </c>
      <c r="AXN97" s="1392" t="s">
        <v>809</v>
      </c>
      <c r="AXO97" s="1392" t="s">
        <v>809</v>
      </c>
      <c r="AXP97" s="1392" t="s">
        <v>809</v>
      </c>
      <c r="AXQ97" s="1392" t="s">
        <v>809</v>
      </c>
      <c r="AXR97" s="1392" t="s">
        <v>809</v>
      </c>
      <c r="AXS97" s="1392" t="s">
        <v>809</v>
      </c>
      <c r="AXT97" s="1392" t="s">
        <v>809</v>
      </c>
      <c r="AXU97" s="1392" t="s">
        <v>809</v>
      </c>
      <c r="AXV97" s="1392" t="s">
        <v>809</v>
      </c>
      <c r="AXW97" s="1392" t="s">
        <v>809</v>
      </c>
      <c r="AXX97" s="1392" t="s">
        <v>809</v>
      </c>
      <c r="AXY97" s="1392" t="s">
        <v>809</v>
      </c>
      <c r="AXZ97" s="1392" t="s">
        <v>809</v>
      </c>
      <c r="AYA97" s="1392" t="s">
        <v>809</v>
      </c>
      <c r="AYB97" s="1392" t="s">
        <v>809</v>
      </c>
      <c r="AYC97" s="1392" t="s">
        <v>809</v>
      </c>
      <c r="AYD97" s="1392" t="s">
        <v>809</v>
      </c>
      <c r="AYE97" s="1392" t="s">
        <v>809</v>
      </c>
      <c r="AYF97" s="1392" t="s">
        <v>809</v>
      </c>
      <c r="AYG97" s="1392" t="s">
        <v>809</v>
      </c>
      <c r="AYH97" s="1392" t="s">
        <v>809</v>
      </c>
      <c r="AYI97" s="1392" t="s">
        <v>809</v>
      </c>
      <c r="AYJ97" s="1392" t="s">
        <v>809</v>
      </c>
      <c r="AYK97" s="1392" t="s">
        <v>809</v>
      </c>
      <c r="AYL97" s="1392" t="s">
        <v>809</v>
      </c>
      <c r="AYM97" s="1392" t="s">
        <v>809</v>
      </c>
      <c r="AYN97" s="1392" t="s">
        <v>809</v>
      </c>
      <c r="AYO97" s="1392" t="s">
        <v>809</v>
      </c>
      <c r="AYP97" s="1392" t="s">
        <v>809</v>
      </c>
      <c r="AYQ97" s="1392" t="s">
        <v>809</v>
      </c>
      <c r="AYR97" s="1392" t="s">
        <v>809</v>
      </c>
      <c r="AYS97" s="1392" t="s">
        <v>809</v>
      </c>
      <c r="AYT97" s="1392" t="s">
        <v>809</v>
      </c>
      <c r="AYU97" s="1392" t="s">
        <v>809</v>
      </c>
      <c r="AYV97" s="1392" t="s">
        <v>809</v>
      </c>
      <c r="AYW97" s="1392" t="s">
        <v>809</v>
      </c>
      <c r="AYX97" s="1392" t="s">
        <v>809</v>
      </c>
      <c r="AYY97" s="1392" t="s">
        <v>809</v>
      </c>
      <c r="AYZ97" s="1392" t="s">
        <v>809</v>
      </c>
      <c r="AZA97" s="1392" t="s">
        <v>809</v>
      </c>
      <c r="AZB97" s="1392" t="s">
        <v>809</v>
      </c>
      <c r="AZC97" s="1392" t="s">
        <v>809</v>
      </c>
      <c r="AZD97" s="1392" t="s">
        <v>809</v>
      </c>
      <c r="AZE97" s="1392" t="s">
        <v>809</v>
      </c>
      <c r="AZF97" s="1392" t="s">
        <v>809</v>
      </c>
      <c r="AZG97" s="1392" t="s">
        <v>809</v>
      </c>
      <c r="AZH97" s="1392" t="s">
        <v>809</v>
      </c>
      <c r="AZI97" s="1392" t="s">
        <v>809</v>
      </c>
      <c r="AZJ97" s="1392" t="s">
        <v>809</v>
      </c>
      <c r="AZK97" s="1392" t="s">
        <v>809</v>
      </c>
      <c r="AZL97" s="1392" t="s">
        <v>809</v>
      </c>
      <c r="AZM97" s="1392" t="s">
        <v>809</v>
      </c>
      <c r="AZN97" s="1392" t="s">
        <v>809</v>
      </c>
      <c r="AZO97" s="1392" t="s">
        <v>809</v>
      </c>
      <c r="AZP97" s="1392" t="s">
        <v>809</v>
      </c>
      <c r="AZQ97" s="1392" t="s">
        <v>809</v>
      </c>
      <c r="AZR97" s="1392" t="s">
        <v>809</v>
      </c>
      <c r="AZS97" s="1392" t="s">
        <v>809</v>
      </c>
      <c r="AZT97" s="1392" t="s">
        <v>809</v>
      </c>
      <c r="AZU97" s="1392" t="s">
        <v>809</v>
      </c>
      <c r="AZV97" s="1392" t="s">
        <v>809</v>
      </c>
      <c r="AZW97" s="1392" t="s">
        <v>809</v>
      </c>
      <c r="AZX97" s="1392" t="s">
        <v>809</v>
      </c>
      <c r="AZY97" s="1392" t="s">
        <v>809</v>
      </c>
      <c r="AZZ97" s="1392" t="s">
        <v>809</v>
      </c>
      <c r="BAA97" s="1392" t="s">
        <v>809</v>
      </c>
      <c r="BAB97" s="1392" t="s">
        <v>809</v>
      </c>
      <c r="BAC97" s="1392" t="s">
        <v>809</v>
      </c>
      <c r="BAD97" s="1392" t="s">
        <v>809</v>
      </c>
      <c r="BAE97" s="1392" t="s">
        <v>809</v>
      </c>
      <c r="BAF97" s="1392" t="s">
        <v>809</v>
      </c>
      <c r="BAG97" s="1392" t="s">
        <v>809</v>
      </c>
      <c r="BAH97" s="1392" t="s">
        <v>809</v>
      </c>
      <c r="BAI97" s="1392" t="s">
        <v>809</v>
      </c>
      <c r="BAJ97" s="1392" t="s">
        <v>809</v>
      </c>
      <c r="BAK97" s="1392" t="s">
        <v>809</v>
      </c>
      <c r="BAL97" s="1392" t="s">
        <v>809</v>
      </c>
      <c r="BAM97" s="1392" t="s">
        <v>809</v>
      </c>
      <c r="BAN97" s="1392" t="s">
        <v>809</v>
      </c>
      <c r="BAO97" s="1392" t="s">
        <v>809</v>
      </c>
      <c r="BAP97" s="1392" t="s">
        <v>809</v>
      </c>
      <c r="BAQ97" s="1392" t="s">
        <v>809</v>
      </c>
      <c r="BAR97" s="1392" t="s">
        <v>809</v>
      </c>
      <c r="BAS97" s="1392" t="s">
        <v>809</v>
      </c>
      <c r="BAT97" s="1392" t="s">
        <v>809</v>
      </c>
      <c r="BAU97" s="1392" t="s">
        <v>809</v>
      </c>
      <c r="BAV97" s="1392" t="s">
        <v>809</v>
      </c>
      <c r="BAW97" s="1392" t="s">
        <v>809</v>
      </c>
      <c r="BAX97" s="1392" t="s">
        <v>809</v>
      </c>
      <c r="BAY97" s="1392" t="s">
        <v>809</v>
      </c>
      <c r="BAZ97" s="1392" t="s">
        <v>809</v>
      </c>
      <c r="BBA97" s="1392" t="s">
        <v>809</v>
      </c>
      <c r="BBB97" s="1392" t="s">
        <v>809</v>
      </c>
      <c r="BBC97" s="1392" t="s">
        <v>809</v>
      </c>
      <c r="BBD97" s="1392" t="s">
        <v>809</v>
      </c>
      <c r="BBE97" s="1392" t="s">
        <v>809</v>
      </c>
      <c r="BBF97" s="1392" t="s">
        <v>809</v>
      </c>
      <c r="BBG97" s="1392" t="s">
        <v>809</v>
      </c>
      <c r="BBH97" s="1392" t="s">
        <v>809</v>
      </c>
      <c r="BBI97" s="1392" t="s">
        <v>809</v>
      </c>
      <c r="BBJ97" s="1392" t="s">
        <v>809</v>
      </c>
      <c r="BBK97" s="1392" t="s">
        <v>809</v>
      </c>
      <c r="BBL97" s="1392" t="s">
        <v>809</v>
      </c>
      <c r="BBM97" s="1392" t="s">
        <v>809</v>
      </c>
      <c r="BBN97" s="1392" t="s">
        <v>809</v>
      </c>
      <c r="BBO97" s="1392" t="s">
        <v>809</v>
      </c>
      <c r="BBP97" s="1392" t="s">
        <v>809</v>
      </c>
      <c r="BBQ97" s="1392" t="s">
        <v>809</v>
      </c>
      <c r="BBR97" s="1392" t="s">
        <v>809</v>
      </c>
      <c r="BBS97" s="1392" t="s">
        <v>809</v>
      </c>
      <c r="BBT97" s="1392" t="s">
        <v>809</v>
      </c>
      <c r="BBU97" s="1392" t="s">
        <v>809</v>
      </c>
      <c r="BBV97" s="1392" t="s">
        <v>809</v>
      </c>
      <c r="BBW97" s="1392" t="s">
        <v>809</v>
      </c>
      <c r="BBX97" s="1392" t="s">
        <v>809</v>
      </c>
      <c r="BBY97" s="1392" t="s">
        <v>809</v>
      </c>
      <c r="BBZ97" s="1392" t="s">
        <v>809</v>
      </c>
      <c r="BCA97" s="1392" t="s">
        <v>809</v>
      </c>
      <c r="BCB97" s="1392" t="s">
        <v>809</v>
      </c>
      <c r="BCC97" s="1392" t="s">
        <v>809</v>
      </c>
      <c r="BCD97" s="1392" t="s">
        <v>809</v>
      </c>
      <c r="BCE97" s="1392" t="s">
        <v>809</v>
      </c>
      <c r="BCF97" s="1392" t="s">
        <v>809</v>
      </c>
      <c r="BCG97" s="1392" t="s">
        <v>809</v>
      </c>
      <c r="BCH97" s="1392" t="s">
        <v>809</v>
      </c>
      <c r="BCI97" s="1392" t="s">
        <v>809</v>
      </c>
      <c r="BCJ97" s="1392" t="s">
        <v>809</v>
      </c>
      <c r="BCK97" s="1392" t="s">
        <v>809</v>
      </c>
      <c r="BCL97" s="1392" t="s">
        <v>809</v>
      </c>
      <c r="BCM97" s="1392" t="s">
        <v>809</v>
      </c>
      <c r="BCN97" s="1392" t="s">
        <v>809</v>
      </c>
      <c r="BCO97" s="1392" t="s">
        <v>809</v>
      </c>
      <c r="BCP97" s="1392" t="s">
        <v>809</v>
      </c>
      <c r="BCQ97" s="1392" t="s">
        <v>809</v>
      </c>
      <c r="BCR97" s="1392" t="s">
        <v>809</v>
      </c>
      <c r="BCS97" s="1392" t="s">
        <v>809</v>
      </c>
      <c r="BCT97" s="1392" t="s">
        <v>809</v>
      </c>
      <c r="BCU97" s="1392" t="s">
        <v>809</v>
      </c>
      <c r="BCV97" s="1392" t="s">
        <v>809</v>
      </c>
      <c r="BCW97" s="1392" t="s">
        <v>809</v>
      </c>
      <c r="BCX97" s="1392" t="s">
        <v>809</v>
      </c>
      <c r="BCY97" s="1392" t="s">
        <v>809</v>
      </c>
      <c r="BCZ97" s="1392" t="s">
        <v>809</v>
      </c>
      <c r="BDA97" s="1392" t="s">
        <v>809</v>
      </c>
      <c r="BDB97" s="1392" t="s">
        <v>809</v>
      </c>
      <c r="BDC97" s="1392" t="s">
        <v>809</v>
      </c>
      <c r="BDD97" s="1392" t="s">
        <v>809</v>
      </c>
      <c r="BDE97" s="1392" t="s">
        <v>809</v>
      </c>
      <c r="BDF97" s="1392" t="s">
        <v>809</v>
      </c>
      <c r="BDG97" s="1392" t="s">
        <v>809</v>
      </c>
      <c r="BDH97" s="1392" t="s">
        <v>809</v>
      </c>
      <c r="BDI97" s="1392" t="s">
        <v>809</v>
      </c>
      <c r="BDJ97" s="1392" t="s">
        <v>809</v>
      </c>
      <c r="BDK97" s="1392" t="s">
        <v>809</v>
      </c>
      <c r="BDL97" s="1392" t="s">
        <v>809</v>
      </c>
      <c r="BDM97" s="1392" t="s">
        <v>809</v>
      </c>
      <c r="BDN97" s="1392" t="s">
        <v>809</v>
      </c>
      <c r="BDO97" s="1392" t="s">
        <v>809</v>
      </c>
      <c r="BDP97" s="1392" t="s">
        <v>809</v>
      </c>
      <c r="BDQ97" s="1392" t="s">
        <v>809</v>
      </c>
      <c r="BDR97" s="1392" t="s">
        <v>809</v>
      </c>
      <c r="BDS97" s="1392" t="s">
        <v>809</v>
      </c>
      <c r="BDT97" s="1392" t="s">
        <v>809</v>
      </c>
      <c r="BDU97" s="1392" t="s">
        <v>809</v>
      </c>
      <c r="BDV97" s="1392" t="s">
        <v>809</v>
      </c>
      <c r="BDW97" s="1392" t="s">
        <v>809</v>
      </c>
      <c r="BDX97" s="1392" t="s">
        <v>809</v>
      </c>
      <c r="BDY97" s="1392" t="s">
        <v>809</v>
      </c>
      <c r="BDZ97" s="1392" t="s">
        <v>809</v>
      </c>
      <c r="BEA97" s="1392" t="s">
        <v>809</v>
      </c>
      <c r="BEB97" s="1392" t="s">
        <v>809</v>
      </c>
      <c r="BEC97" s="1392" t="s">
        <v>809</v>
      </c>
      <c r="BED97" s="1392" t="s">
        <v>809</v>
      </c>
      <c r="BEE97" s="1392" t="s">
        <v>809</v>
      </c>
      <c r="BEF97" s="1392" t="s">
        <v>809</v>
      </c>
      <c r="BEG97" s="1392" t="s">
        <v>809</v>
      </c>
      <c r="BEH97" s="1392" t="s">
        <v>809</v>
      </c>
      <c r="BEI97" s="1392" t="s">
        <v>809</v>
      </c>
      <c r="BEJ97" s="1392" t="s">
        <v>809</v>
      </c>
      <c r="BEK97" s="1392" t="s">
        <v>809</v>
      </c>
      <c r="BEL97" s="1392" t="s">
        <v>809</v>
      </c>
      <c r="BEM97" s="1392" t="s">
        <v>809</v>
      </c>
      <c r="BEN97" s="1392" t="s">
        <v>809</v>
      </c>
      <c r="BEO97" s="1392" t="s">
        <v>809</v>
      </c>
      <c r="BEP97" s="1392" t="s">
        <v>809</v>
      </c>
      <c r="BEQ97" s="1392" t="s">
        <v>809</v>
      </c>
      <c r="BER97" s="1392" t="s">
        <v>809</v>
      </c>
      <c r="BES97" s="1392" t="s">
        <v>809</v>
      </c>
      <c r="BET97" s="1392" t="s">
        <v>809</v>
      </c>
      <c r="BEU97" s="1392" t="s">
        <v>809</v>
      </c>
      <c r="BEV97" s="1392" t="s">
        <v>809</v>
      </c>
      <c r="BEW97" s="1392" t="s">
        <v>809</v>
      </c>
      <c r="BEX97" s="1392" t="s">
        <v>809</v>
      </c>
      <c r="BEY97" s="1392" t="s">
        <v>809</v>
      </c>
      <c r="BEZ97" s="1392" t="s">
        <v>809</v>
      </c>
      <c r="BFA97" s="1392" t="s">
        <v>809</v>
      </c>
      <c r="BFB97" s="1392" t="s">
        <v>809</v>
      </c>
      <c r="BFC97" s="1392" t="s">
        <v>809</v>
      </c>
      <c r="BFD97" s="1392" t="s">
        <v>809</v>
      </c>
      <c r="BFE97" s="1392" t="s">
        <v>809</v>
      </c>
      <c r="BFF97" s="1392" t="s">
        <v>809</v>
      </c>
      <c r="BFG97" s="1392" t="s">
        <v>809</v>
      </c>
      <c r="BFH97" s="1392" t="s">
        <v>809</v>
      </c>
      <c r="BFI97" s="1392" t="s">
        <v>809</v>
      </c>
      <c r="BFJ97" s="1392" t="s">
        <v>809</v>
      </c>
      <c r="BFK97" s="1392" t="s">
        <v>809</v>
      </c>
      <c r="BFL97" s="1392" t="s">
        <v>809</v>
      </c>
      <c r="BFM97" s="1392" t="s">
        <v>809</v>
      </c>
      <c r="BFN97" s="1392" t="s">
        <v>809</v>
      </c>
      <c r="BFO97" s="1392" t="s">
        <v>809</v>
      </c>
      <c r="BFP97" s="1392" t="s">
        <v>809</v>
      </c>
      <c r="BFQ97" s="1392" t="s">
        <v>809</v>
      </c>
      <c r="BFR97" s="1392" t="s">
        <v>809</v>
      </c>
      <c r="BFS97" s="1392" t="s">
        <v>809</v>
      </c>
      <c r="BFT97" s="1392" t="s">
        <v>809</v>
      </c>
      <c r="BFU97" s="1392" t="s">
        <v>809</v>
      </c>
      <c r="BFV97" s="1392" t="s">
        <v>809</v>
      </c>
      <c r="BFW97" s="1392" t="s">
        <v>809</v>
      </c>
      <c r="BFX97" s="1392" t="s">
        <v>809</v>
      </c>
      <c r="BFY97" s="1392" t="s">
        <v>809</v>
      </c>
      <c r="BFZ97" s="1392" t="s">
        <v>809</v>
      </c>
      <c r="BGA97" s="1392" t="s">
        <v>809</v>
      </c>
      <c r="BGB97" s="1392" t="s">
        <v>809</v>
      </c>
      <c r="BGC97" s="1392" t="s">
        <v>809</v>
      </c>
      <c r="BGD97" s="1392" t="s">
        <v>809</v>
      </c>
      <c r="BGE97" s="1392" t="s">
        <v>809</v>
      </c>
      <c r="BGF97" s="1392" t="s">
        <v>809</v>
      </c>
      <c r="BGG97" s="1392" t="s">
        <v>809</v>
      </c>
      <c r="BGH97" s="1392" t="s">
        <v>809</v>
      </c>
      <c r="BGI97" s="1392" t="s">
        <v>809</v>
      </c>
      <c r="BGJ97" s="1392" t="s">
        <v>809</v>
      </c>
      <c r="BGK97" s="1392" t="s">
        <v>809</v>
      </c>
      <c r="BGL97" s="1392" t="s">
        <v>809</v>
      </c>
      <c r="BGM97" s="1392" t="s">
        <v>809</v>
      </c>
      <c r="BGN97" s="1392" t="s">
        <v>809</v>
      </c>
      <c r="BGO97" s="1392" t="s">
        <v>809</v>
      </c>
      <c r="BGP97" s="1392" t="s">
        <v>809</v>
      </c>
      <c r="BGQ97" s="1392" t="s">
        <v>809</v>
      </c>
      <c r="BGR97" s="1392" t="s">
        <v>809</v>
      </c>
      <c r="BGS97" s="1392" t="s">
        <v>809</v>
      </c>
      <c r="BGT97" s="1392" t="s">
        <v>809</v>
      </c>
      <c r="BGU97" s="1392" t="s">
        <v>809</v>
      </c>
      <c r="BGV97" s="1392" t="s">
        <v>809</v>
      </c>
      <c r="BGW97" s="1392" t="s">
        <v>809</v>
      </c>
      <c r="BGX97" s="1392" t="s">
        <v>809</v>
      </c>
      <c r="BGY97" s="1392" t="s">
        <v>809</v>
      </c>
      <c r="BGZ97" s="1392" t="s">
        <v>809</v>
      </c>
      <c r="BHA97" s="1392" t="s">
        <v>809</v>
      </c>
      <c r="BHB97" s="1392" t="s">
        <v>809</v>
      </c>
      <c r="BHC97" s="1392" t="s">
        <v>809</v>
      </c>
      <c r="BHD97" s="1392" t="s">
        <v>809</v>
      </c>
      <c r="BHE97" s="1392" t="s">
        <v>809</v>
      </c>
      <c r="BHF97" s="1392" t="s">
        <v>809</v>
      </c>
      <c r="BHG97" s="1392" t="s">
        <v>809</v>
      </c>
      <c r="BHH97" s="1392" t="s">
        <v>809</v>
      </c>
      <c r="BHI97" s="1392" t="s">
        <v>809</v>
      </c>
      <c r="BHJ97" s="1392" t="s">
        <v>809</v>
      </c>
      <c r="BHK97" s="1392" t="s">
        <v>809</v>
      </c>
      <c r="BHL97" s="1392" t="s">
        <v>809</v>
      </c>
      <c r="BHM97" s="1392" t="s">
        <v>809</v>
      </c>
      <c r="BHN97" s="1392" t="s">
        <v>809</v>
      </c>
      <c r="BHO97" s="1392" t="s">
        <v>809</v>
      </c>
      <c r="BHP97" s="1392" t="s">
        <v>809</v>
      </c>
      <c r="BHQ97" s="1392" t="s">
        <v>809</v>
      </c>
      <c r="BHR97" s="1392" t="s">
        <v>809</v>
      </c>
      <c r="BHS97" s="1392" t="s">
        <v>809</v>
      </c>
      <c r="BHT97" s="1392" t="s">
        <v>809</v>
      </c>
      <c r="BHU97" s="1392" t="s">
        <v>809</v>
      </c>
      <c r="BHV97" s="1392" t="s">
        <v>809</v>
      </c>
      <c r="BHW97" s="1392" t="s">
        <v>809</v>
      </c>
      <c r="BHX97" s="1392" t="s">
        <v>809</v>
      </c>
      <c r="BHY97" s="1392" t="s">
        <v>809</v>
      </c>
      <c r="BHZ97" s="1392" t="s">
        <v>809</v>
      </c>
      <c r="BIA97" s="1392" t="s">
        <v>809</v>
      </c>
      <c r="BIB97" s="1392" t="s">
        <v>809</v>
      </c>
      <c r="BIC97" s="1392" t="s">
        <v>809</v>
      </c>
      <c r="BID97" s="1392" t="s">
        <v>809</v>
      </c>
      <c r="BIE97" s="1392" t="s">
        <v>809</v>
      </c>
      <c r="BIF97" s="1392" t="s">
        <v>809</v>
      </c>
      <c r="BIG97" s="1392" t="s">
        <v>809</v>
      </c>
      <c r="BIH97" s="1392" t="s">
        <v>809</v>
      </c>
      <c r="BII97" s="1392" t="s">
        <v>809</v>
      </c>
      <c r="BIJ97" s="1392" t="s">
        <v>809</v>
      </c>
      <c r="BIK97" s="1392" t="s">
        <v>809</v>
      </c>
      <c r="BIL97" s="1392" t="s">
        <v>809</v>
      </c>
      <c r="BIM97" s="1392" t="s">
        <v>809</v>
      </c>
      <c r="BIN97" s="1392" t="s">
        <v>809</v>
      </c>
      <c r="BIO97" s="1392" t="s">
        <v>809</v>
      </c>
      <c r="BIP97" s="1392" t="s">
        <v>809</v>
      </c>
      <c r="BIQ97" s="1392" t="s">
        <v>809</v>
      </c>
      <c r="BIR97" s="1392" t="s">
        <v>809</v>
      </c>
      <c r="BIS97" s="1392" t="s">
        <v>809</v>
      </c>
      <c r="BIT97" s="1392" t="s">
        <v>809</v>
      </c>
      <c r="BIU97" s="1392" t="s">
        <v>809</v>
      </c>
      <c r="BIV97" s="1392" t="s">
        <v>809</v>
      </c>
      <c r="BIW97" s="1392" t="s">
        <v>809</v>
      </c>
      <c r="BIX97" s="1392" t="s">
        <v>809</v>
      </c>
      <c r="BIY97" s="1392" t="s">
        <v>809</v>
      </c>
      <c r="BIZ97" s="1392" t="s">
        <v>809</v>
      </c>
      <c r="BJA97" s="1392" t="s">
        <v>809</v>
      </c>
      <c r="BJB97" s="1392" t="s">
        <v>809</v>
      </c>
      <c r="BJC97" s="1392" t="s">
        <v>809</v>
      </c>
      <c r="BJD97" s="1392" t="s">
        <v>809</v>
      </c>
      <c r="BJE97" s="1392" t="s">
        <v>809</v>
      </c>
      <c r="BJF97" s="1392" t="s">
        <v>809</v>
      </c>
      <c r="BJG97" s="1392" t="s">
        <v>809</v>
      </c>
      <c r="BJH97" s="1392" t="s">
        <v>809</v>
      </c>
      <c r="BJI97" s="1392" t="s">
        <v>809</v>
      </c>
      <c r="BJJ97" s="1392" t="s">
        <v>809</v>
      </c>
      <c r="BJK97" s="1392" t="s">
        <v>809</v>
      </c>
      <c r="BJL97" s="1392" t="s">
        <v>809</v>
      </c>
      <c r="BJM97" s="1392" t="s">
        <v>809</v>
      </c>
      <c r="BJN97" s="1392" t="s">
        <v>809</v>
      </c>
      <c r="BJO97" s="1392" t="s">
        <v>809</v>
      </c>
      <c r="BJP97" s="1392" t="s">
        <v>809</v>
      </c>
      <c r="BJQ97" s="1392" t="s">
        <v>809</v>
      </c>
      <c r="BJR97" s="1392" t="s">
        <v>809</v>
      </c>
      <c r="BJS97" s="1392" t="s">
        <v>809</v>
      </c>
      <c r="BJT97" s="1392" t="s">
        <v>809</v>
      </c>
      <c r="BJU97" s="1392" t="s">
        <v>809</v>
      </c>
      <c r="BJV97" s="1392" t="s">
        <v>809</v>
      </c>
      <c r="BJW97" s="1392" t="s">
        <v>809</v>
      </c>
      <c r="BJX97" s="1392" t="s">
        <v>809</v>
      </c>
      <c r="BJY97" s="1392" t="s">
        <v>809</v>
      </c>
      <c r="BJZ97" s="1392" t="s">
        <v>809</v>
      </c>
      <c r="BKA97" s="1392" t="s">
        <v>809</v>
      </c>
      <c r="BKB97" s="1392" t="s">
        <v>809</v>
      </c>
      <c r="BKC97" s="1392" t="s">
        <v>809</v>
      </c>
      <c r="BKD97" s="1392" t="s">
        <v>809</v>
      </c>
      <c r="BKE97" s="1392" t="s">
        <v>809</v>
      </c>
      <c r="BKF97" s="1392" t="s">
        <v>809</v>
      </c>
      <c r="BKG97" s="1392" t="s">
        <v>809</v>
      </c>
      <c r="BKH97" s="1392" t="s">
        <v>809</v>
      </c>
      <c r="BKI97" s="1392" t="s">
        <v>809</v>
      </c>
      <c r="BKJ97" s="1392" t="s">
        <v>809</v>
      </c>
      <c r="BKK97" s="1392" t="s">
        <v>809</v>
      </c>
      <c r="BKL97" s="1392" t="s">
        <v>809</v>
      </c>
      <c r="BKM97" s="1392" t="s">
        <v>809</v>
      </c>
      <c r="BKN97" s="1392" t="s">
        <v>809</v>
      </c>
      <c r="BKO97" s="1392" t="s">
        <v>809</v>
      </c>
      <c r="BKP97" s="1392" t="s">
        <v>809</v>
      </c>
      <c r="BKQ97" s="1392" t="s">
        <v>809</v>
      </c>
      <c r="BKR97" s="1392" t="s">
        <v>809</v>
      </c>
      <c r="BKS97" s="1392" t="s">
        <v>809</v>
      </c>
      <c r="BKT97" s="1392" t="s">
        <v>809</v>
      </c>
      <c r="BKU97" s="1392" t="s">
        <v>809</v>
      </c>
      <c r="BKV97" s="1392" t="s">
        <v>809</v>
      </c>
      <c r="BKW97" s="1392" t="s">
        <v>809</v>
      </c>
      <c r="BKX97" s="1392" t="s">
        <v>809</v>
      </c>
      <c r="BKY97" s="1392" t="s">
        <v>809</v>
      </c>
      <c r="BKZ97" s="1392" t="s">
        <v>809</v>
      </c>
      <c r="BLA97" s="1392" t="s">
        <v>809</v>
      </c>
      <c r="BLB97" s="1392" t="s">
        <v>809</v>
      </c>
      <c r="BLC97" s="1392" t="s">
        <v>809</v>
      </c>
      <c r="BLD97" s="1392" t="s">
        <v>809</v>
      </c>
      <c r="BLE97" s="1392" t="s">
        <v>809</v>
      </c>
      <c r="BLF97" s="1392" t="s">
        <v>809</v>
      </c>
      <c r="BLG97" s="1392" t="s">
        <v>809</v>
      </c>
      <c r="BLH97" s="1392" t="s">
        <v>809</v>
      </c>
      <c r="BLI97" s="1392" t="s">
        <v>809</v>
      </c>
      <c r="BLJ97" s="1392" t="s">
        <v>809</v>
      </c>
      <c r="BLK97" s="1392" t="s">
        <v>809</v>
      </c>
      <c r="BLL97" s="1392" t="s">
        <v>809</v>
      </c>
      <c r="BLM97" s="1392" t="s">
        <v>809</v>
      </c>
      <c r="BLN97" s="1392" t="s">
        <v>809</v>
      </c>
      <c r="BLO97" s="1392" t="s">
        <v>809</v>
      </c>
      <c r="BLP97" s="1392" t="s">
        <v>809</v>
      </c>
      <c r="BLQ97" s="1392" t="s">
        <v>809</v>
      </c>
      <c r="BLR97" s="1392" t="s">
        <v>809</v>
      </c>
      <c r="BLS97" s="1392" t="s">
        <v>809</v>
      </c>
      <c r="BLT97" s="1392" t="s">
        <v>809</v>
      </c>
      <c r="BLU97" s="1392" t="s">
        <v>809</v>
      </c>
      <c r="BLV97" s="1392" t="s">
        <v>809</v>
      </c>
      <c r="BLW97" s="1392" t="s">
        <v>809</v>
      </c>
      <c r="BLX97" s="1392" t="s">
        <v>809</v>
      </c>
      <c r="BLY97" s="1392" t="s">
        <v>809</v>
      </c>
      <c r="BLZ97" s="1392" t="s">
        <v>809</v>
      </c>
      <c r="BMA97" s="1392" t="s">
        <v>809</v>
      </c>
      <c r="BMB97" s="1392" t="s">
        <v>809</v>
      </c>
      <c r="BMC97" s="1392" t="s">
        <v>809</v>
      </c>
      <c r="BMD97" s="1392" t="s">
        <v>809</v>
      </c>
      <c r="BME97" s="1392" t="s">
        <v>809</v>
      </c>
      <c r="BMF97" s="1392" t="s">
        <v>809</v>
      </c>
      <c r="BMG97" s="1392" t="s">
        <v>809</v>
      </c>
      <c r="BMH97" s="1392" t="s">
        <v>809</v>
      </c>
      <c r="BMI97" s="1392" t="s">
        <v>809</v>
      </c>
      <c r="BMJ97" s="1392" t="s">
        <v>809</v>
      </c>
      <c r="BMK97" s="1392" t="s">
        <v>809</v>
      </c>
      <c r="BML97" s="1392" t="s">
        <v>809</v>
      </c>
      <c r="BMM97" s="1392" t="s">
        <v>809</v>
      </c>
      <c r="BMN97" s="1392" t="s">
        <v>809</v>
      </c>
      <c r="BMO97" s="1392" t="s">
        <v>809</v>
      </c>
      <c r="BMP97" s="1392" t="s">
        <v>809</v>
      </c>
      <c r="BMQ97" s="1392" t="s">
        <v>809</v>
      </c>
      <c r="BMR97" s="1392" t="s">
        <v>809</v>
      </c>
      <c r="BMS97" s="1392" t="s">
        <v>809</v>
      </c>
      <c r="BMT97" s="1392" t="s">
        <v>809</v>
      </c>
      <c r="BMU97" s="1392" t="s">
        <v>809</v>
      </c>
      <c r="BMV97" s="1392" t="s">
        <v>809</v>
      </c>
      <c r="BMW97" s="1392" t="s">
        <v>809</v>
      </c>
      <c r="BMX97" s="1392" t="s">
        <v>809</v>
      </c>
      <c r="BMY97" s="1392" t="s">
        <v>809</v>
      </c>
      <c r="BMZ97" s="1392" t="s">
        <v>809</v>
      </c>
      <c r="BNA97" s="1392" t="s">
        <v>809</v>
      </c>
      <c r="BNB97" s="1392" t="s">
        <v>809</v>
      </c>
      <c r="BNC97" s="1392" t="s">
        <v>809</v>
      </c>
      <c r="BND97" s="1392" t="s">
        <v>809</v>
      </c>
      <c r="BNE97" s="1392" t="s">
        <v>809</v>
      </c>
      <c r="BNF97" s="1392" t="s">
        <v>809</v>
      </c>
      <c r="BNG97" s="1392" t="s">
        <v>809</v>
      </c>
      <c r="BNH97" s="1392" t="s">
        <v>809</v>
      </c>
      <c r="BNI97" s="1392" t="s">
        <v>809</v>
      </c>
      <c r="BNJ97" s="1392" t="s">
        <v>809</v>
      </c>
      <c r="BNK97" s="1392" t="s">
        <v>809</v>
      </c>
      <c r="BNL97" s="1392" t="s">
        <v>809</v>
      </c>
      <c r="BNM97" s="1392" t="s">
        <v>809</v>
      </c>
      <c r="BNN97" s="1392" t="s">
        <v>809</v>
      </c>
      <c r="BNO97" s="1392" t="s">
        <v>809</v>
      </c>
      <c r="BNP97" s="1392" t="s">
        <v>809</v>
      </c>
      <c r="BNQ97" s="1392" t="s">
        <v>809</v>
      </c>
      <c r="BNR97" s="1392" t="s">
        <v>809</v>
      </c>
      <c r="BNS97" s="1392" t="s">
        <v>809</v>
      </c>
      <c r="BNT97" s="1392" t="s">
        <v>809</v>
      </c>
      <c r="BNU97" s="1392" t="s">
        <v>809</v>
      </c>
      <c r="BNV97" s="1392" t="s">
        <v>809</v>
      </c>
      <c r="BNW97" s="1392" t="s">
        <v>809</v>
      </c>
      <c r="BNX97" s="1392" t="s">
        <v>809</v>
      </c>
      <c r="BNY97" s="1392" t="s">
        <v>809</v>
      </c>
      <c r="BNZ97" s="1392" t="s">
        <v>809</v>
      </c>
      <c r="BOA97" s="1392" t="s">
        <v>809</v>
      </c>
      <c r="BOB97" s="1392" t="s">
        <v>809</v>
      </c>
      <c r="BOC97" s="1392" t="s">
        <v>809</v>
      </c>
      <c r="BOD97" s="1392" t="s">
        <v>809</v>
      </c>
      <c r="BOE97" s="1392" t="s">
        <v>809</v>
      </c>
      <c r="BOF97" s="1392" t="s">
        <v>809</v>
      </c>
      <c r="BOG97" s="1392" t="s">
        <v>809</v>
      </c>
      <c r="BOH97" s="1392" t="s">
        <v>809</v>
      </c>
      <c r="BOI97" s="1392" t="s">
        <v>809</v>
      </c>
      <c r="BOJ97" s="1392" t="s">
        <v>809</v>
      </c>
      <c r="BOK97" s="1392" t="s">
        <v>809</v>
      </c>
      <c r="BOL97" s="1392" t="s">
        <v>809</v>
      </c>
      <c r="BOM97" s="1392" t="s">
        <v>809</v>
      </c>
      <c r="BON97" s="1392" t="s">
        <v>809</v>
      </c>
      <c r="BOO97" s="1392" t="s">
        <v>809</v>
      </c>
      <c r="BOP97" s="1392" t="s">
        <v>809</v>
      </c>
      <c r="BOQ97" s="1392" t="s">
        <v>809</v>
      </c>
      <c r="BOR97" s="1392" t="s">
        <v>809</v>
      </c>
      <c r="BOS97" s="1392" t="s">
        <v>809</v>
      </c>
      <c r="BOT97" s="1392" t="s">
        <v>809</v>
      </c>
      <c r="BOU97" s="1392" t="s">
        <v>809</v>
      </c>
      <c r="BOV97" s="1392" t="s">
        <v>809</v>
      </c>
      <c r="BOW97" s="1392" t="s">
        <v>809</v>
      </c>
      <c r="BOX97" s="1392" t="s">
        <v>809</v>
      </c>
      <c r="BOY97" s="1392" t="s">
        <v>809</v>
      </c>
      <c r="BOZ97" s="1392" t="s">
        <v>809</v>
      </c>
      <c r="BPA97" s="1392" t="s">
        <v>809</v>
      </c>
      <c r="BPB97" s="1392" t="s">
        <v>809</v>
      </c>
      <c r="BPC97" s="1392" t="s">
        <v>809</v>
      </c>
      <c r="BPD97" s="1392" t="s">
        <v>809</v>
      </c>
      <c r="BPE97" s="1392" t="s">
        <v>809</v>
      </c>
      <c r="BPF97" s="1392" t="s">
        <v>809</v>
      </c>
      <c r="BPG97" s="1392" t="s">
        <v>809</v>
      </c>
      <c r="BPH97" s="1392" t="s">
        <v>809</v>
      </c>
      <c r="BPI97" s="1392" t="s">
        <v>809</v>
      </c>
      <c r="BPJ97" s="1392" t="s">
        <v>809</v>
      </c>
      <c r="BPK97" s="1392" t="s">
        <v>809</v>
      </c>
      <c r="BPL97" s="1392" t="s">
        <v>809</v>
      </c>
      <c r="BPM97" s="1392" t="s">
        <v>809</v>
      </c>
      <c r="BPN97" s="1392" t="s">
        <v>809</v>
      </c>
      <c r="BPO97" s="1392" t="s">
        <v>809</v>
      </c>
      <c r="BPP97" s="1392" t="s">
        <v>809</v>
      </c>
      <c r="BPQ97" s="1392" t="s">
        <v>809</v>
      </c>
      <c r="BPR97" s="1392" t="s">
        <v>809</v>
      </c>
      <c r="BPS97" s="1392" t="s">
        <v>809</v>
      </c>
      <c r="BPT97" s="1392" t="s">
        <v>809</v>
      </c>
      <c r="BPU97" s="1392" t="s">
        <v>809</v>
      </c>
      <c r="BPV97" s="1392" t="s">
        <v>809</v>
      </c>
      <c r="BPW97" s="1392" t="s">
        <v>809</v>
      </c>
      <c r="BPX97" s="1392" t="s">
        <v>809</v>
      </c>
      <c r="BPY97" s="1392" t="s">
        <v>809</v>
      </c>
      <c r="BPZ97" s="1392" t="s">
        <v>809</v>
      </c>
      <c r="BQA97" s="1392" t="s">
        <v>809</v>
      </c>
      <c r="BQB97" s="1392" t="s">
        <v>809</v>
      </c>
      <c r="BQC97" s="1392" t="s">
        <v>809</v>
      </c>
      <c r="BQD97" s="1392" t="s">
        <v>809</v>
      </c>
      <c r="BQE97" s="1392" t="s">
        <v>809</v>
      </c>
      <c r="BQF97" s="1392" t="s">
        <v>809</v>
      </c>
      <c r="BQG97" s="1392" t="s">
        <v>809</v>
      </c>
      <c r="BQH97" s="1392" t="s">
        <v>809</v>
      </c>
      <c r="BQI97" s="1392" t="s">
        <v>809</v>
      </c>
      <c r="BQJ97" s="1392" t="s">
        <v>809</v>
      </c>
      <c r="BQK97" s="1392" t="s">
        <v>809</v>
      </c>
      <c r="BQL97" s="1392" t="s">
        <v>809</v>
      </c>
      <c r="BQM97" s="1392" t="s">
        <v>809</v>
      </c>
      <c r="BQN97" s="1392" t="s">
        <v>809</v>
      </c>
      <c r="BQO97" s="1392" t="s">
        <v>809</v>
      </c>
      <c r="BQP97" s="1392" t="s">
        <v>809</v>
      </c>
      <c r="BQQ97" s="1392" t="s">
        <v>809</v>
      </c>
      <c r="BQR97" s="1392" t="s">
        <v>809</v>
      </c>
      <c r="BQS97" s="1392" t="s">
        <v>809</v>
      </c>
      <c r="BQT97" s="1392" t="s">
        <v>809</v>
      </c>
      <c r="BQU97" s="1392" t="s">
        <v>809</v>
      </c>
      <c r="BQV97" s="1392" t="s">
        <v>809</v>
      </c>
      <c r="BQW97" s="1392" t="s">
        <v>809</v>
      </c>
      <c r="BQX97" s="1392" t="s">
        <v>809</v>
      </c>
      <c r="BQY97" s="1392" t="s">
        <v>809</v>
      </c>
      <c r="BQZ97" s="1392" t="s">
        <v>809</v>
      </c>
      <c r="BRA97" s="1392" t="s">
        <v>809</v>
      </c>
      <c r="BRB97" s="1392" t="s">
        <v>809</v>
      </c>
      <c r="BRC97" s="1392" t="s">
        <v>809</v>
      </c>
      <c r="BRD97" s="1392" t="s">
        <v>809</v>
      </c>
      <c r="BRE97" s="1392" t="s">
        <v>809</v>
      </c>
      <c r="BRF97" s="1392" t="s">
        <v>809</v>
      </c>
      <c r="BRG97" s="1392" t="s">
        <v>809</v>
      </c>
      <c r="BRH97" s="1392" t="s">
        <v>809</v>
      </c>
      <c r="BRI97" s="1392" t="s">
        <v>809</v>
      </c>
      <c r="BRJ97" s="1392" t="s">
        <v>809</v>
      </c>
      <c r="BRK97" s="1392" t="s">
        <v>809</v>
      </c>
      <c r="BRL97" s="1392" t="s">
        <v>809</v>
      </c>
      <c r="BRM97" s="1392" t="s">
        <v>809</v>
      </c>
      <c r="BRN97" s="1392" t="s">
        <v>809</v>
      </c>
      <c r="BRO97" s="1392" t="s">
        <v>809</v>
      </c>
      <c r="BRP97" s="1392" t="s">
        <v>809</v>
      </c>
      <c r="BRQ97" s="1392" t="s">
        <v>809</v>
      </c>
      <c r="BRR97" s="1392" t="s">
        <v>809</v>
      </c>
      <c r="BRS97" s="1392" t="s">
        <v>809</v>
      </c>
      <c r="BRT97" s="1392" t="s">
        <v>809</v>
      </c>
      <c r="BRU97" s="1392" t="s">
        <v>809</v>
      </c>
      <c r="BRV97" s="1392" t="s">
        <v>809</v>
      </c>
      <c r="BRW97" s="1392" t="s">
        <v>809</v>
      </c>
      <c r="BRX97" s="1392" t="s">
        <v>809</v>
      </c>
      <c r="BRY97" s="1392" t="s">
        <v>809</v>
      </c>
      <c r="BRZ97" s="1392" t="s">
        <v>809</v>
      </c>
      <c r="BSA97" s="1392" t="s">
        <v>809</v>
      </c>
      <c r="BSB97" s="1392" t="s">
        <v>809</v>
      </c>
      <c r="BSC97" s="1392" t="s">
        <v>809</v>
      </c>
      <c r="BSD97" s="1392" t="s">
        <v>809</v>
      </c>
      <c r="BSE97" s="1392" t="s">
        <v>809</v>
      </c>
      <c r="BSF97" s="1392" t="s">
        <v>809</v>
      </c>
      <c r="BSG97" s="1392" t="s">
        <v>809</v>
      </c>
      <c r="BSH97" s="1392" t="s">
        <v>809</v>
      </c>
      <c r="BSI97" s="1392" t="s">
        <v>809</v>
      </c>
      <c r="BSJ97" s="1392" t="s">
        <v>809</v>
      </c>
      <c r="BSK97" s="1392" t="s">
        <v>809</v>
      </c>
      <c r="BSL97" s="1392" t="s">
        <v>809</v>
      </c>
      <c r="BSM97" s="1392" t="s">
        <v>809</v>
      </c>
      <c r="BSN97" s="1392" t="s">
        <v>809</v>
      </c>
      <c r="BSO97" s="1392" t="s">
        <v>809</v>
      </c>
      <c r="BSP97" s="1392" t="s">
        <v>809</v>
      </c>
      <c r="BSQ97" s="1392" t="s">
        <v>809</v>
      </c>
      <c r="BSR97" s="1392" t="s">
        <v>809</v>
      </c>
      <c r="BSS97" s="1392" t="s">
        <v>809</v>
      </c>
      <c r="BST97" s="1392" t="s">
        <v>809</v>
      </c>
      <c r="BSU97" s="1392" t="s">
        <v>809</v>
      </c>
      <c r="BSV97" s="1392" t="s">
        <v>809</v>
      </c>
      <c r="BSW97" s="1392" t="s">
        <v>809</v>
      </c>
      <c r="BSX97" s="1392" t="s">
        <v>809</v>
      </c>
      <c r="BSY97" s="1392" t="s">
        <v>809</v>
      </c>
      <c r="BSZ97" s="1392" t="s">
        <v>809</v>
      </c>
      <c r="BTA97" s="1392" t="s">
        <v>809</v>
      </c>
      <c r="BTB97" s="1392" t="s">
        <v>809</v>
      </c>
      <c r="BTC97" s="1392" t="s">
        <v>809</v>
      </c>
      <c r="BTD97" s="1392" t="s">
        <v>809</v>
      </c>
      <c r="BTE97" s="1392" t="s">
        <v>809</v>
      </c>
      <c r="BTF97" s="1392" t="s">
        <v>809</v>
      </c>
      <c r="BTG97" s="1392" t="s">
        <v>809</v>
      </c>
      <c r="BTH97" s="1392" t="s">
        <v>809</v>
      </c>
      <c r="BTI97" s="1392" t="s">
        <v>809</v>
      </c>
      <c r="BTJ97" s="1392" t="s">
        <v>809</v>
      </c>
      <c r="BTK97" s="1392" t="s">
        <v>809</v>
      </c>
      <c r="BTL97" s="1392" t="s">
        <v>809</v>
      </c>
      <c r="BTM97" s="1392" t="s">
        <v>809</v>
      </c>
      <c r="BTN97" s="1392" t="s">
        <v>809</v>
      </c>
      <c r="BTO97" s="1392" t="s">
        <v>809</v>
      </c>
      <c r="BTP97" s="1392" t="s">
        <v>809</v>
      </c>
      <c r="BTQ97" s="1392" t="s">
        <v>809</v>
      </c>
      <c r="BTR97" s="1392" t="s">
        <v>809</v>
      </c>
      <c r="BTS97" s="1392" t="s">
        <v>809</v>
      </c>
      <c r="BTT97" s="1392" t="s">
        <v>809</v>
      </c>
      <c r="BTU97" s="1392" t="s">
        <v>809</v>
      </c>
      <c r="BTV97" s="1392" t="s">
        <v>809</v>
      </c>
      <c r="BTW97" s="1392" t="s">
        <v>809</v>
      </c>
      <c r="BTX97" s="1392" t="s">
        <v>809</v>
      </c>
      <c r="BTY97" s="1392" t="s">
        <v>809</v>
      </c>
      <c r="BTZ97" s="1392" t="s">
        <v>809</v>
      </c>
      <c r="BUA97" s="1392" t="s">
        <v>809</v>
      </c>
      <c r="BUB97" s="1392" t="s">
        <v>809</v>
      </c>
      <c r="BUC97" s="1392" t="s">
        <v>809</v>
      </c>
      <c r="BUD97" s="1392" t="s">
        <v>809</v>
      </c>
      <c r="BUE97" s="1392" t="s">
        <v>809</v>
      </c>
      <c r="BUF97" s="1392" t="s">
        <v>809</v>
      </c>
      <c r="BUG97" s="1392" t="s">
        <v>809</v>
      </c>
      <c r="BUH97" s="1392" t="s">
        <v>809</v>
      </c>
      <c r="BUI97" s="1392" t="s">
        <v>809</v>
      </c>
      <c r="BUJ97" s="1392" t="s">
        <v>809</v>
      </c>
      <c r="BUK97" s="1392" t="s">
        <v>809</v>
      </c>
      <c r="BUL97" s="1392" t="s">
        <v>809</v>
      </c>
      <c r="BUM97" s="1392" t="s">
        <v>809</v>
      </c>
      <c r="BUN97" s="1392" t="s">
        <v>809</v>
      </c>
      <c r="BUO97" s="1392" t="s">
        <v>809</v>
      </c>
      <c r="BUP97" s="1392" t="s">
        <v>809</v>
      </c>
      <c r="BUQ97" s="1392" t="s">
        <v>809</v>
      </c>
      <c r="BUR97" s="1392" t="s">
        <v>809</v>
      </c>
      <c r="BUS97" s="1392" t="s">
        <v>809</v>
      </c>
      <c r="BUT97" s="1392" t="s">
        <v>809</v>
      </c>
      <c r="BUU97" s="1392" t="s">
        <v>809</v>
      </c>
      <c r="BUV97" s="1392" t="s">
        <v>809</v>
      </c>
      <c r="BUW97" s="1392" t="s">
        <v>809</v>
      </c>
      <c r="BUX97" s="1392" t="s">
        <v>809</v>
      </c>
      <c r="BUY97" s="1392" t="s">
        <v>809</v>
      </c>
      <c r="BUZ97" s="1392" t="s">
        <v>809</v>
      </c>
      <c r="BVA97" s="1392" t="s">
        <v>809</v>
      </c>
      <c r="BVB97" s="1392" t="s">
        <v>809</v>
      </c>
      <c r="BVC97" s="1392" t="s">
        <v>809</v>
      </c>
      <c r="BVD97" s="1392" t="s">
        <v>809</v>
      </c>
      <c r="BVE97" s="1392" t="s">
        <v>809</v>
      </c>
      <c r="BVF97" s="1392" t="s">
        <v>809</v>
      </c>
      <c r="BVG97" s="1392" t="s">
        <v>809</v>
      </c>
      <c r="BVH97" s="1392" t="s">
        <v>809</v>
      </c>
      <c r="BVI97" s="1392" t="s">
        <v>809</v>
      </c>
      <c r="BVJ97" s="1392" t="s">
        <v>809</v>
      </c>
      <c r="BVK97" s="1392" t="s">
        <v>809</v>
      </c>
      <c r="BVL97" s="1392" t="s">
        <v>809</v>
      </c>
      <c r="BVM97" s="1392" t="s">
        <v>809</v>
      </c>
      <c r="BVN97" s="1392" t="s">
        <v>809</v>
      </c>
      <c r="BVO97" s="1392" t="s">
        <v>809</v>
      </c>
      <c r="BVP97" s="1392" t="s">
        <v>809</v>
      </c>
      <c r="BVQ97" s="1392" t="s">
        <v>809</v>
      </c>
      <c r="BVR97" s="1392" t="s">
        <v>809</v>
      </c>
      <c r="BVS97" s="1392" t="s">
        <v>809</v>
      </c>
      <c r="BVT97" s="1392" t="s">
        <v>809</v>
      </c>
      <c r="BVU97" s="1392" t="s">
        <v>809</v>
      </c>
      <c r="BVV97" s="1392" t="s">
        <v>809</v>
      </c>
      <c r="BVW97" s="1392" t="s">
        <v>809</v>
      </c>
      <c r="BVX97" s="1392" t="s">
        <v>809</v>
      </c>
      <c r="BVY97" s="1392" t="s">
        <v>809</v>
      </c>
      <c r="BVZ97" s="1392" t="s">
        <v>809</v>
      </c>
      <c r="BWA97" s="1392" t="s">
        <v>809</v>
      </c>
      <c r="BWB97" s="1392" t="s">
        <v>809</v>
      </c>
      <c r="BWC97" s="1392" t="s">
        <v>809</v>
      </c>
      <c r="BWD97" s="1392" t="s">
        <v>809</v>
      </c>
      <c r="BWE97" s="1392" t="s">
        <v>809</v>
      </c>
      <c r="BWF97" s="1392" t="s">
        <v>809</v>
      </c>
      <c r="BWG97" s="1392" t="s">
        <v>809</v>
      </c>
      <c r="BWH97" s="1392" t="s">
        <v>809</v>
      </c>
      <c r="BWI97" s="1392" t="s">
        <v>809</v>
      </c>
      <c r="BWJ97" s="1392" t="s">
        <v>809</v>
      </c>
      <c r="BWK97" s="1392" t="s">
        <v>809</v>
      </c>
      <c r="BWL97" s="1392" t="s">
        <v>809</v>
      </c>
      <c r="BWM97" s="1392" t="s">
        <v>809</v>
      </c>
      <c r="BWN97" s="1392" t="s">
        <v>809</v>
      </c>
      <c r="BWO97" s="1392" t="s">
        <v>809</v>
      </c>
      <c r="BWP97" s="1392" t="s">
        <v>809</v>
      </c>
      <c r="BWQ97" s="1392" t="s">
        <v>809</v>
      </c>
      <c r="BWR97" s="1392" t="s">
        <v>809</v>
      </c>
      <c r="BWS97" s="1392" t="s">
        <v>809</v>
      </c>
      <c r="BWT97" s="1392" t="s">
        <v>809</v>
      </c>
      <c r="BWU97" s="1392" t="s">
        <v>809</v>
      </c>
      <c r="BWV97" s="1392" t="s">
        <v>809</v>
      </c>
      <c r="BWW97" s="1392" t="s">
        <v>809</v>
      </c>
      <c r="BWX97" s="1392" t="s">
        <v>809</v>
      </c>
      <c r="BWY97" s="1392" t="s">
        <v>809</v>
      </c>
      <c r="BWZ97" s="1392" t="s">
        <v>809</v>
      </c>
      <c r="BXA97" s="1392" t="s">
        <v>809</v>
      </c>
      <c r="BXB97" s="1392" t="s">
        <v>809</v>
      </c>
      <c r="BXC97" s="1392" t="s">
        <v>809</v>
      </c>
      <c r="BXD97" s="1392" t="s">
        <v>809</v>
      </c>
      <c r="BXE97" s="1392" t="s">
        <v>809</v>
      </c>
      <c r="BXF97" s="1392" t="s">
        <v>809</v>
      </c>
      <c r="BXG97" s="1392" t="s">
        <v>809</v>
      </c>
      <c r="BXH97" s="1392" t="s">
        <v>809</v>
      </c>
      <c r="BXI97" s="1392" t="s">
        <v>809</v>
      </c>
      <c r="BXJ97" s="1392" t="s">
        <v>809</v>
      </c>
      <c r="BXK97" s="1392" t="s">
        <v>809</v>
      </c>
      <c r="BXL97" s="1392" t="s">
        <v>809</v>
      </c>
      <c r="BXM97" s="1392" t="s">
        <v>809</v>
      </c>
      <c r="BXN97" s="1392" t="s">
        <v>809</v>
      </c>
      <c r="BXO97" s="1392" t="s">
        <v>809</v>
      </c>
      <c r="BXP97" s="1392" t="s">
        <v>809</v>
      </c>
      <c r="BXQ97" s="1392" t="s">
        <v>809</v>
      </c>
      <c r="BXR97" s="1392" t="s">
        <v>809</v>
      </c>
      <c r="BXS97" s="1392" t="s">
        <v>809</v>
      </c>
      <c r="BXT97" s="1392" t="s">
        <v>809</v>
      </c>
      <c r="BXU97" s="1392" t="s">
        <v>809</v>
      </c>
      <c r="BXV97" s="1392" t="s">
        <v>809</v>
      </c>
      <c r="BXW97" s="1392" t="s">
        <v>809</v>
      </c>
      <c r="BXX97" s="1392" t="s">
        <v>809</v>
      </c>
      <c r="BXY97" s="1392" t="s">
        <v>809</v>
      </c>
      <c r="BXZ97" s="1392" t="s">
        <v>809</v>
      </c>
      <c r="BYA97" s="1392" t="s">
        <v>809</v>
      </c>
      <c r="BYB97" s="1392" t="s">
        <v>809</v>
      </c>
      <c r="BYC97" s="1392" t="s">
        <v>809</v>
      </c>
      <c r="BYD97" s="1392" t="s">
        <v>809</v>
      </c>
      <c r="BYE97" s="1392" t="s">
        <v>809</v>
      </c>
      <c r="BYF97" s="1392" t="s">
        <v>809</v>
      </c>
      <c r="BYG97" s="1392" t="s">
        <v>809</v>
      </c>
      <c r="BYH97" s="1392" t="s">
        <v>809</v>
      </c>
      <c r="BYI97" s="1392" t="s">
        <v>809</v>
      </c>
      <c r="BYJ97" s="1392" t="s">
        <v>809</v>
      </c>
      <c r="BYK97" s="1392" t="s">
        <v>809</v>
      </c>
      <c r="BYL97" s="1392" t="s">
        <v>809</v>
      </c>
      <c r="BYM97" s="1392" t="s">
        <v>809</v>
      </c>
      <c r="BYN97" s="1392" t="s">
        <v>809</v>
      </c>
      <c r="BYO97" s="1392" t="s">
        <v>809</v>
      </c>
      <c r="BYP97" s="1392" t="s">
        <v>809</v>
      </c>
      <c r="BYQ97" s="1392" t="s">
        <v>809</v>
      </c>
      <c r="BYR97" s="1392" t="s">
        <v>809</v>
      </c>
      <c r="BYS97" s="1392" t="s">
        <v>809</v>
      </c>
      <c r="BYT97" s="1392" t="s">
        <v>809</v>
      </c>
      <c r="BYU97" s="1392" t="s">
        <v>809</v>
      </c>
      <c r="BYV97" s="1392" t="s">
        <v>809</v>
      </c>
      <c r="BYW97" s="1392" t="s">
        <v>809</v>
      </c>
      <c r="BYX97" s="1392" t="s">
        <v>809</v>
      </c>
      <c r="BYY97" s="1392" t="s">
        <v>809</v>
      </c>
      <c r="BYZ97" s="1392" t="s">
        <v>809</v>
      </c>
      <c r="BZA97" s="1392" t="s">
        <v>809</v>
      </c>
      <c r="BZB97" s="1392" t="s">
        <v>809</v>
      </c>
      <c r="BZC97" s="1392" t="s">
        <v>809</v>
      </c>
      <c r="BZD97" s="1392" t="s">
        <v>809</v>
      </c>
      <c r="BZE97" s="1392" t="s">
        <v>809</v>
      </c>
      <c r="BZF97" s="1392" t="s">
        <v>809</v>
      </c>
      <c r="BZG97" s="1392" t="s">
        <v>809</v>
      </c>
      <c r="BZH97" s="1392" t="s">
        <v>809</v>
      </c>
      <c r="BZI97" s="1392" t="s">
        <v>809</v>
      </c>
      <c r="BZJ97" s="1392" t="s">
        <v>809</v>
      </c>
      <c r="BZK97" s="1392" t="s">
        <v>809</v>
      </c>
      <c r="BZL97" s="1392" t="s">
        <v>809</v>
      </c>
      <c r="BZM97" s="1392" t="s">
        <v>809</v>
      </c>
      <c r="BZN97" s="1392" t="s">
        <v>809</v>
      </c>
      <c r="BZO97" s="1392" t="s">
        <v>809</v>
      </c>
      <c r="BZP97" s="1392" t="s">
        <v>809</v>
      </c>
      <c r="BZQ97" s="1392" t="s">
        <v>809</v>
      </c>
      <c r="BZR97" s="1392" t="s">
        <v>809</v>
      </c>
      <c r="BZS97" s="1392" t="s">
        <v>809</v>
      </c>
      <c r="BZT97" s="1392" t="s">
        <v>809</v>
      </c>
      <c r="BZU97" s="1392" t="s">
        <v>809</v>
      </c>
      <c r="BZV97" s="1392" t="s">
        <v>809</v>
      </c>
      <c r="BZW97" s="1392" t="s">
        <v>809</v>
      </c>
      <c r="BZX97" s="1392" t="s">
        <v>809</v>
      </c>
      <c r="BZY97" s="1392" t="s">
        <v>809</v>
      </c>
      <c r="BZZ97" s="1392" t="s">
        <v>809</v>
      </c>
      <c r="CAA97" s="1392" t="s">
        <v>809</v>
      </c>
      <c r="CAB97" s="1392" t="s">
        <v>809</v>
      </c>
      <c r="CAC97" s="1392" t="s">
        <v>809</v>
      </c>
      <c r="CAD97" s="1392" t="s">
        <v>809</v>
      </c>
      <c r="CAE97" s="1392" t="s">
        <v>809</v>
      </c>
      <c r="CAF97" s="1392" t="s">
        <v>809</v>
      </c>
      <c r="CAG97" s="1392" t="s">
        <v>809</v>
      </c>
      <c r="CAH97" s="1392" t="s">
        <v>809</v>
      </c>
      <c r="CAI97" s="1392" t="s">
        <v>809</v>
      </c>
      <c r="CAJ97" s="1392" t="s">
        <v>809</v>
      </c>
      <c r="CAK97" s="1392" t="s">
        <v>809</v>
      </c>
      <c r="CAL97" s="1392" t="s">
        <v>809</v>
      </c>
      <c r="CAM97" s="1392" t="s">
        <v>809</v>
      </c>
      <c r="CAN97" s="1392" t="s">
        <v>809</v>
      </c>
      <c r="CAO97" s="1392" t="s">
        <v>809</v>
      </c>
      <c r="CAP97" s="1392" t="s">
        <v>809</v>
      </c>
      <c r="CAQ97" s="1392" t="s">
        <v>809</v>
      </c>
      <c r="CAR97" s="1392" t="s">
        <v>809</v>
      </c>
      <c r="CAS97" s="1392" t="s">
        <v>809</v>
      </c>
      <c r="CAT97" s="1392" t="s">
        <v>809</v>
      </c>
      <c r="CAU97" s="1392" t="s">
        <v>809</v>
      </c>
      <c r="CAV97" s="1392" t="s">
        <v>809</v>
      </c>
      <c r="CAW97" s="1392" t="s">
        <v>809</v>
      </c>
      <c r="CAX97" s="1392" t="s">
        <v>809</v>
      </c>
      <c r="CAY97" s="1392" t="s">
        <v>809</v>
      </c>
      <c r="CAZ97" s="1392" t="s">
        <v>809</v>
      </c>
      <c r="CBA97" s="1392" t="s">
        <v>809</v>
      </c>
      <c r="CBB97" s="1392" t="s">
        <v>809</v>
      </c>
      <c r="CBC97" s="1392" t="s">
        <v>809</v>
      </c>
      <c r="CBD97" s="1392" t="s">
        <v>809</v>
      </c>
      <c r="CBE97" s="1392" t="s">
        <v>809</v>
      </c>
      <c r="CBF97" s="1392" t="s">
        <v>809</v>
      </c>
      <c r="CBG97" s="1392" t="s">
        <v>809</v>
      </c>
      <c r="CBH97" s="1392" t="s">
        <v>809</v>
      </c>
      <c r="CBI97" s="1392" t="s">
        <v>809</v>
      </c>
      <c r="CBJ97" s="1392" t="s">
        <v>809</v>
      </c>
      <c r="CBK97" s="1392" t="s">
        <v>809</v>
      </c>
      <c r="CBL97" s="1392" t="s">
        <v>809</v>
      </c>
      <c r="CBM97" s="1392" t="s">
        <v>809</v>
      </c>
      <c r="CBN97" s="1392" t="s">
        <v>809</v>
      </c>
      <c r="CBO97" s="1392" t="s">
        <v>809</v>
      </c>
      <c r="CBP97" s="1392" t="s">
        <v>809</v>
      </c>
      <c r="CBQ97" s="1392" t="s">
        <v>809</v>
      </c>
      <c r="CBR97" s="1392" t="s">
        <v>809</v>
      </c>
      <c r="CBS97" s="1392" t="s">
        <v>809</v>
      </c>
      <c r="CBT97" s="1392" t="s">
        <v>809</v>
      </c>
      <c r="CBU97" s="1392" t="s">
        <v>809</v>
      </c>
      <c r="CBV97" s="1392" t="s">
        <v>809</v>
      </c>
      <c r="CBW97" s="1392" t="s">
        <v>809</v>
      </c>
      <c r="CBX97" s="1392" t="s">
        <v>809</v>
      </c>
      <c r="CBY97" s="1392" t="s">
        <v>809</v>
      </c>
      <c r="CBZ97" s="1392" t="s">
        <v>809</v>
      </c>
      <c r="CCA97" s="1392" t="s">
        <v>809</v>
      </c>
      <c r="CCB97" s="1392" t="s">
        <v>809</v>
      </c>
      <c r="CCC97" s="1392" t="s">
        <v>809</v>
      </c>
      <c r="CCD97" s="1392" t="s">
        <v>809</v>
      </c>
      <c r="CCE97" s="1392" t="s">
        <v>809</v>
      </c>
      <c r="CCF97" s="1392" t="s">
        <v>809</v>
      </c>
      <c r="CCG97" s="1392" t="s">
        <v>809</v>
      </c>
      <c r="CCH97" s="1392" t="s">
        <v>809</v>
      </c>
      <c r="CCI97" s="1392" t="s">
        <v>809</v>
      </c>
      <c r="CCJ97" s="1392" t="s">
        <v>809</v>
      </c>
      <c r="CCK97" s="1392" t="s">
        <v>809</v>
      </c>
      <c r="CCL97" s="1392" t="s">
        <v>809</v>
      </c>
      <c r="CCM97" s="1392" t="s">
        <v>809</v>
      </c>
      <c r="CCN97" s="1392" t="s">
        <v>809</v>
      </c>
      <c r="CCO97" s="1392" t="s">
        <v>809</v>
      </c>
      <c r="CCP97" s="1392" t="s">
        <v>809</v>
      </c>
      <c r="CCQ97" s="1392" t="s">
        <v>809</v>
      </c>
      <c r="CCR97" s="1392" t="s">
        <v>809</v>
      </c>
      <c r="CCS97" s="1392" t="s">
        <v>809</v>
      </c>
      <c r="CCT97" s="1392" t="s">
        <v>809</v>
      </c>
      <c r="CCU97" s="1392" t="s">
        <v>809</v>
      </c>
      <c r="CCV97" s="1392" t="s">
        <v>809</v>
      </c>
      <c r="CCW97" s="1392" t="s">
        <v>809</v>
      </c>
      <c r="CCX97" s="1392" t="s">
        <v>809</v>
      </c>
      <c r="CCY97" s="1392" t="s">
        <v>809</v>
      </c>
      <c r="CCZ97" s="1392" t="s">
        <v>809</v>
      </c>
      <c r="CDA97" s="1392" t="s">
        <v>809</v>
      </c>
      <c r="CDB97" s="1392" t="s">
        <v>809</v>
      </c>
      <c r="CDC97" s="1392" t="s">
        <v>809</v>
      </c>
      <c r="CDD97" s="1392" t="s">
        <v>809</v>
      </c>
      <c r="CDE97" s="1392" t="s">
        <v>809</v>
      </c>
      <c r="CDF97" s="1392" t="s">
        <v>809</v>
      </c>
      <c r="CDG97" s="1392" t="s">
        <v>809</v>
      </c>
      <c r="CDH97" s="1392" t="s">
        <v>809</v>
      </c>
      <c r="CDI97" s="1392" t="s">
        <v>809</v>
      </c>
      <c r="CDJ97" s="1392" t="s">
        <v>809</v>
      </c>
      <c r="CDK97" s="1392" t="s">
        <v>809</v>
      </c>
      <c r="CDL97" s="1392" t="s">
        <v>809</v>
      </c>
      <c r="CDM97" s="1392" t="s">
        <v>809</v>
      </c>
      <c r="CDN97" s="1392" t="s">
        <v>809</v>
      </c>
      <c r="CDO97" s="1392" t="s">
        <v>809</v>
      </c>
      <c r="CDP97" s="1392" t="s">
        <v>809</v>
      </c>
      <c r="CDQ97" s="1392" t="s">
        <v>809</v>
      </c>
      <c r="CDR97" s="1392" t="s">
        <v>809</v>
      </c>
      <c r="CDS97" s="1392" t="s">
        <v>809</v>
      </c>
      <c r="CDT97" s="1392" t="s">
        <v>809</v>
      </c>
      <c r="CDU97" s="1392" t="s">
        <v>809</v>
      </c>
      <c r="CDV97" s="1392" t="s">
        <v>809</v>
      </c>
      <c r="CDW97" s="1392" t="s">
        <v>809</v>
      </c>
      <c r="CDX97" s="1392" t="s">
        <v>809</v>
      </c>
      <c r="CDY97" s="1392" t="s">
        <v>809</v>
      </c>
      <c r="CDZ97" s="1392" t="s">
        <v>809</v>
      </c>
      <c r="CEA97" s="1392" t="s">
        <v>809</v>
      </c>
      <c r="CEB97" s="1392" t="s">
        <v>809</v>
      </c>
      <c r="CEC97" s="1392" t="s">
        <v>809</v>
      </c>
      <c r="CED97" s="1392" t="s">
        <v>809</v>
      </c>
      <c r="CEE97" s="1392" t="s">
        <v>809</v>
      </c>
      <c r="CEF97" s="1392" t="s">
        <v>809</v>
      </c>
      <c r="CEG97" s="1392" t="s">
        <v>809</v>
      </c>
      <c r="CEH97" s="1392" t="s">
        <v>809</v>
      </c>
      <c r="CEI97" s="1392" t="s">
        <v>809</v>
      </c>
      <c r="CEJ97" s="1392" t="s">
        <v>809</v>
      </c>
      <c r="CEK97" s="1392" t="s">
        <v>809</v>
      </c>
      <c r="CEL97" s="1392" t="s">
        <v>809</v>
      </c>
      <c r="CEM97" s="1392" t="s">
        <v>809</v>
      </c>
      <c r="CEN97" s="1392" t="s">
        <v>809</v>
      </c>
      <c r="CEO97" s="1392" t="s">
        <v>809</v>
      </c>
      <c r="CEP97" s="1392" t="s">
        <v>809</v>
      </c>
      <c r="CEQ97" s="1392" t="s">
        <v>809</v>
      </c>
      <c r="CER97" s="1392" t="s">
        <v>809</v>
      </c>
      <c r="CES97" s="1392" t="s">
        <v>809</v>
      </c>
      <c r="CET97" s="1392" t="s">
        <v>809</v>
      </c>
      <c r="CEU97" s="1392" t="s">
        <v>809</v>
      </c>
      <c r="CEV97" s="1392" t="s">
        <v>809</v>
      </c>
      <c r="CEW97" s="1392" t="s">
        <v>809</v>
      </c>
      <c r="CEX97" s="1392" t="s">
        <v>809</v>
      </c>
      <c r="CEY97" s="1392" t="s">
        <v>809</v>
      </c>
      <c r="CEZ97" s="1392" t="s">
        <v>809</v>
      </c>
      <c r="CFA97" s="1392" t="s">
        <v>809</v>
      </c>
      <c r="CFB97" s="1392" t="s">
        <v>809</v>
      </c>
      <c r="CFC97" s="1392" t="s">
        <v>809</v>
      </c>
      <c r="CFD97" s="1392" t="s">
        <v>809</v>
      </c>
      <c r="CFE97" s="1392" t="s">
        <v>809</v>
      </c>
      <c r="CFF97" s="1392" t="s">
        <v>809</v>
      </c>
      <c r="CFG97" s="1392" t="s">
        <v>809</v>
      </c>
      <c r="CFH97" s="1392" t="s">
        <v>809</v>
      </c>
      <c r="CFI97" s="1392" t="s">
        <v>809</v>
      </c>
      <c r="CFJ97" s="1392" t="s">
        <v>809</v>
      </c>
      <c r="CFK97" s="1392" t="s">
        <v>809</v>
      </c>
      <c r="CFL97" s="1392" t="s">
        <v>809</v>
      </c>
      <c r="CFM97" s="1392" t="s">
        <v>809</v>
      </c>
      <c r="CFN97" s="1392" t="s">
        <v>809</v>
      </c>
      <c r="CFO97" s="1392" t="s">
        <v>809</v>
      </c>
      <c r="CFP97" s="1392" t="s">
        <v>809</v>
      </c>
      <c r="CFQ97" s="1392" t="s">
        <v>809</v>
      </c>
      <c r="CFR97" s="1392" t="s">
        <v>809</v>
      </c>
      <c r="CFS97" s="1392" t="s">
        <v>809</v>
      </c>
      <c r="CFT97" s="1392" t="s">
        <v>809</v>
      </c>
      <c r="CFU97" s="1392" t="s">
        <v>809</v>
      </c>
      <c r="CFV97" s="1392" t="s">
        <v>809</v>
      </c>
      <c r="CFW97" s="1392" t="s">
        <v>809</v>
      </c>
      <c r="CFX97" s="1392" t="s">
        <v>809</v>
      </c>
      <c r="CFY97" s="1392" t="s">
        <v>809</v>
      </c>
      <c r="CFZ97" s="1392" t="s">
        <v>809</v>
      </c>
      <c r="CGA97" s="1392" t="s">
        <v>809</v>
      </c>
      <c r="CGB97" s="1392" t="s">
        <v>809</v>
      </c>
      <c r="CGC97" s="1392" t="s">
        <v>809</v>
      </c>
      <c r="CGD97" s="1392" t="s">
        <v>809</v>
      </c>
      <c r="CGE97" s="1392" t="s">
        <v>809</v>
      </c>
      <c r="CGF97" s="1392" t="s">
        <v>809</v>
      </c>
      <c r="CGG97" s="1392" t="s">
        <v>809</v>
      </c>
      <c r="CGH97" s="1392" t="s">
        <v>809</v>
      </c>
      <c r="CGI97" s="1392" t="s">
        <v>809</v>
      </c>
      <c r="CGJ97" s="1392" t="s">
        <v>809</v>
      </c>
      <c r="CGK97" s="1392" t="s">
        <v>809</v>
      </c>
      <c r="CGL97" s="1392" t="s">
        <v>809</v>
      </c>
      <c r="CGM97" s="1392" t="s">
        <v>809</v>
      </c>
      <c r="CGN97" s="1392" t="s">
        <v>809</v>
      </c>
      <c r="CGO97" s="1392" t="s">
        <v>809</v>
      </c>
      <c r="CGP97" s="1392" t="s">
        <v>809</v>
      </c>
      <c r="CGQ97" s="1392" t="s">
        <v>809</v>
      </c>
      <c r="CGR97" s="1392" t="s">
        <v>809</v>
      </c>
      <c r="CGS97" s="1392" t="s">
        <v>809</v>
      </c>
      <c r="CGT97" s="1392" t="s">
        <v>809</v>
      </c>
      <c r="CGU97" s="1392" t="s">
        <v>809</v>
      </c>
      <c r="CGV97" s="1392" t="s">
        <v>809</v>
      </c>
      <c r="CGW97" s="1392" t="s">
        <v>809</v>
      </c>
      <c r="CGX97" s="1392" t="s">
        <v>809</v>
      </c>
      <c r="CGY97" s="1392" t="s">
        <v>809</v>
      </c>
      <c r="CGZ97" s="1392" t="s">
        <v>809</v>
      </c>
      <c r="CHA97" s="1392" t="s">
        <v>809</v>
      </c>
      <c r="CHB97" s="1392" t="s">
        <v>809</v>
      </c>
      <c r="CHC97" s="1392" t="s">
        <v>809</v>
      </c>
      <c r="CHD97" s="1392" t="s">
        <v>809</v>
      </c>
      <c r="CHE97" s="1392" t="s">
        <v>809</v>
      </c>
      <c r="CHF97" s="1392" t="s">
        <v>809</v>
      </c>
      <c r="CHG97" s="1392" t="s">
        <v>809</v>
      </c>
      <c r="CHH97" s="1392" t="s">
        <v>809</v>
      </c>
      <c r="CHI97" s="1392" t="s">
        <v>809</v>
      </c>
      <c r="CHJ97" s="1392" t="s">
        <v>809</v>
      </c>
      <c r="CHK97" s="1392" t="s">
        <v>809</v>
      </c>
      <c r="CHL97" s="1392" t="s">
        <v>809</v>
      </c>
      <c r="CHM97" s="1392" t="s">
        <v>809</v>
      </c>
      <c r="CHN97" s="1392" t="s">
        <v>809</v>
      </c>
      <c r="CHO97" s="1392" t="s">
        <v>809</v>
      </c>
      <c r="CHP97" s="1392" t="s">
        <v>809</v>
      </c>
      <c r="CHQ97" s="1392" t="s">
        <v>809</v>
      </c>
      <c r="CHR97" s="1392" t="s">
        <v>809</v>
      </c>
      <c r="CHS97" s="1392" t="s">
        <v>809</v>
      </c>
      <c r="CHT97" s="1392" t="s">
        <v>809</v>
      </c>
      <c r="CHU97" s="1392" t="s">
        <v>809</v>
      </c>
      <c r="CHV97" s="1392" t="s">
        <v>809</v>
      </c>
      <c r="CHW97" s="1392" t="s">
        <v>809</v>
      </c>
      <c r="CHX97" s="1392" t="s">
        <v>809</v>
      </c>
      <c r="CHY97" s="1392" t="s">
        <v>809</v>
      </c>
      <c r="CHZ97" s="1392" t="s">
        <v>809</v>
      </c>
      <c r="CIA97" s="1392" t="s">
        <v>809</v>
      </c>
      <c r="CIB97" s="1392" t="s">
        <v>809</v>
      </c>
      <c r="CIC97" s="1392" t="s">
        <v>809</v>
      </c>
      <c r="CID97" s="1392" t="s">
        <v>809</v>
      </c>
      <c r="CIE97" s="1392" t="s">
        <v>809</v>
      </c>
      <c r="CIF97" s="1392" t="s">
        <v>809</v>
      </c>
      <c r="CIG97" s="1392" t="s">
        <v>809</v>
      </c>
      <c r="CIH97" s="1392" t="s">
        <v>809</v>
      </c>
      <c r="CII97" s="1392" t="s">
        <v>809</v>
      </c>
      <c r="CIJ97" s="1392" t="s">
        <v>809</v>
      </c>
      <c r="CIK97" s="1392" t="s">
        <v>809</v>
      </c>
      <c r="CIL97" s="1392" t="s">
        <v>809</v>
      </c>
      <c r="CIM97" s="1392" t="s">
        <v>809</v>
      </c>
      <c r="CIN97" s="1392" t="s">
        <v>809</v>
      </c>
      <c r="CIO97" s="1392" t="s">
        <v>809</v>
      </c>
      <c r="CIP97" s="1392" t="s">
        <v>809</v>
      </c>
      <c r="CIQ97" s="1392" t="s">
        <v>809</v>
      </c>
      <c r="CIR97" s="1392" t="s">
        <v>809</v>
      </c>
      <c r="CIS97" s="1392" t="s">
        <v>809</v>
      </c>
      <c r="CIT97" s="1392" t="s">
        <v>809</v>
      </c>
      <c r="CIU97" s="1392" t="s">
        <v>809</v>
      </c>
      <c r="CIV97" s="1392" t="s">
        <v>809</v>
      </c>
      <c r="CIW97" s="1392" t="s">
        <v>809</v>
      </c>
      <c r="CIX97" s="1392" t="s">
        <v>809</v>
      </c>
      <c r="CIY97" s="1392" t="s">
        <v>809</v>
      </c>
      <c r="CIZ97" s="1392" t="s">
        <v>809</v>
      </c>
      <c r="CJA97" s="1392" t="s">
        <v>809</v>
      </c>
      <c r="CJB97" s="1392" t="s">
        <v>809</v>
      </c>
      <c r="CJC97" s="1392" t="s">
        <v>809</v>
      </c>
      <c r="CJD97" s="1392" t="s">
        <v>809</v>
      </c>
      <c r="CJE97" s="1392" t="s">
        <v>809</v>
      </c>
      <c r="CJF97" s="1392" t="s">
        <v>809</v>
      </c>
      <c r="CJG97" s="1392" t="s">
        <v>809</v>
      </c>
      <c r="CJH97" s="1392" t="s">
        <v>809</v>
      </c>
      <c r="CJI97" s="1392" t="s">
        <v>809</v>
      </c>
      <c r="CJJ97" s="1392" t="s">
        <v>809</v>
      </c>
      <c r="CJK97" s="1392" t="s">
        <v>809</v>
      </c>
      <c r="CJL97" s="1392" t="s">
        <v>809</v>
      </c>
      <c r="CJM97" s="1392" t="s">
        <v>809</v>
      </c>
      <c r="CJN97" s="1392" t="s">
        <v>809</v>
      </c>
      <c r="CJO97" s="1392" t="s">
        <v>809</v>
      </c>
      <c r="CJP97" s="1392" t="s">
        <v>809</v>
      </c>
      <c r="CJQ97" s="1392" t="s">
        <v>809</v>
      </c>
      <c r="CJR97" s="1392" t="s">
        <v>809</v>
      </c>
      <c r="CJS97" s="1392" t="s">
        <v>809</v>
      </c>
      <c r="CJT97" s="1392" t="s">
        <v>809</v>
      </c>
      <c r="CJU97" s="1392" t="s">
        <v>809</v>
      </c>
      <c r="CJV97" s="1392" t="s">
        <v>809</v>
      </c>
      <c r="CJW97" s="1392" t="s">
        <v>809</v>
      </c>
      <c r="CJX97" s="1392" t="s">
        <v>809</v>
      </c>
      <c r="CJY97" s="1392" t="s">
        <v>809</v>
      </c>
      <c r="CJZ97" s="1392" t="s">
        <v>809</v>
      </c>
      <c r="CKA97" s="1392" t="s">
        <v>809</v>
      </c>
      <c r="CKB97" s="1392" t="s">
        <v>809</v>
      </c>
      <c r="CKC97" s="1392" t="s">
        <v>809</v>
      </c>
      <c r="CKD97" s="1392" t="s">
        <v>809</v>
      </c>
      <c r="CKE97" s="1392" t="s">
        <v>809</v>
      </c>
      <c r="CKF97" s="1392" t="s">
        <v>809</v>
      </c>
      <c r="CKG97" s="1392" t="s">
        <v>809</v>
      </c>
      <c r="CKH97" s="1392" t="s">
        <v>809</v>
      </c>
      <c r="CKI97" s="1392" t="s">
        <v>809</v>
      </c>
      <c r="CKJ97" s="1392" t="s">
        <v>809</v>
      </c>
      <c r="CKK97" s="1392" t="s">
        <v>809</v>
      </c>
      <c r="CKL97" s="1392" t="s">
        <v>809</v>
      </c>
      <c r="CKM97" s="1392" t="s">
        <v>809</v>
      </c>
      <c r="CKN97" s="1392" t="s">
        <v>809</v>
      </c>
      <c r="CKO97" s="1392" t="s">
        <v>809</v>
      </c>
      <c r="CKP97" s="1392" t="s">
        <v>809</v>
      </c>
      <c r="CKQ97" s="1392" t="s">
        <v>809</v>
      </c>
      <c r="CKR97" s="1392" t="s">
        <v>809</v>
      </c>
      <c r="CKS97" s="1392" t="s">
        <v>809</v>
      </c>
      <c r="CKT97" s="1392" t="s">
        <v>809</v>
      </c>
      <c r="CKU97" s="1392" t="s">
        <v>809</v>
      </c>
      <c r="CKV97" s="1392" t="s">
        <v>809</v>
      </c>
      <c r="CKW97" s="1392" t="s">
        <v>809</v>
      </c>
      <c r="CKX97" s="1392" t="s">
        <v>809</v>
      </c>
      <c r="CKY97" s="1392" t="s">
        <v>809</v>
      </c>
      <c r="CKZ97" s="1392" t="s">
        <v>809</v>
      </c>
      <c r="CLA97" s="1392" t="s">
        <v>809</v>
      </c>
      <c r="CLB97" s="1392" t="s">
        <v>809</v>
      </c>
      <c r="CLC97" s="1392" t="s">
        <v>809</v>
      </c>
      <c r="CLD97" s="1392" t="s">
        <v>809</v>
      </c>
      <c r="CLE97" s="1392" t="s">
        <v>809</v>
      </c>
      <c r="CLF97" s="1392" t="s">
        <v>809</v>
      </c>
      <c r="CLG97" s="1392" t="s">
        <v>809</v>
      </c>
      <c r="CLH97" s="1392" t="s">
        <v>809</v>
      </c>
      <c r="CLI97" s="1392" t="s">
        <v>809</v>
      </c>
      <c r="CLJ97" s="1392" t="s">
        <v>809</v>
      </c>
      <c r="CLK97" s="1392" t="s">
        <v>809</v>
      </c>
      <c r="CLL97" s="1392" t="s">
        <v>809</v>
      </c>
      <c r="CLM97" s="1392" t="s">
        <v>809</v>
      </c>
      <c r="CLN97" s="1392" t="s">
        <v>809</v>
      </c>
      <c r="CLO97" s="1392" t="s">
        <v>809</v>
      </c>
      <c r="CLP97" s="1392" t="s">
        <v>809</v>
      </c>
      <c r="CLQ97" s="1392" t="s">
        <v>809</v>
      </c>
      <c r="CLR97" s="1392" t="s">
        <v>809</v>
      </c>
      <c r="CLS97" s="1392" t="s">
        <v>809</v>
      </c>
      <c r="CLT97" s="1392" t="s">
        <v>809</v>
      </c>
      <c r="CLU97" s="1392" t="s">
        <v>809</v>
      </c>
      <c r="CLV97" s="1392" t="s">
        <v>809</v>
      </c>
      <c r="CLW97" s="1392" t="s">
        <v>809</v>
      </c>
      <c r="CLX97" s="1392" t="s">
        <v>809</v>
      </c>
      <c r="CLY97" s="1392" t="s">
        <v>809</v>
      </c>
      <c r="CLZ97" s="1392" t="s">
        <v>809</v>
      </c>
      <c r="CMA97" s="1392" t="s">
        <v>809</v>
      </c>
      <c r="CMB97" s="1392" t="s">
        <v>809</v>
      </c>
      <c r="CMC97" s="1392" t="s">
        <v>809</v>
      </c>
      <c r="CMD97" s="1392" t="s">
        <v>809</v>
      </c>
      <c r="CME97" s="1392" t="s">
        <v>809</v>
      </c>
      <c r="CMF97" s="1392" t="s">
        <v>809</v>
      </c>
      <c r="CMG97" s="1392" t="s">
        <v>809</v>
      </c>
      <c r="CMH97" s="1392" t="s">
        <v>809</v>
      </c>
      <c r="CMI97" s="1392" t="s">
        <v>809</v>
      </c>
      <c r="CMJ97" s="1392" t="s">
        <v>809</v>
      </c>
      <c r="CMK97" s="1392" t="s">
        <v>809</v>
      </c>
      <c r="CML97" s="1392" t="s">
        <v>809</v>
      </c>
      <c r="CMM97" s="1392" t="s">
        <v>809</v>
      </c>
      <c r="CMN97" s="1392" t="s">
        <v>809</v>
      </c>
      <c r="CMO97" s="1392" t="s">
        <v>809</v>
      </c>
      <c r="CMP97" s="1392" t="s">
        <v>809</v>
      </c>
      <c r="CMQ97" s="1392" t="s">
        <v>809</v>
      </c>
      <c r="CMR97" s="1392" t="s">
        <v>809</v>
      </c>
      <c r="CMS97" s="1392" t="s">
        <v>809</v>
      </c>
      <c r="CMT97" s="1392" t="s">
        <v>809</v>
      </c>
      <c r="CMU97" s="1392" t="s">
        <v>809</v>
      </c>
      <c r="CMV97" s="1392" t="s">
        <v>809</v>
      </c>
      <c r="CMW97" s="1392" t="s">
        <v>809</v>
      </c>
      <c r="CMX97" s="1392" t="s">
        <v>809</v>
      </c>
      <c r="CMY97" s="1392" t="s">
        <v>809</v>
      </c>
      <c r="CMZ97" s="1392" t="s">
        <v>809</v>
      </c>
      <c r="CNA97" s="1392" t="s">
        <v>809</v>
      </c>
      <c r="CNB97" s="1392" t="s">
        <v>809</v>
      </c>
      <c r="CNC97" s="1392" t="s">
        <v>809</v>
      </c>
      <c r="CND97" s="1392" t="s">
        <v>809</v>
      </c>
      <c r="CNE97" s="1392" t="s">
        <v>809</v>
      </c>
      <c r="CNF97" s="1392" t="s">
        <v>809</v>
      </c>
      <c r="CNG97" s="1392" t="s">
        <v>809</v>
      </c>
      <c r="CNH97" s="1392" t="s">
        <v>809</v>
      </c>
      <c r="CNI97" s="1392" t="s">
        <v>809</v>
      </c>
      <c r="CNJ97" s="1392" t="s">
        <v>809</v>
      </c>
      <c r="CNK97" s="1392" t="s">
        <v>809</v>
      </c>
      <c r="CNL97" s="1392" t="s">
        <v>809</v>
      </c>
      <c r="CNM97" s="1392" t="s">
        <v>809</v>
      </c>
      <c r="CNN97" s="1392" t="s">
        <v>809</v>
      </c>
      <c r="CNO97" s="1392" t="s">
        <v>809</v>
      </c>
      <c r="CNP97" s="1392" t="s">
        <v>809</v>
      </c>
      <c r="CNQ97" s="1392" t="s">
        <v>809</v>
      </c>
      <c r="CNR97" s="1392" t="s">
        <v>809</v>
      </c>
      <c r="CNS97" s="1392" t="s">
        <v>809</v>
      </c>
      <c r="CNT97" s="1392" t="s">
        <v>809</v>
      </c>
      <c r="CNU97" s="1392" t="s">
        <v>809</v>
      </c>
      <c r="CNV97" s="1392" t="s">
        <v>809</v>
      </c>
      <c r="CNW97" s="1392" t="s">
        <v>809</v>
      </c>
      <c r="CNX97" s="1392" t="s">
        <v>809</v>
      </c>
      <c r="CNY97" s="1392" t="s">
        <v>809</v>
      </c>
      <c r="CNZ97" s="1392" t="s">
        <v>809</v>
      </c>
      <c r="COA97" s="1392" t="s">
        <v>809</v>
      </c>
      <c r="COB97" s="1392" t="s">
        <v>809</v>
      </c>
      <c r="COC97" s="1392" t="s">
        <v>809</v>
      </c>
      <c r="COD97" s="1392" t="s">
        <v>809</v>
      </c>
      <c r="COE97" s="1392" t="s">
        <v>809</v>
      </c>
      <c r="COF97" s="1392" t="s">
        <v>809</v>
      </c>
      <c r="COG97" s="1392" t="s">
        <v>809</v>
      </c>
      <c r="COH97" s="1392" t="s">
        <v>809</v>
      </c>
      <c r="COI97" s="1392" t="s">
        <v>809</v>
      </c>
      <c r="COJ97" s="1392" t="s">
        <v>809</v>
      </c>
      <c r="COK97" s="1392" t="s">
        <v>809</v>
      </c>
      <c r="COL97" s="1392" t="s">
        <v>809</v>
      </c>
      <c r="COM97" s="1392" t="s">
        <v>809</v>
      </c>
      <c r="CON97" s="1392" t="s">
        <v>809</v>
      </c>
      <c r="COO97" s="1392" t="s">
        <v>809</v>
      </c>
      <c r="COP97" s="1392" t="s">
        <v>809</v>
      </c>
      <c r="COQ97" s="1392" t="s">
        <v>809</v>
      </c>
      <c r="COR97" s="1392" t="s">
        <v>809</v>
      </c>
      <c r="COS97" s="1392" t="s">
        <v>809</v>
      </c>
      <c r="COT97" s="1392" t="s">
        <v>809</v>
      </c>
      <c r="COU97" s="1392" t="s">
        <v>809</v>
      </c>
      <c r="COV97" s="1392" t="s">
        <v>809</v>
      </c>
      <c r="COW97" s="1392" t="s">
        <v>809</v>
      </c>
      <c r="COX97" s="1392" t="s">
        <v>809</v>
      </c>
      <c r="COY97" s="1392" t="s">
        <v>809</v>
      </c>
      <c r="COZ97" s="1392" t="s">
        <v>809</v>
      </c>
      <c r="CPA97" s="1392" t="s">
        <v>809</v>
      </c>
      <c r="CPB97" s="1392" t="s">
        <v>809</v>
      </c>
      <c r="CPC97" s="1392" t="s">
        <v>809</v>
      </c>
      <c r="CPD97" s="1392" t="s">
        <v>809</v>
      </c>
      <c r="CPE97" s="1392" t="s">
        <v>809</v>
      </c>
      <c r="CPF97" s="1392" t="s">
        <v>809</v>
      </c>
      <c r="CPG97" s="1392" t="s">
        <v>809</v>
      </c>
      <c r="CPH97" s="1392" t="s">
        <v>809</v>
      </c>
      <c r="CPI97" s="1392" t="s">
        <v>809</v>
      </c>
      <c r="CPJ97" s="1392" t="s">
        <v>809</v>
      </c>
      <c r="CPK97" s="1392" t="s">
        <v>809</v>
      </c>
      <c r="CPL97" s="1392" t="s">
        <v>809</v>
      </c>
      <c r="CPM97" s="1392" t="s">
        <v>809</v>
      </c>
      <c r="CPN97" s="1392" t="s">
        <v>809</v>
      </c>
      <c r="CPO97" s="1392" t="s">
        <v>809</v>
      </c>
      <c r="CPP97" s="1392" t="s">
        <v>809</v>
      </c>
      <c r="CPQ97" s="1392" t="s">
        <v>809</v>
      </c>
      <c r="CPR97" s="1392" t="s">
        <v>809</v>
      </c>
      <c r="CPS97" s="1392" t="s">
        <v>809</v>
      </c>
      <c r="CPT97" s="1392" t="s">
        <v>809</v>
      </c>
      <c r="CPU97" s="1392" t="s">
        <v>809</v>
      </c>
      <c r="CPV97" s="1392" t="s">
        <v>809</v>
      </c>
      <c r="CPW97" s="1392" t="s">
        <v>809</v>
      </c>
      <c r="CPX97" s="1392" t="s">
        <v>809</v>
      </c>
      <c r="CPY97" s="1392" t="s">
        <v>809</v>
      </c>
      <c r="CPZ97" s="1392" t="s">
        <v>809</v>
      </c>
      <c r="CQA97" s="1392" t="s">
        <v>809</v>
      </c>
      <c r="CQB97" s="1392" t="s">
        <v>809</v>
      </c>
      <c r="CQC97" s="1392" t="s">
        <v>809</v>
      </c>
      <c r="CQD97" s="1392" t="s">
        <v>809</v>
      </c>
      <c r="CQE97" s="1392" t="s">
        <v>809</v>
      </c>
      <c r="CQF97" s="1392" t="s">
        <v>809</v>
      </c>
      <c r="CQG97" s="1392" t="s">
        <v>809</v>
      </c>
      <c r="CQH97" s="1392" t="s">
        <v>809</v>
      </c>
      <c r="CQI97" s="1392" t="s">
        <v>809</v>
      </c>
      <c r="CQJ97" s="1392" t="s">
        <v>809</v>
      </c>
      <c r="CQK97" s="1392" t="s">
        <v>809</v>
      </c>
      <c r="CQL97" s="1392" t="s">
        <v>809</v>
      </c>
      <c r="CQM97" s="1392" t="s">
        <v>809</v>
      </c>
      <c r="CQN97" s="1392" t="s">
        <v>809</v>
      </c>
      <c r="CQO97" s="1392" t="s">
        <v>809</v>
      </c>
      <c r="CQP97" s="1392" t="s">
        <v>809</v>
      </c>
      <c r="CQQ97" s="1392" t="s">
        <v>809</v>
      </c>
      <c r="CQR97" s="1392" t="s">
        <v>809</v>
      </c>
      <c r="CQS97" s="1392" t="s">
        <v>809</v>
      </c>
      <c r="CQT97" s="1392" t="s">
        <v>809</v>
      </c>
      <c r="CQU97" s="1392" t="s">
        <v>809</v>
      </c>
      <c r="CQV97" s="1392" t="s">
        <v>809</v>
      </c>
      <c r="CQW97" s="1392" t="s">
        <v>809</v>
      </c>
      <c r="CQX97" s="1392" t="s">
        <v>809</v>
      </c>
      <c r="CQY97" s="1392" t="s">
        <v>809</v>
      </c>
      <c r="CQZ97" s="1392" t="s">
        <v>809</v>
      </c>
      <c r="CRA97" s="1392" t="s">
        <v>809</v>
      </c>
      <c r="CRB97" s="1392" t="s">
        <v>809</v>
      </c>
      <c r="CRC97" s="1392" t="s">
        <v>809</v>
      </c>
      <c r="CRD97" s="1392" t="s">
        <v>809</v>
      </c>
      <c r="CRE97" s="1392" t="s">
        <v>809</v>
      </c>
      <c r="CRF97" s="1392" t="s">
        <v>809</v>
      </c>
      <c r="CRG97" s="1392" t="s">
        <v>809</v>
      </c>
      <c r="CRH97" s="1392" t="s">
        <v>809</v>
      </c>
      <c r="CRI97" s="1392" t="s">
        <v>809</v>
      </c>
      <c r="CRJ97" s="1392" t="s">
        <v>809</v>
      </c>
      <c r="CRK97" s="1392" t="s">
        <v>809</v>
      </c>
      <c r="CRL97" s="1392" t="s">
        <v>809</v>
      </c>
      <c r="CRM97" s="1392" t="s">
        <v>809</v>
      </c>
      <c r="CRN97" s="1392" t="s">
        <v>809</v>
      </c>
      <c r="CRO97" s="1392" t="s">
        <v>809</v>
      </c>
      <c r="CRP97" s="1392" t="s">
        <v>809</v>
      </c>
      <c r="CRQ97" s="1392" t="s">
        <v>809</v>
      </c>
      <c r="CRR97" s="1392" t="s">
        <v>809</v>
      </c>
      <c r="CRS97" s="1392" t="s">
        <v>809</v>
      </c>
      <c r="CRT97" s="1392" t="s">
        <v>809</v>
      </c>
      <c r="CRU97" s="1392" t="s">
        <v>809</v>
      </c>
      <c r="CRV97" s="1392" t="s">
        <v>809</v>
      </c>
      <c r="CRW97" s="1392" t="s">
        <v>809</v>
      </c>
      <c r="CRX97" s="1392" t="s">
        <v>809</v>
      </c>
      <c r="CRY97" s="1392" t="s">
        <v>809</v>
      </c>
      <c r="CRZ97" s="1392" t="s">
        <v>809</v>
      </c>
      <c r="CSA97" s="1392" t="s">
        <v>809</v>
      </c>
      <c r="CSB97" s="1392" t="s">
        <v>809</v>
      </c>
      <c r="CSC97" s="1392" t="s">
        <v>809</v>
      </c>
      <c r="CSD97" s="1392" t="s">
        <v>809</v>
      </c>
      <c r="CSE97" s="1392" t="s">
        <v>809</v>
      </c>
      <c r="CSF97" s="1392" t="s">
        <v>809</v>
      </c>
      <c r="CSG97" s="1392" t="s">
        <v>809</v>
      </c>
      <c r="CSH97" s="1392" t="s">
        <v>809</v>
      </c>
      <c r="CSI97" s="1392" t="s">
        <v>809</v>
      </c>
      <c r="CSJ97" s="1392" t="s">
        <v>809</v>
      </c>
      <c r="CSK97" s="1392" t="s">
        <v>809</v>
      </c>
      <c r="CSL97" s="1392" t="s">
        <v>809</v>
      </c>
      <c r="CSM97" s="1392" t="s">
        <v>809</v>
      </c>
      <c r="CSN97" s="1392" t="s">
        <v>809</v>
      </c>
      <c r="CSO97" s="1392" t="s">
        <v>809</v>
      </c>
      <c r="CSP97" s="1392" t="s">
        <v>809</v>
      </c>
      <c r="CSQ97" s="1392" t="s">
        <v>809</v>
      </c>
      <c r="CSR97" s="1392" t="s">
        <v>809</v>
      </c>
      <c r="CSS97" s="1392" t="s">
        <v>809</v>
      </c>
      <c r="CST97" s="1392" t="s">
        <v>809</v>
      </c>
      <c r="CSU97" s="1392" t="s">
        <v>809</v>
      </c>
      <c r="CSV97" s="1392" t="s">
        <v>809</v>
      </c>
      <c r="CSW97" s="1392" t="s">
        <v>809</v>
      </c>
      <c r="CSX97" s="1392" t="s">
        <v>809</v>
      </c>
      <c r="CSY97" s="1392" t="s">
        <v>809</v>
      </c>
      <c r="CSZ97" s="1392" t="s">
        <v>809</v>
      </c>
      <c r="CTA97" s="1392" t="s">
        <v>809</v>
      </c>
      <c r="CTB97" s="1392" t="s">
        <v>809</v>
      </c>
      <c r="CTC97" s="1392" t="s">
        <v>809</v>
      </c>
      <c r="CTD97" s="1392" t="s">
        <v>809</v>
      </c>
      <c r="CTE97" s="1392" t="s">
        <v>809</v>
      </c>
      <c r="CTF97" s="1392" t="s">
        <v>809</v>
      </c>
      <c r="CTG97" s="1392" t="s">
        <v>809</v>
      </c>
      <c r="CTH97" s="1392" t="s">
        <v>809</v>
      </c>
      <c r="CTI97" s="1392" t="s">
        <v>809</v>
      </c>
      <c r="CTJ97" s="1392" t="s">
        <v>809</v>
      </c>
      <c r="CTK97" s="1392" t="s">
        <v>809</v>
      </c>
      <c r="CTL97" s="1392" t="s">
        <v>809</v>
      </c>
      <c r="CTM97" s="1392" t="s">
        <v>809</v>
      </c>
      <c r="CTN97" s="1392" t="s">
        <v>809</v>
      </c>
      <c r="CTO97" s="1392" t="s">
        <v>809</v>
      </c>
      <c r="CTP97" s="1392" t="s">
        <v>809</v>
      </c>
      <c r="CTQ97" s="1392" t="s">
        <v>809</v>
      </c>
      <c r="CTR97" s="1392" t="s">
        <v>809</v>
      </c>
      <c r="CTS97" s="1392" t="s">
        <v>809</v>
      </c>
      <c r="CTT97" s="1392" t="s">
        <v>809</v>
      </c>
      <c r="CTU97" s="1392" t="s">
        <v>809</v>
      </c>
      <c r="CTV97" s="1392" t="s">
        <v>809</v>
      </c>
      <c r="CTW97" s="1392" t="s">
        <v>809</v>
      </c>
      <c r="CTX97" s="1392" t="s">
        <v>809</v>
      </c>
      <c r="CTY97" s="1392" t="s">
        <v>809</v>
      </c>
      <c r="CTZ97" s="1392" t="s">
        <v>809</v>
      </c>
      <c r="CUA97" s="1392" t="s">
        <v>809</v>
      </c>
      <c r="CUB97" s="1392" t="s">
        <v>809</v>
      </c>
      <c r="CUC97" s="1392" t="s">
        <v>809</v>
      </c>
      <c r="CUD97" s="1392" t="s">
        <v>809</v>
      </c>
      <c r="CUE97" s="1392" t="s">
        <v>809</v>
      </c>
      <c r="CUF97" s="1392" t="s">
        <v>809</v>
      </c>
      <c r="CUG97" s="1392" t="s">
        <v>809</v>
      </c>
      <c r="CUH97" s="1392" t="s">
        <v>809</v>
      </c>
      <c r="CUI97" s="1392" t="s">
        <v>809</v>
      </c>
      <c r="CUJ97" s="1392" t="s">
        <v>809</v>
      </c>
      <c r="CUK97" s="1392" t="s">
        <v>809</v>
      </c>
      <c r="CUL97" s="1392" t="s">
        <v>809</v>
      </c>
      <c r="CUM97" s="1392" t="s">
        <v>809</v>
      </c>
      <c r="CUN97" s="1392" t="s">
        <v>809</v>
      </c>
      <c r="CUO97" s="1392" t="s">
        <v>809</v>
      </c>
      <c r="CUP97" s="1392" t="s">
        <v>809</v>
      </c>
      <c r="CUQ97" s="1392" t="s">
        <v>809</v>
      </c>
      <c r="CUR97" s="1392" t="s">
        <v>809</v>
      </c>
      <c r="CUS97" s="1392" t="s">
        <v>809</v>
      </c>
      <c r="CUT97" s="1392" t="s">
        <v>809</v>
      </c>
      <c r="CUU97" s="1392" t="s">
        <v>809</v>
      </c>
      <c r="CUV97" s="1392" t="s">
        <v>809</v>
      </c>
      <c r="CUW97" s="1392" t="s">
        <v>809</v>
      </c>
      <c r="CUX97" s="1392" t="s">
        <v>809</v>
      </c>
      <c r="CUY97" s="1392" t="s">
        <v>809</v>
      </c>
      <c r="CUZ97" s="1392" t="s">
        <v>809</v>
      </c>
      <c r="CVA97" s="1392" t="s">
        <v>809</v>
      </c>
      <c r="CVB97" s="1392" t="s">
        <v>809</v>
      </c>
      <c r="CVC97" s="1392" t="s">
        <v>809</v>
      </c>
      <c r="CVD97" s="1392" t="s">
        <v>809</v>
      </c>
      <c r="CVE97" s="1392" t="s">
        <v>809</v>
      </c>
      <c r="CVF97" s="1392" t="s">
        <v>809</v>
      </c>
      <c r="CVG97" s="1392" t="s">
        <v>809</v>
      </c>
      <c r="CVH97" s="1392" t="s">
        <v>809</v>
      </c>
      <c r="CVI97" s="1392" t="s">
        <v>809</v>
      </c>
      <c r="CVJ97" s="1392" t="s">
        <v>809</v>
      </c>
      <c r="CVK97" s="1392" t="s">
        <v>809</v>
      </c>
      <c r="CVL97" s="1392" t="s">
        <v>809</v>
      </c>
      <c r="CVM97" s="1392" t="s">
        <v>809</v>
      </c>
      <c r="CVN97" s="1392" t="s">
        <v>809</v>
      </c>
      <c r="CVO97" s="1392" t="s">
        <v>809</v>
      </c>
      <c r="CVP97" s="1392" t="s">
        <v>809</v>
      </c>
      <c r="CVQ97" s="1392" t="s">
        <v>809</v>
      </c>
      <c r="CVR97" s="1392" t="s">
        <v>809</v>
      </c>
      <c r="CVS97" s="1392" t="s">
        <v>809</v>
      </c>
      <c r="CVT97" s="1392" t="s">
        <v>809</v>
      </c>
      <c r="CVU97" s="1392" t="s">
        <v>809</v>
      </c>
      <c r="CVV97" s="1392" t="s">
        <v>809</v>
      </c>
      <c r="CVW97" s="1392" t="s">
        <v>809</v>
      </c>
      <c r="CVX97" s="1392" t="s">
        <v>809</v>
      </c>
      <c r="CVY97" s="1392" t="s">
        <v>809</v>
      </c>
      <c r="CVZ97" s="1392" t="s">
        <v>809</v>
      </c>
      <c r="CWA97" s="1392" t="s">
        <v>809</v>
      </c>
      <c r="CWB97" s="1392" t="s">
        <v>809</v>
      </c>
      <c r="CWC97" s="1392" t="s">
        <v>809</v>
      </c>
      <c r="CWD97" s="1392" t="s">
        <v>809</v>
      </c>
      <c r="CWE97" s="1392" t="s">
        <v>809</v>
      </c>
      <c r="CWF97" s="1392" t="s">
        <v>809</v>
      </c>
      <c r="CWG97" s="1392" t="s">
        <v>809</v>
      </c>
      <c r="CWH97" s="1392" t="s">
        <v>809</v>
      </c>
      <c r="CWI97" s="1392" t="s">
        <v>809</v>
      </c>
      <c r="CWJ97" s="1392" t="s">
        <v>809</v>
      </c>
      <c r="CWK97" s="1392" t="s">
        <v>809</v>
      </c>
      <c r="CWL97" s="1392" t="s">
        <v>809</v>
      </c>
      <c r="CWM97" s="1392" t="s">
        <v>809</v>
      </c>
      <c r="CWN97" s="1392" t="s">
        <v>809</v>
      </c>
      <c r="CWO97" s="1392" t="s">
        <v>809</v>
      </c>
      <c r="CWP97" s="1392" t="s">
        <v>809</v>
      </c>
      <c r="CWQ97" s="1392" t="s">
        <v>809</v>
      </c>
      <c r="CWR97" s="1392" t="s">
        <v>809</v>
      </c>
      <c r="CWS97" s="1392" t="s">
        <v>809</v>
      </c>
      <c r="CWT97" s="1392" t="s">
        <v>809</v>
      </c>
      <c r="CWU97" s="1392" t="s">
        <v>809</v>
      </c>
      <c r="CWV97" s="1392" t="s">
        <v>809</v>
      </c>
      <c r="CWW97" s="1392" t="s">
        <v>809</v>
      </c>
      <c r="CWX97" s="1392" t="s">
        <v>809</v>
      </c>
      <c r="CWY97" s="1392" t="s">
        <v>809</v>
      </c>
      <c r="CWZ97" s="1392" t="s">
        <v>809</v>
      </c>
      <c r="CXA97" s="1392" t="s">
        <v>809</v>
      </c>
      <c r="CXB97" s="1392" t="s">
        <v>809</v>
      </c>
      <c r="CXC97" s="1392" t="s">
        <v>809</v>
      </c>
      <c r="CXD97" s="1392" t="s">
        <v>809</v>
      </c>
      <c r="CXE97" s="1392" t="s">
        <v>809</v>
      </c>
      <c r="CXF97" s="1392" t="s">
        <v>809</v>
      </c>
      <c r="CXG97" s="1392" t="s">
        <v>809</v>
      </c>
      <c r="CXH97" s="1392" t="s">
        <v>809</v>
      </c>
      <c r="CXI97" s="1392" t="s">
        <v>809</v>
      </c>
      <c r="CXJ97" s="1392" t="s">
        <v>809</v>
      </c>
      <c r="CXK97" s="1392" t="s">
        <v>809</v>
      </c>
      <c r="CXL97" s="1392" t="s">
        <v>809</v>
      </c>
      <c r="CXM97" s="1392" t="s">
        <v>809</v>
      </c>
      <c r="CXN97" s="1392" t="s">
        <v>809</v>
      </c>
      <c r="CXO97" s="1392" t="s">
        <v>809</v>
      </c>
      <c r="CXP97" s="1392" t="s">
        <v>809</v>
      </c>
      <c r="CXQ97" s="1392" t="s">
        <v>809</v>
      </c>
      <c r="CXR97" s="1392" t="s">
        <v>809</v>
      </c>
      <c r="CXS97" s="1392" t="s">
        <v>809</v>
      </c>
      <c r="CXT97" s="1392" t="s">
        <v>809</v>
      </c>
      <c r="CXU97" s="1392" t="s">
        <v>809</v>
      </c>
      <c r="CXV97" s="1392" t="s">
        <v>809</v>
      </c>
      <c r="CXW97" s="1392" t="s">
        <v>809</v>
      </c>
      <c r="CXX97" s="1392" t="s">
        <v>809</v>
      </c>
      <c r="CXY97" s="1392" t="s">
        <v>809</v>
      </c>
      <c r="CXZ97" s="1392" t="s">
        <v>809</v>
      </c>
      <c r="CYA97" s="1392" t="s">
        <v>809</v>
      </c>
      <c r="CYB97" s="1392" t="s">
        <v>809</v>
      </c>
      <c r="CYC97" s="1392" t="s">
        <v>809</v>
      </c>
      <c r="CYD97" s="1392" t="s">
        <v>809</v>
      </c>
      <c r="CYE97" s="1392" t="s">
        <v>809</v>
      </c>
      <c r="CYF97" s="1392" t="s">
        <v>809</v>
      </c>
      <c r="CYG97" s="1392" t="s">
        <v>809</v>
      </c>
      <c r="CYH97" s="1392" t="s">
        <v>809</v>
      </c>
      <c r="CYI97" s="1392" t="s">
        <v>809</v>
      </c>
      <c r="CYJ97" s="1392" t="s">
        <v>809</v>
      </c>
      <c r="CYK97" s="1392" t="s">
        <v>809</v>
      </c>
      <c r="CYL97" s="1392" t="s">
        <v>809</v>
      </c>
      <c r="CYM97" s="1392" t="s">
        <v>809</v>
      </c>
      <c r="CYN97" s="1392" t="s">
        <v>809</v>
      </c>
      <c r="CYO97" s="1392" t="s">
        <v>809</v>
      </c>
      <c r="CYP97" s="1392" t="s">
        <v>809</v>
      </c>
      <c r="CYQ97" s="1392" t="s">
        <v>809</v>
      </c>
      <c r="CYR97" s="1392" t="s">
        <v>809</v>
      </c>
      <c r="CYS97" s="1392" t="s">
        <v>809</v>
      </c>
      <c r="CYT97" s="1392" t="s">
        <v>809</v>
      </c>
      <c r="CYU97" s="1392" t="s">
        <v>809</v>
      </c>
      <c r="CYV97" s="1392" t="s">
        <v>809</v>
      </c>
      <c r="CYW97" s="1392" t="s">
        <v>809</v>
      </c>
      <c r="CYX97" s="1392" t="s">
        <v>809</v>
      </c>
      <c r="CYY97" s="1392" t="s">
        <v>809</v>
      </c>
      <c r="CYZ97" s="1392" t="s">
        <v>809</v>
      </c>
      <c r="CZA97" s="1392" t="s">
        <v>809</v>
      </c>
      <c r="CZB97" s="1392" t="s">
        <v>809</v>
      </c>
      <c r="CZC97" s="1392" t="s">
        <v>809</v>
      </c>
      <c r="CZD97" s="1392" t="s">
        <v>809</v>
      </c>
      <c r="CZE97" s="1392" t="s">
        <v>809</v>
      </c>
      <c r="CZF97" s="1392" t="s">
        <v>809</v>
      </c>
      <c r="CZG97" s="1392" t="s">
        <v>809</v>
      </c>
      <c r="CZH97" s="1392" t="s">
        <v>809</v>
      </c>
      <c r="CZI97" s="1392" t="s">
        <v>809</v>
      </c>
      <c r="CZJ97" s="1392" t="s">
        <v>809</v>
      </c>
      <c r="CZK97" s="1392" t="s">
        <v>809</v>
      </c>
      <c r="CZL97" s="1392" t="s">
        <v>809</v>
      </c>
      <c r="CZM97" s="1392" t="s">
        <v>809</v>
      </c>
      <c r="CZN97" s="1392" t="s">
        <v>809</v>
      </c>
      <c r="CZO97" s="1392" t="s">
        <v>809</v>
      </c>
      <c r="CZP97" s="1392" t="s">
        <v>809</v>
      </c>
      <c r="CZQ97" s="1392" t="s">
        <v>809</v>
      </c>
      <c r="CZR97" s="1392" t="s">
        <v>809</v>
      </c>
      <c r="CZS97" s="1392" t="s">
        <v>809</v>
      </c>
      <c r="CZT97" s="1392" t="s">
        <v>809</v>
      </c>
      <c r="CZU97" s="1392" t="s">
        <v>809</v>
      </c>
      <c r="CZV97" s="1392" t="s">
        <v>809</v>
      </c>
      <c r="CZW97" s="1392" t="s">
        <v>809</v>
      </c>
      <c r="CZX97" s="1392" t="s">
        <v>809</v>
      </c>
      <c r="CZY97" s="1392" t="s">
        <v>809</v>
      </c>
      <c r="CZZ97" s="1392" t="s">
        <v>809</v>
      </c>
      <c r="DAA97" s="1392" t="s">
        <v>809</v>
      </c>
      <c r="DAB97" s="1392" t="s">
        <v>809</v>
      </c>
      <c r="DAC97" s="1392" t="s">
        <v>809</v>
      </c>
      <c r="DAD97" s="1392" t="s">
        <v>809</v>
      </c>
      <c r="DAE97" s="1392" t="s">
        <v>809</v>
      </c>
      <c r="DAF97" s="1392" t="s">
        <v>809</v>
      </c>
      <c r="DAG97" s="1392" t="s">
        <v>809</v>
      </c>
      <c r="DAH97" s="1392" t="s">
        <v>809</v>
      </c>
      <c r="DAI97" s="1392" t="s">
        <v>809</v>
      </c>
      <c r="DAJ97" s="1392" t="s">
        <v>809</v>
      </c>
      <c r="DAK97" s="1392" t="s">
        <v>809</v>
      </c>
      <c r="DAL97" s="1392" t="s">
        <v>809</v>
      </c>
      <c r="DAM97" s="1392" t="s">
        <v>809</v>
      </c>
      <c r="DAN97" s="1392" t="s">
        <v>809</v>
      </c>
      <c r="DAO97" s="1392" t="s">
        <v>809</v>
      </c>
      <c r="DAP97" s="1392" t="s">
        <v>809</v>
      </c>
      <c r="DAQ97" s="1392" t="s">
        <v>809</v>
      </c>
      <c r="DAR97" s="1392" t="s">
        <v>809</v>
      </c>
      <c r="DAS97" s="1392" t="s">
        <v>809</v>
      </c>
      <c r="DAT97" s="1392" t="s">
        <v>809</v>
      </c>
      <c r="DAU97" s="1392" t="s">
        <v>809</v>
      </c>
      <c r="DAV97" s="1392" t="s">
        <v>809</v>
      </c>
      <c r="DAW97" s="1392" t="s">
        <v>809</v>
      </c>
      <c r="DAX97" s="1392" t="s">
        <v>809</v>
      </c>
      <c r="DAY97" s="1392" t="s">
        <v>809</v>
      </c>
      <c r="DAZ97" s="1392" t="s">
        <v>809</v>
      </c>
      <c r="DBA97" s="1392" t="s">
        <v>809</v>
      </c>
      <c r="DBB97" s="1392" t="s">
        <v>809</v>
      </c>
      <c r="DBC97" s="1392" t="s">
        <v>809</v>
      </c>
      <c r="DBD97" s="1392" t="s">
        <v>809</v>
      </c>
      <c r="DBE97" s="1392" t="s">
        <v>809</v>
      </c>
      <c r="DBF97" s="1392" t="s">
        <v>809</v>
      </c>
      <c r="DBG97" s="1392" t="s">
        <v>809</v>
      </c>
      <c r="DBH97" s="1392" t="s">
        <v>809</v>
      </c>
      <c r="DBI97" s="1392" t="s">
        <v>809</v>
      </c>
      <c r="DBJ97" s="1392" t="s">
        <v>809</v>
      </c>
      <c r="DBK97" s="1392" t="s">
        <v>809</v>
      </c>
      <c r="DBL97" s="1392" t="s">
        <v>809</v>
      </c>
      <c r="DBM97" s="1392" t="s">
        <v>809</v>
      </c>
      <c r="DBN97" s="1392" t="s">
        <v>809</v>
      </c>
      <c r="DBO97" s="1392" t="s">
        <v>809</v>
      </c>
      <c r="DBP97" s="1392" t="s">
        <v>809</v>
      </c>
      <c r="DBQ97" s="1392" t="s">
        <v>809</v>
      </c>
      <c r="DBR97" s="1392" t="s">
        <v>809</v>
      </c>
      <c r="DBS97" s="1392" t="s">
        <v>809</v>
      </c>
      <c r="DBT97" s="1392" t="s">
        <v>809</v>
      </c>
      <c r="DBU97" s="1392" t="s">
        <v>809</v>
      </c>
      <c r="DBV97" s="1392" t="s">
        <v>809</v>
      </c>
      <c r="DBW97" s="1392" t="s">
        <v>809</v>
      </c>
      <c r="DBX97" s="1392" t="s">
        <v>809</v>
      </c>
      <c r="DBY97" s="1392" t="s">
        <v>809</v>
      </c>
      <c r="DBZ97" s="1392" t="s">
        <v>809</v>
      </c>
      <c r="DCA97" s="1392" t="s">
        <v>809</v>
      </c>
      <c r="DCB97" s="1392" t="s">
        <v>809</v>
      </c>
      <c r="DCC97" s="1392" t="s">
        <v>809</v>
      </c>
      <c r="DCD97" s="1392" t="s">
        <v>809</v>
      </c>
      <c r="DCE97" s="1392" t="s">
        <v>809</v>
      </c>
      <c r="DCF97" s="1392" t="s">
        <v>809</v>
      </c>
      <c r="DCG97" s="1392" t="s">
        <v>809</v>
      </c>
      <c r="DCH97" s="1392" t="s">
        <v>809</v>
      </c>
      <c r="DCI97" s="1392" t="s">
        <v>809</v>
      </c>
      <c r="DCJ97" s="1392" t="s">
        <v>809</v>
      </c>
      <c r="DCK97" s="1392" t="s">
        <v>809</v>
      </c>
      <c r="DCL97" s="1392" t="s">
        <v>809</v>
      </c>
      <c r="DCM97" s="1392" t="s">
        <v>809</v>
      </c>
      <c r="DCN97" s="1392" t="s">
        <v>809</v>
      </c>
      <c r="DCO97" s="1392" t="s">
        <v>809</v>
      </c>
      <c r="DCP97" s="1392" t="s">
        <v>809</v>
      </c>
      <c r="DCQ97" s="1392" t="s">
        <v>809</v>
      </c>
      <c r="DCR97" s="1392" t="s">
        <v>809</v>
      </c>
      <c r="DCS97" s="1392" t="s">
        <v>809</v>
      </c>
      <c r="DCT97" s="1392" t="s">
        <v>809</v>
      </c>
      <c r="DCU97" s="1392" t="s">
        <v>809</v>
      </c>
      <c r="DCV97" s="1392" t="s">
        <v>809</v>
      </c>
      <c r="DCW97" s="1392" t="s">
        <v>809</v>
      </c>
      <c r="DCX97" s="1392" t="s">
        <v>809</v>
      </c>
      <c r="DCY97" s="1392" t="s">
        <v>809</v>
      </c>
      <c r="DCZ97" s="1392" t="s">
        <v>809</v>
      </c>
      <c r="DDA97" s="1392" t="s">
        <v>809</v>
      </c>
      <c r="DDB97" s="1392" t="s">
        <v>809</v>
      </c>
      <c r="DDC97" s="1392" t="s">
        <v>809</v>
      </c>
      <c r="DDD97" s="1392" t="s">
        <v>809</v>
      </c>
      <c r="DDE97" s="1392" t="s">
        <v>809</v>
      </c>
      <c r="DDF97" s="1392" t="s">
        <v>809</v>
      </c>
      <c r="DDG97" s="1392" t="s">
        <v>809</v>
      </c>
      <c r="DDH97" s="1392" t="s">
        <v>809</v>
      </c>
      <c r="DDI97" s="1392" t="s">
        <v>809</v>
      </c>
      <c r="DDJ97" s="1392" t="s">
        <v>809</v>
      </c>
      <c r="DDK97" s="1392" t="s">
        <v>809</v>
      </c>
      <c r="DDL97" s="1392" t="s">
        <v>809</v>
      </c>
      <c r="DDM97" s="1392" t="s">
        <v>809</v>
      </c>
      <c r="DDN97" s="1392" t="s">
        <v>809</v>
      </c>
      <c r="DDO97" s="1392" t="s">
        <v>809</v>
      </c>
      <c r="DDP97" s="1392" t="s">
        <v>809</v>
      </c>
      <c r="DDQ97" s="1392" t="s">
        <v>809</v>
      </c>
      <c r="DDR97" s="1392" t="s">
        <v>809</v>
      </c>
      <c r="DDS97" s="1392" t="s">
        <v>809</v>
      </c>
      <c r="DDT97" s="1392" t="s">
        <v>809</v>
      </c>
      <c r="DDU97" s="1392" t="s">
        <v>809</v>
      </c>
      <c r="DDV97" s="1392" t="s">
        <v>809</v>
      </c>
      <c r="DDW97" s="1392" t="s">
        <v>809</v>
      </c>
      <c r="DDX97" s="1392" t="s">
        <v>809</v>
      </c>
      <c r="DDY97" s="1392" t="s">
        <v>809</v>
      </c>
      <c r="DDZ97" s="1392" t="s">
        <v>809</v>
      </c>
      <c r="DEA97" s="1392" t="s">
        <v>809</v>
      </c>
      <c r="DEB97" s="1392" t="s">
        <v>809</v>
      </c>
      <c r="DEC97" s="1392" t="s">
        <v>809</v>
      </c>
      <c r="DED97" s="1392" t="s">
        <v>809</v>
      </c>
      <c r="DEE97" s="1392" t="s">
        <v>809</v>
      </c>
      <c r="DEF97" s="1392" t="s">
        <v>809</v>
      </c>
      <c r="DEG97" s="1392" t="s">
        <v>809</v>
      </c>
      <c r="DEH97" s="1392" t="s">
        <v>809</v>
      </c>
      <c r="DEI97" s="1392" t="s">
        <v>809</v>
      </c>
      <c r="DEJ97" s="1392" t="s">
        <v>809</v>
      </c>
      <c r="DEK97" s="1392" t="s">
        <v>809</v>
      </c>
      <c r="DEL97" s="1392" t="s">
        <v>809</v>
      </c>
      <c r="DEM97" s="1392" t="s">
        <v>809</v>
      </c>
      <c r="DEN97" s="1392" t="s">
        <v>809</v>
      </c>
      <c r="DEO97" s="1392" t="s">
        <v>809</v>
      </c>
      <c r="DEP97" s="1392" t="s">
        <v>809</v>
      </c>
      <c r="DEQ97" s="1392" t="s">
        <v>809</v>
      </c>
      <c r="DER97" s="1392" t="s">
        <v>809</v>
      </c>
      <c r="DES97" s="1392" t="s">
        <v>809</v>
      </c>
      <c r="DET97" s="1392" t="s">
        <v>809</v>
      </c>
      <c r="DEU97" s="1392" t="s">
        <v>809</v>
      </c>
      <c r="DEV97" s="1392" t="s">
        <v>809</v>
      </c>
      <c r="DEW97" s="1392" t="s">
        <v>809</v>
      </c>
      <c r="DEX97" s="1392" t="s">
        <v>809</v>
      </c>
      <c r="DEY97" s="1392" t="s">
        <v>809</v>
      </c>
      <c r="DEZ97" s="1392" t="s">
        <v>809</v>
      </c>
      <c r="DFA97" s="1392" t="s">
        <v>809</v>
      </c>
      <c r="DFB97" s="1392" t="s">
        <v>809</v>
      </c>
      <c r="DFC97" s="1392" t="s">
        <v>809</v>
      </c>
      <c r="DFD97" s="1392" t="s">
        <v>809</v>
      </c>
      <c r="DFE97" s="1392" t="s">
        <v>809</v>
      </c>
      <c r="DFF97" s="1392" t="s">
        <v>809</v>
      </c>
      <c r="DFG97" s="1392" t="s">
        <v>809</v>
      </c>
      <c r="DFH97" s="1392" t="s">
        <v>809</v>
      </c>
      <c r="DFI97" s="1392" t="s">
        <v>809</v>
      </c>
      <c r="DFJ97" s="1392" t="s">
        <v>809</v>
      </c>
      <c r="DFK97" s="1392" t="s">
        <v>809</v>
      </c>
      <c r="DFL97" s="1392" t="s">
        <v>809</v>
      </c>
      <c r="DFM97" s="1392" t="s">
        <v>809</v>
      </c>
      <c r="DFN97" s="1392" t="s">
        <v>809</v>
      </c>
      <c r="DFO97" s="1392" t="s">
        <v>809</v>
      </c>
      <c r="DFP97" s="1392" t="s">
        <v>809</v>
      </c>
      <c r="DFQ97" s="1392" t="s">
        <v>809</v>
      </c>
      <c r="DFR97" s="1392" t="s">
        <v>809</v>
      </c>
      <c r="DFS97" s="1392" t="s">
        <v>809</v>
      </c>
      <c r="DFT97" s="1392" t="s">
        <v>809</v>
      </c>
      <c r="DFU97" s="1392" t="s">
        <v>809</v>
      </c>
      <c r="DFV97" s="1392" t="s">
        <v>809</v>
      </c>
      <c r="DFW97" s="1392" t="s">
        <v>809</v>
      </c>
      <c r="DFX97" s="1392" t="s">
        <v>809</v>
      </c>
      <c r="DFY97" s="1392" t="s">
        <v>809</v>
      </c>
      <c r="DFZ97" s="1392" t="s">
        <v>809</v>
      </c>
      <c r="DGA97" s="1392" t="s">
        <v>809</v>
      </c>
      <c r="DGB97" s="1392" t="s">
        <v>809</v>
      </c>
      <c r="DGC97" s="1392" t="s">
        <v>809</v>
      </c>
      <c r="DGD97" s="1392" t="s">
        <v>809</v>
      </c>
      <c r="DGE97" s="1392" t="s">
        <v>809</v>
      </c>
      <c r="DGF97" s="1392" t="s">
        <v>809</v>
      </c>
      <c r="DGG97" s="1392" t="s">
        <v>809</v>
      </c>
      <c r="DGH97" s="1392" t="s">
        <v>809</v>
      </c>
      <c r="DGI97" s="1392" t="s">
        <v>809</v>
      </c>
      <c r="DGJ97" s="1392" t="s">
        <v>809</v>
      </c>
      <c r="DGK97" s="1392" t="s">
        <v>809</v>
      </c>
      <c r="DGL97" s="1392" t="s">
        <v>809</v>
      </c>
      <c r="DGM97" s="1392" t="s">
        <v>809</v>
      </c>
      <c r="DGN97" s="1392" t="s">
        <v>809</v>
      </c>
      <c r="DGO97" s="1392" t="s">
        <v>809</v>
      </c>
      <c r="DGP97" s="1392" t="s">
        <v>809</v>
      </c>
      <c r="DGQ97" s="1392" t="s">
        <v>809</v>
      </c>
      <c r="DGR97" s="1392" t="s">
        <v>809</v>
      </c>
      <c r="DGS97" s="1392" t="s">
        <v>809</v>
      </c>
      <c r="DGT97" s="1392" t="s">
        <v>809</v>
      </c>
      <c r="DGU97" s="1392" t="s">
        <v>809</v>
      </c>
      <c r="DGV97" s="1392" t="s">
        <v>809</v>
      </c>
      <c r="DGW97" s="1392" t="s">
        <v>809</v>
      </c>
      <c r="DGX97" s="1392" t="s">
        <v>809</v>
      </c>
      <c r="DGY97" s="1392" t="s">
        <v>809</v>
      </c>
      <c r="DGZ97" s="1392" t="s">
        <v>809</v>
      </c>
      <c r="DHA97" s="1392" t="s">
        <v>809</v>
      </c>
      <c r="DHB97" s="1392" t="s">
        <v>809</v>
      </c>
      <c r="DHC97" s="1392" t="s">
        <v>809</v>
      </c>
      <c r="DHD97" s="1392" t="s">
        <v>809</v>
      </c>
      <c r="DHE97" s="1392" t="s">
        <v>809</v>
      </c>
      <c r="DHF97" s="1392" t="s">
        <v>809</v>
      </c>
      <c r="DHG97" s="1392" t="s">
        <v>809</v>
      </c>
      <c r="DHH97" s="1392" t="s">
        <v>809</v>
      </c>
      <c r="DHI97" s="1392" t="s">
        <v>809</v>
      </c>
      <c r="DHJ97" s="1392" t="s">
        <v>809</v>
      </c>
      <c r="DHK97" s="1392" t="s">
        <v>809</v>
      </c>
      <c r="DHL97" s="1392" t="s">
        <v>809</v>
      </c>
      <c r="DHM97" s="1392" t="s">
        <v>809</v>
      </c>
      <c r="DHN97" s="1392" t="s">
        <v>809</v>
      </c>
      <c r="DHO97" s="1392" t="s">
        <v>809</v>
      </c>
      <c r="DHP97" s="1392" t="s">
        <v>809</v>
      </c>
      <c r="DHQ97" s="1392" t="s">
        <v>809</v>
      </c>
      <c r="DHR97" s="1392" t="s">
        <v>809</v>
      </c>
      <c r="DHS97" s="1392" t="s">
        <v>809</v>
      </c>
      <c r="DHT97" s="1392" t="s">
        <v>809</v>
      </c>
      <c r="DHU97" s="1392" t="s">
        <v>809</v>
      </c>
      <c r="DHV97" s="1392" t="s">
        <v>809</v>
      </c>
      <c r="DHW97" s="1392" t="s">
        <v>809</v>
      </c>
      <c r="DHX97" s="1392" t="s">
        <v>809</v>
      </c>
      <c r="DHY97" s="1392" t="s">
        <v>809</v>
      </c>
      <c r="DHZ97" s="1392" t="s">
        <v>809</v>
      </c>
      <c r="DIA97" s="1392" t="s">
        <v>809</v>
      </c>
      <c r="DIB97" s="1392" t="s">
        <v>809</v>
      </c>
      <c r="DIC97" s="1392" t="s">
        <v>809</v>
      </c>
      <c r="DID97" s="1392" t="s">
        <v>809</v>
      </c>
      <c r="DIE97" s="1392" t="s">
        <v>809</v>
      </c>
      <c r="DIF97" s="1392" t="s">
        <v>809</v>
      </c>
      <c r="DIG97" s="1392" t="s">
        <v>809</v>
      </c>
      <c r="DIH97" s="1392" t="s">
        <v>809</v>
      </c>
      <c r="DII97" s="1392" t="s">
        <v>809</v>
      </c>
      <c r="DIJ97" s="1392" t="s">
        <v>809</v>
      </c>
      <c r="DIK97" s="1392" t="s">
        <v>809</v>
      </c>
      <c r="DIL97" s="1392" t="s">
        <v>809</v>
      </c>
      <c r="DIM97" s="1392" t="s">
        <v>809</v>
      </c>
      <c r="DIN97" s="1392" t="s">
        <v>809</v>
      </c>
      <c r="DIO97" s="1392" t="s">
        <v>809</v>
      </c>
      <c r="DIP97" s="1392" t="s">
        <v>809</v>
      </c>
      <c r="DIQ97" s="1392" t="s">
        <v>809</v>
      </c>
      <c r="DIR97" s="1392" t="s">
        <v>809</v>
      </c>
      <c r="DIS97" s="1392" t="s">
        <v>809</v>
      </c>
      <c r="DIT97" s="1392" t="s">
        <v>809</v>
      </c>
      <c r="DIU97" s="1392" t="s">
        <v>809</v>
      </c>
      <c r="DIV97" s="1392" t="s">
        <v>809</v>
      </c>
      <c r="DIW97" s="1392" t="s">
        <v>809</v>
      </c>
      <c r="DIX97" s="1392" t="s">
        <v>809</v>
      </c>
      <c r="DIY97" s="1392" t="s">
        <v>809</v>
      </c>
      <c r="DIZ97" s="1392" t="s">
        <v>809</v>
      </c>
      <c r="DJA97" s="1392" t="s">
        <v>809</v>
      </c>
      <c r="DJB97" s="1392" t="s">
        <v>809</v>
      </c>
      <c r="DJC97" s="1392" t="s">
        <v>809</v>
      </c>
      <c r="DJD97" s="1392" t="s">
        <v>809</v>
      </c>
      <c r="DJE97" s="1392" t="s">
        <v>809</v>
      </c>
      <c r="DJF97" s="1392" t="s">
        <v>809</v>
      </c>
      <c r="DJG97" s="1392" t="s">
        <v>809</v>
      </c>
      <c r="DJH97" s="1392" t="s">
        <v>809</v>
      </c>
      <c r="DJI97" s="1392" t="s">
        <v>809</v>
      </c>
      <c r="DJJ97" s="1392" t="s">
        <v>809</v>
      </c>
      <c r="DJK97" s="1392" t="s">
        <v>809</v>
      </c>
      <c r="DJL97" s="1392" t="s">
        <v>809</v>
      </c>
      <c r="DJM97" s="1392" t="s">
        <v>809</v>
      </c>
      <c r="DJN97" s="1392" t="s">
        <v>809</v>
      </c>
      <c r="DJO97" s="1392" t="s">
        <v>809</v>
      </c>
      <c r="DJP97" s="1392" t="s">
        <v>809</v>
      </c>
      <c r="DJQ97" s="1392" t="s">
        <v>809</v>
      </c>
      <c r="DJR97" s="1392" t="s">
        <v>809</v>
      </c>
      <c r="DJS97" s="1392" t="s">
        <v>809</v>
      </c>
      <c r="DJT97" s="1392" t="s">
        <v>809</v>
      </c>
      <c r="DJU97" s="1392" t="s">
        <v>809</v>
      </c>
      <c r="DJV97" s="1392" t="s">
        <v>809</v>
      </c>
      <c r="DJW97" s="1392" t="s">
        <v>809</v>
      </c>
      <c r="DJX97" s="1392" t="s">
        <v>809</v>
      </c>
      <c r="DJY97" s="1392" t="s">
        <v>809</v>
      </c>
      <c r="DJZ97" s="1392" t="s">
        <v>809</v>
      </c>
      <c r="DKA97" s="1392" t="s">
        <v>809</v>
      </c>
      <c r="DKB97" s="1392" t="s">
        <v>809</v>
      </c>
      <c r="DKC97" s="1392" t="s">
        <v>809</v>
      </c>
      <c r="DKD97" s="1392" t="s">
        <v>809</v>
      </c>
      <c r="DKE97" s="1392" t="s">
        <v>809</v>
      </c>
      <c r="DKF97" s="1392" t="s">
        <v>809</v>
      </c>
      <c r="DKG97" s="1392" t="s">
        <v>809</v>
      </c>
      <c r="DKH97" s="1392" t="s">
        <v>809</v>
      </c>
      <c r="DKI97" s="1392" t="s">
        <v>809</v>
      </c>
      <c r="DKJ97" s="1392" t="s">
        <v>809</v>
      </c>
      <c r="DKK97" s="1392" t="s">
        <v>809</v>
      </c>
      <c r="DKL97" s="1392" t="s">
        <v>809</v>
      </c>
      <c r="DKM97" s="1392" t="s">
        <v>809</v>
      </c>
      <c r="DKN97" s="1392" t="s">
        <v>809</v>
      </c>
      <c r="DKO97" s="1392" t="s">
        <v>809</v>
      </c>
      <c r="DKP97" s="1392" t="s">
        <v>809</v>
      </c>
      <c r="DKQ97" s="1392" t="s">
        <v>809</v>
      </c>
      <c r="DKR97" s="1392" t="s">
        <v>809</v>
      </c>
      <c r="DKS97" s="1392" t="s">
        <v>809</v>
      </c>
      <c r="DKT97" s="1392" t="s">
        <v>809</v>
      </c>
      <c r="DKU97" s="1392" t="s">
        <v>809</v>
      </c>
      <c r="DKV97" s="1392" t="s">
        <v>809</v>
      </c>
      <c r="DKW97" s="1392" t="s">
        <v>809</v>
      </c>
      <c r="DKX97" s="1392" t="s">
        <v>809</v>
      </c>
      <c r="DKY97" s="1392" t="s">
        <v>809</v>
      </c>
      <c r="DKZ97" s="1392" t="s">
        <v>809</v>
      </c>
      <c r="DLA97" s="1392" t="s">
        <v>809</v>
      </c>
      <c r="DLB97" s="1392" t="s">
        <v>809</v>
      </c>
      <c r="DLC97" s="1392" t="s">
        <v>809</v>
      </c>
      <c r="DLD97" s="1392" t="s">
        <v>809</v>
      </c>
      <c r="DLE97" s="1392" t="s">
        <v>809</v>
      </c>
      <c r="DLF97" s="1392" t="s">
        <v>809</v>
      </c>
      <c r="DLG97" s="1392" t="s">
        <v>809</v>
      </c>
      <c r="DLH97" s="1392" t="s">
        <v>809</v>
      </c>
      <c r="DLI97" s="1392" t="s">
        <v>809</v>
      </c>
      <c r="DLJ97" s="1392" t="s">
        <v>809</v>
      </c>
      <c r="DLK97" s="1392" t="s">
        <v>809</v>
      </c>
      <c r="DLL97" s="1392" t="s">
        <v>809</v>
      </c>
      <c r="DLM97" s="1392" t="s">
        <v>809</v>
      </c>
      <c r="DLN97" s="1392" t="s">
        <v>809</v>
      </c>
      <c r="DLO97" s="1392" t="s">
        <v>809</v>
      </c>
      <c r="DLP97" s="1392" t="s">
        <v>809</v>
      </c>
      <c r="DLQ97" s="1392" t="s">
        <v>809</v>
      </c>
      <c r="DLR97" s="1392" t="s">
        <v>809</v>
      </c>
      <c r="DLS97" s="1392" t="s">
        <v>809</v>
      </c>
      <c r="DLT97" s="1392" t="s">
        <v>809</v>
      </c>
      <c r="DLU97" s="1392" t="s">
        <v>809</v>
      </c>
      <c r="DLV97" s="1392" t="s">
        <v>809</v>
      </c>
      <c r="DLW97" s="1392" t="s">
        <v>809</v>
      </c>
      <c r="DLX97" s="1392" t="s">
        <v>809</v>
      </c>
      <c r="DLY97" s="1392" t="s">
        <v>809</v>
      </c>
      <c r="DLZ97" s="1392" t="s">
        <v>809</v>
      </c>
      <c r="DMA97" s="1392" t="s">
        <v>809</v>
      </c>
      <c r="DMB97" s="1392" t="s">
        <v>809</v>
      </c>
      <c r="DMC97" s="1392" t="s">
        <v>809</v>
      </c>
      <c r="DMD97" s="1392" t="s">
        <v>809</v>
      </c>
      <c r="DME97" s="1392" t="s">
        <v>809</v>
      </c>
      <c r="DMF97" s="1392" t="s">
        <v>809</v>
      </c>
      <c r="DMG97" s="1392" t="s">
        <v>809</v>
      </c>
      <c r="DMH97" s="1392" t="s">
        <v>809</v>
      </c>
      <c r="DMI97" s="1392" t="s">
        <v>809</v>
      </c>
      <c r="DMJ97" s="1392" t="s">
        <v>809</v>
      </c>
      <c r="DMK97" s="1392" t="s">
        <v>809</v>
      </c>
      <c r="DML97" s="1392" t="s">
        <v>809</v>
      </c>
      <c r="DMM97" s="1392" t="s">
        <v>809</v>
      </c>
      <c r="DMN97" s="1392" t="s">
        <v>809</v>
      </c>
      <c r="DMO97" s="1392" t="s">
        <v>809</v>
      </c>
      <c r="DMP97" s="1392" t="s">
        <v>809</v>
      </c>
      <c r="DMQ97" s="1392" t="s">
        <v>809</v>
      </c>
      <c r="DMR97" s="1392" t="s">
        <v>809</v>
      </c>
      <c r="DMS97" s="1392" t="s">
        <v>809</v>
      </c>
      <c r="DMT97" s="1392" t="s">
        <v>809</v>
      </c>
      <c r="DMU97" s="1392" t="s">
        <v>809</v>
      </c>
      <c r="DMV97" s="1392" t="s">
        <v>809</v>
      </c>
      <c r="DMW97" s="1392" t="s">
        <v>809</v>
      </c>
      <c r="DMX97" s="1392" t="s">
        <v>809</v>
      </c>
      <c r="DMY97" s="1392" t="s">
        <v>809</v>
      </c>
      <c r="DMZ97" s="1392" t="s">
        <v>809</v>
      </c>
      <c r="DNA97" s="1392" t="s">
        <v>809</v>
      </c>
      <c r="DNB97" s="1392" t="s">
        <v>809</v>
      </c>
      <c r="DNC97" s="1392" t="s">
        <v>809</v>
      </c>
      <c r="DND97" s="1392" t="s">
        <v>809</v>
      </c>
      <c r="DNE97" s="1392" t="s">
        <v>809</v>
      </c>
      <c r="DNF97" s="1392" t="s">
        <v>809</v>
      </c>
      <c r="DNG97" s="1392" t="s">
        <v>809</v>
      </c>
      <c r="DNH97" s="1392" t="s">
        <v>809</v>
      </c>
      <c r="DNI97" s="1392" t="s">
        <v>809</v>
      </c>
      <c r="DNJ97" s="1392" t="s">
        <v>809</v>
      </c>
      <c r="DNK97" s="1392" t="s">
        <v>809</v>
      </c>
      <c r="DNL97" s="1392" t="s">
        <v>809</v>
      </c>
      <c r="DNM97" s="1392" t="s">
        <v>809</v>
      </c>
      <c r="DNN97" s="1392" t="s">
        <v>809</v>
      </c>
      <c r="DNO97" s="1392" t="s">
        <v>809</v>
      </c>
      <c r="DNP97" s="1392" t="s">
        <v>809</v>
      </c>
      <c r="DNQ97" s="1392" t="s">
        <v>809</v>
      </c>
      <c r="DNR97" s="1392" t="s">
        <v>809</v>
      </c>
      <c r="DNS97" s="1392" t="s">
        <v>809</v>
      </c>
      <c r="DNT97" s="1392" t="s">
        <v>809</v>
      </c>
      <c r="DNU97" s="1392" t="s">
        <v>809</v>
      </c>
      <c r="DNV97" s="1392" t="s">
        <v>809</v>
      </c>
      <c r="DNW97" s="1392" t="s">
        <v>809</v>
      </c>
      <c r="DNX97" s="1392" t="s">
        <v>809</v>
      </c>
      <c r="DNY97" s="1392" t="s">
        <v>809</v>
      </c>
      <c r="DNZ97" s="1392" t="s">
        <v>809</v>
      </c>
      <c r="DOA97" s="1392" t="s">
        <v>809</v>
      </c>
      <c r="DOB97" s="1392" t="s">
        <v>809</v>
      </c>
      <c r="DOC97" s="1392" t="s">
        <v>809</v>
      </c>
      <c r="DOD97" s="1392" t="s">
        <v>809</v>
      </c>
      <c r="DOE97" s="1392" t="s">
        <v>809</v>
      </c>
      <c r="DOF97" s="1392" t="s">
        <v>809</v>
      </c>
      <c r="DOG97" s="1392" t="s">
        <v>809</v>
      </c>
      <c r="DOH97" s="1392" t="s">
        <v>809</v>
      </c>
      <c r="DOI97" s="1392" t="s">
        <v>809</v>
      </c>
      <c r="DOJ97" s="1392" t="s">
        <v>809</v>
      </c>
      <c r="DOK97" s="1392" t="s">
        <v>809</v>
      </c>
      <c r="DOL97" s="1392" t="s">
        <v>809</v>
      </c>
      <c r="DOM97" s="1392" t="s">
        <v>809</v>
      </c>
      <c r="DON97" s="1392" t="s">
        <v>809</v>
      </c>
      <c r="DOO97" s="1392" t="s">
        <v>809</v>
      </c>
      <c r="DOP97" s="1392" t="s">
        <v>809</v>
      </c>
      <c r="DOQ97" s="1392" t="s">
        <v>809</v>
      </c>
      <c r="DOR97" s="1392" t="s">
        <v>809</v>
      </c>
      <c r="DOS97" s="1392" t="s">
        <v>809</v>
      </c>
      <c r="DOT97" s="1392" t="s">
        <v>809</v>
      </c>
      <c r="DOU97" s="1392" t="s">
        <v>809</v>
      </c>
      <c r="DOV97" s="1392" t="s">
        <v>809</v>
      </c>
      <c r="DOW97" s="1392" t="s">
        <v>809</v>
      </c>
      <c r="DOX97" s="1392" t="s">
        <v>809</v>
      </c>
      <c r="DOY97" s="1392" t="s">
        <v>809</v>
      </c>
      <c r="DOZ97" s="1392" t="s">
        <v>809</v>
      </c>
      <c r="DPA97" s="1392" t="s">
        <v>809</v>
      </c>
      <c r="DPB97" s="1392" t="s">
        <v>809</v>
      </c>
      <c r="DPC97" s="1392" t="s">
        <v>809</v>
      </c>
      <c r="DPD97" s="1392" t="s">
        <v>809</v>
      </c>
      <c r="DPE97" s="1392" t="s">
        <v>809</v>
      </c>
      <c r="DPF97" s="1392" t="s">
        <v>809</v>
      </c>
      <c r="DPG97" s="1392" t="s">
        <v>809</v>
      </c>
      <c r="DPH97" s="1392" t="s">
        <v>809</v>
      </c>
      <c r="DPI97" s="1392" t="s">
        <v>809</v>
      </c>
      <c r="DPJ97" s="1392" t="s">
        <v>809</v>
      </c>
      <c r="DPK97" s="1392" t="s">
        <v>809</v>
      </c>
      <c r="DPL97" s="1392" t="s">
        <v>809</v>
      </c>
      <c r="DPM97" s="1392" t="s">
        <v>809</v>
      </c>
      <c r="DPN97" s="1392" t="s">
        <v>809</v>
      </c>
      <c r="DPO97" s="1392" t="s">
        <v>809</v>
      </c>
      <c r="DPP97" s="1392" t="s">
        <v>809</v>
      </c>
      <c r="DPQ97" s="1392" t="s">
        <v>809</v>
      </c>
      <c r="DPR97" s="1392" t="s">
        <v>809</v>
      </c>
      <c r="DPS97" s="1392" t="s">
        <v>809</v>
      </c>
      <c r="DPT97" s="1392" t="s">
        <v>809</v>
      </c>
      <c r="DPU97" s="1392" t="s">
        <v>809</v>
      </c>
      <c r="DPV97" s="1392" t="s">
        <v>809</v>
      </c>
      <c r="DPW97" s="1392" t="s">
        <v>809</v>
      </c>
      <c r="DPX97" s="1392" t="s">
        <v>809</v>
      </c>
      <c r="DPY97" s="1392" t="s">
        <v>809</v>
      </c>
      <c r="DPZ97" s="1392" t="s">
        <v>809</v>
      </c>
      <c r="DQA97" s="1392" t="s">
        <v>809</v>
      </c>
      <c r="DQB97" s="1392" t="s">
        <v>809</v>
      </c>
      <c r="DQC97" s="1392" t="s">
        <v>809</v>
      </c>
      <c r="DQD97" s="1392" t="s">
        <v>809</v>
      </c>
      <c r="DQE97" s="1392" t="s">
        <v>809</v>
      </c>
      <c r="DQF97" s="1392" t="s">
        <v>809</v>
      </c>
      <c r="DQG97" s="1392" t="s">
        <v>809</v>
      </c>
      <c r="DQH97" s="1392" t="s">
        <v>809</v>
      </c>
      <c r="DQI97" s="1392" t="s">
        <v>809</v>
      </c>
      <c r="DQJ97" s="1392" t="s">
        <v>809</v>
      </c>
      <c r="DQK97" s="1392" t="s">
        <v>809</v>
      </c>
      <c r="DQL97" s="1392" t="s">
        <v>809</v>
      </c>
      <c r="DQM97" s="1392" t="s">
        <v>809</v>
      </c>
      <c r="DQN97" s="1392" t="s">
        <v>809</v>
      </c>
      <c r="DQO97" s="1392" t="s">
        <v>809</v>
      </c>
      <c r="DQP97" s="1392" t="s">
        <v>809</v>
      </c>
      <c r="DQQ97" s="1392" t="s">
        <v>809</v>
      </c>
      <c r="DQR97" s="1392" t="s">
        <v>809</v>
      </c>
      <c r="DQS97" s="1392" t="s">
        <v>809</v>
      </c>
      <c r="DQT97" s="1392" t="s">
        <v>809</v>
      </c>
      <c r="DQU97" s="1392" t="s">
        <v>809</v>
      </c>
      <c r="DQV97" s="1392" t="s">
        <v>809</v>
      </c>
      <c r="DQW97" s="1392" t="s">
        <v>809</v>
      </c>
      <c r="DQX97" s="1392" t="s">
        <v>809</v>
      </c>
      <c r="DQY97" s="1392" t="s">
        <v>809</v>
      </c>
      <c r="DQZ97" s="1392" t="s">
        <v>809</v>
      </c>
      <c r="DRA97" s="1392" t="s">
        <v>809</v>
      </c>
      <c r="DRB97" s="1392" t="s">
        <v>809</v>
      </c>
      <c r="DRC97" s="1392" t="s">
        <v>809</v>
      </c>
      <c r="DRD97" s="1392" t="s">
        <v>809</v>
      </c>
      <c r="DRE97" s="1392" t="s">
        <v>809</v>
      </c>
      <c r="DRF97" s="1392" t="s">
        <v>809</v>
      </c>
      <c r="DRG97" s="1392" t="s">
        <v>809</v>
      </c>
      <c r="DRH97" s="1392" t="s">
        <v>809</v>
      </c>
      <c r="DRI97" s="1392" t="s">
        <v>809</v>
      </c>
      <c r="DRJ97" s="1392" t="s">
        <v>809</v>
      </c>
      <c r="DRK97" s="1392" t="s">
        <v>809</v>
      </c>
      <c r="DRL97" s="1392" t="s">
        <v>809</v>
      </c>
      <c r="DRM97" s="1392" t="s">
        <v>809</v>
      </c>
      <c r="DRN97" s="1392" t="s">
        <v>809</v>
      </c>
      <c r="DRO97" s="1392" t="s">
        <v>809</v>
      </c>
      <c r="DRP97" s="1392" t="s">
        <v>809</v>
      </c>
      <c r="DRQ97" s="1392" t="s">
        <v>809</v>
      </c>
      <c r="DRR97" s="1392" t="s">
        <v>809</v>
      </c>
      <c r="DRS97" s="1392" t="s">
        <v>809</v>
      </c>
      <c r="DRT97" s="1392" t="s">
        <v>809</v>
      </c>
      <c r="DRU97" s="1392" t="s">
        <v>809</v>
      </c>
      <c r="DRV97" s="1392" t="s">
        <v>809</v>
      </c>
      <c r="DRW97" s="1392" t="s">
        <v>809</v>
      </c>
      <c r="DRX97" s="1392" t="s">
        <v>809</v>
      </c>
      <c r="DRY97" s="1392" t="s">
        <v>809</v>
      </c>
      <c r="DRZ97" s="1392" t="s">
        <v>809</v>
      </c>
      <c r="DSA97" s="1392" t="s">
        <v>809</v>
      </c>
      <c r="DSB97" s="1392" t="s">
        <v>809</v>
      </c>
      <c r="DSC97" s="1392" t="s">
        <v>809</v>
      </c>
      <c r="DSD97" s="1392" t="s">
        <v>809</v>
      </c>
      <c r="DSE97" s="1392" t="s">
        <v>809</v>
      </c>
      <c r="DSF97" s="1392" t="s">
        <v>809</v>
      </c>
      <c r="DSG97" s="1392" t="s">
        <v>809</v>
      </c>
      <c r="DSH97" s="1392" t="s">
        <v>809</v>
      </c>
      <c r="DSI97" s="1392" t="s">
        <v>809</v>
      </c>
      <c r="DSJ97" s="1392" t="s">
        <v>809</v>
      </c>
      <c r="DSK97" s="1392" t="s">
        <v>809</v>
      </c>
      <c r="DSL97" s="1392" t="s">
        <v>809</v>
      </c>
      <c r="DSM97" s="1392" t="s">
        <v>809</v>
      </c>
      <c r="DSN97" s="1392" t="s">
        <v>809</v>
      </c>
      <c r="DSO97" s="1392" t="s">
        <v>809</v>
      </c>
      <c r="DSP97" s="1392" t="s">
        <v>809</v>
      </c>
      <c r="DSQ97" s="1392" t="s">
        <v>809</v>
      </c>
      <c r="DSR97" s="1392" t="s">
        <v>809</v>
      </c>
      <c r="DSS97" s="1392" t="s">
        <v>809</v>
      </c>
      <c r="DST97" s="1392" t="s">
        <v>809</v>
      </c>
      <c r="DSU97" s="1392" t="s">
        <v>809</v>
      </c>
      <c r="DSV97" s="1392" t="s">
        <v>809</v>
      </c>
      <c r="DSW97" s="1392" t="s">
        <v>809</v>
      </c>
      <c r="DSX97" s="1392" t="s">
        <v>809</v>
      </c>
      <c r="DSY97" s="1392" t="s">
        <v>809</v>
      </c>
      <c r="DSZ97" s="1392" t="s">
        <v>809</v>
      </c>
      <c r="DTA97" s="1392" t="s">
        <v>809</v>
      </c>
      <c r="DTB97" s="1392" t="s">
        <v>809</v>
      </c>
      <c r="DTC97" s="1392" t="s">
        <v>809</v>
      </c>
      <c r="DTD97" s="1392" t="s">
        <v>809</v>
      </c>
      <c r="DTE97" s="1392" t="s">
        <v>809</v>
      </c>
      <c r="DTF97" s="1392" t="s">
        <v>809</v>
      </c>
      <c r="DTG97" s="1392" t="s">
        <v>809</v>
      </c>
      <c r="DTH97" s="1392" t="s">
        <v>809</v>
      </c>
      <c r="DTI97" s="1392" t="s">
        <v>809</v>
      </c>
      <c r="DTJ97" s="1392" t="s">
        <v>809</v>
      </c>
      <c r="DTK97" s="1392" t="s">
        <v>809</v>
      </c>
      <c r="DTL97" s="1392" t="s">
        <v>809</v>
      </c>
      <c r="DTM97" s="1392" t="s">
        <v>809</v>
      </c>
      <c r="DTN97" s="1392" t="s">
        <v>809</v>
      </c>
      <c r="DTO97" s="1392" t="s">
        <v>809</v>
      </c>
      <c r="DTP97" s="1392" t="s">
        <v>809</v>
      </c>
      <c r="DTQ97" s="1392" t="s">
        <v>809</v>
      </c>
      <c r="DTR97" s="1392" t="s">
        <v>809</v>
      </c>
      <c r="DTS97" s="1392" t="s">
        <v>809</v>
      </c>
      <c r="DTT97" s="1392" t="s">
        <v>809</v>
      </c>
      <c r="DTU97" s="1392" t="s">
        <v>809</v>
      </c>
      <c r="DTV97" s="1392" t="s">
        <v>809</v>
      </c>
      <c r="DTW97" s="1392" t="s">
        <v>809</v>
      </c>
      <c r="DTX97" s="1392" t="s">
        <v>809</v>
      </c>
      <c r="DTY97" s="1392" t="s">
        <v>809</v>
      </c>
      <c r="DTZ97" s="1392" t="s">
        <v>809</v>
      </c>
      <c r="DUA97" s="1392" t="s">
        <v>809</v>
      </c>
      <c r="DUB97" s="1392" t="s">
        <v>809</v>
      </c>
      <c r="DUC97" s="1392" t="s">
        <v>809</v>
      </c>
      <c r="DUD97" s="1392" t="s">
        <v>809</v>
      </c>
      <c r="DUE97" s="1392" t="s">
        <v>809</v>
      </c>
      <c r="DUF97" s="1392" t="s">
        <v>809</v>
      </c>
      <c r="DUG97" s="1392" t="s">
        <v>809</v>
      </c>
      <c r="DUH97" s="1392" t="s">
        <v>809</v>
      </c>
      <c r="DUI97" s="1392" t="s">
        <v>809</v>
      </c>
      <c r="DUJ97" s="1392" t="s">
        <v>809</v>
      </c>
      <c r="DUK97" s="1392" t="s">
        <v>809</v>
      </c>
      <c r="DUL97" s="1392" t="s">
        <v>809</v>
      </c>
      <c r="DUM97" s="1392" t="s">
        <v>809</v>
      </c>
      <c r="DUN97" s="1392" t="s">
        <v>809</v>
      </c>
      <c r="DUO97" s="1392" t="s">
        <v>809</v>
      </c>
      <c r="DUP97" s="1392" t="s">
        <v>809</v>
      </c>
      <c r="DUQ97" s="1392" t="s">
        <v>809</v>
      </c>
      <c r="DUR97" s="1392" t="s">
        <v>809</v>
      </c>
      <c r="DUS97" s="1392" t="s">
        <v>809</v>
      </c>
      <c r="DUT97" s="1392" t="s">
        <v>809</v>
      </c>
      <c r="DUU97" s="1392" t="s">
        <v>809</v>
      </c>
      <c r="DUV97" s="1392" t="s">
        <v>809</v>
      </c>
      <c r="DUW97" s="1392" t="s">
        <v>809</v>
      </c>
      <c r="DUX97" s="1392" t="s">
        <v>809</v>
      </c>
      <c r="DUY97" s="1392" t="s">
        <v>809</v>
      </c>
      <c r="DUZ97" s="1392" t="s">
        <v>809</v>
      </c>
      <c r="DVA97" s="1392" t="s">
        <v>809</v>
      </c>
      <c r="DVB97" s="1392" t="s">
        <v>809</v>
      </c>
      <c r="DVC97" s="1392" t="s">
        <v>809</v>
      </c>
      <c r="DVD97" s="1392" t="s">
        <v>809</v>
      </c>
      <c r="DVE97" s="1392" t="s">
        <v>809</v>
      </c>
      <c r="DVF97" s="1392" t="s">
        <v>809</v>
      </c>
      <c r="DVG97" s="1392" t="s">
        <v>809</v>
      </c>
      <c r="DVH97" s="1392" t="s">
        <v>809</v>
      </c>
      <c r="DVI97" s="1392" t="s">
        <v>809</v>
      </c>
      <c r="DVJ97" s="1392" t="s">
        <v>809</v>
      </c>
      <c r="DVK97" s="1392" t="s">
        <v>809</v>
      </c>
      <c r="DVL97" s="1392" t="s">
        <v>809</v>
      </c>
      <c r="DVM97" s="1392" t="s">
        <v>809</v>
      </c>
      <c r="DVN97" s="1392" t="s">
        <v>809</v>
      </c>
      <c r="DVO97" s="1392" t="s">
        <v>809</v>
      </c>
      <c r="DVP97" s="1392" t="s">
        <v>809</v>
      </c>
      <c r="DVQ97" s="1392" t="s">
        <v>809</v>
      </c>
      <c r="DVR97" s="1392" t="s">
        <v>809</v>
      </c>
      <c r="DVS97" s="1392" t="s">
        <v>809</v>
      </c>
      <c r="DVT97" s="1392" t="s">
        <v>809</v>
      </c>
      <c r="DVU97" s="1392" t="s">
        <v>809</v>
      </c>
      <c r="DVV97" s="1392" t="s">
        <v>809</v>
      </c>
      <c r="DVW97" s="1392" t="s">
        <v>809</v>
      </c>
      <c r="DVX97" s="1392" t="s">
        <v>809</v>
      </c>
      <c r="DVY97" s="1392" t="s">
        <v>809</v>
      </c>
      <c r="DVZ97" s="1392" t="s">
        <v>809</v>
      </c>
      <c r="DWA97" s="1392" t="s">
        <v>809</v>
      </c>
      <c r="DWB97" s="1392" t="s">
        <v>809</v>
      </c>
      <c r="DWC97" s="1392" t="s">
        <v>809</v>
      </c>
      <c r="DWD97" s="1392" t="s">
        <v>809</v>
      </c>
      <c r="DWE97" s="1392" t="s">
        <v>809</v>
      </c>
      <c r="DWF97" s="1392" t="s">
        <v>809</v>
      </c>
      <c r="DWG97" s="1392" t="s">
        <v>809</v>
      </c>
      <c r="DWH97" s="1392" t="s">
        <v>809</v>
      </c>
      <c r="DWI97" s="1392" t="s">
        <v>809</v>
      </c>
      <c r="DWJ97" s="1392" t="s">
        <v>809</v>
      </c>
      <c r="DWK97" s="1392" t="s">
        <v>809</v>
      </c>
      <c r="DWL97" s="1392" t="s">
        <v>809</v>
      </c>
      <c r="DWM97" s="1392" t="s">
        <v>809</v>
      </c>
      <c r="DWN97" s="1392" t="s">
        <v>809</v>
      </c>
      <c r="DWO97" s="1392" t="s">
        <v>809</v>
      </c>
      <c r="DWP97" s="1392" t="s">
        <v>809</v>
      </c>
      <c r="DWQ97" s="1392" t="s">
        <v>809</v>
      </c>
      <c r="DWR97" s="1392" t="s">
        <v>809</v>
      </c>
      <c r="DWS97" s="1392" t="s">
        <v>809</v>
      </c>
      <c r="DWT97" s="1392" t="s">
        <v>809</v>
      </c>
      <c r="DWU97" s="1392" t="s">
        <v>809</v>
      </c>
      <c r="DWV97" s="1392" t="s">
        <v>809</v>
      </c>
      <c r="DWW97" s="1392" t="s">
        <v>809</v>
      </c>
      <c r="DWX97" s="1392" t="s">
        <v>809</v>
      </c>
      <c r="DWY97" s="1392" t="s">
        <v>809</v>
      </c>
      <c r="DWZ97" s="1392" t="s">
        <v>809</v>
      </c>
      <c r="DXA97" s="1392" t="s">
        <v>809</v>
      </c>
      <c r="DXB97" s="1392" t="s">
        <v>809</v>
      </c>
      <c r="DXC97" s="1392" t="s">
        <v>809</v>
      </c>
      <c r="DXD97" s="1392" t="s">
        <v>809</v>
      </c>
      <c r="DXE97" s="1392" t="s">
        <v>809</v>
      </c>
      <c r="DXF97" s="1392" t="s">
        <v>809</v>
      </c>
      <c r="DXG97" s="1392" t="s">
        <v>809</v>
      </c>
      <c r="DXH97" s="1392" t="s">
        <v>809</v>
      </c>
      <c r="DXI97" s="1392" t="s">
        <v>809</v>
      </c>
      <c r="DXJ97" s="1392" t="s">
        <v>809</v>
      </c>
      <c r="DXK97" s="1392" t="s">
        <v>809</v>
      </c>
      <c r="DXL97" s="1392" t="s">
        <v>809</v>
      </c>
      <c r="DXM97" s="1392" t="s">
        <v>809</v>
      </c>
      <c r="DXN97" s="1392" t="s">
        <v>809</v>
      </c>
      <c r="DXO97" s="1392" t="s">
        <v>809</v>
      </c>
      <c r="DXP97" s="1392" t="s">
        <v>809</v>
      </c>
      <c r="DXQ97" s="1392" t="s">
        <v>809</v>
      </c>
      <c r="DXR97" s="1392" t="s">
        <v>809</v>
      </c>
      <c r="DXS97" s="1392" t="s">
        <v>809</v>
      </c>
      <c r="DXT97" s="1392" t="s">
        <v>809</v>
      </c>
      <c r="DXU97" s="1392" t="s">
        <v>809</v>
      </c>
      <c r="DXV97" s="1392" t="s">
        <v>809</v>
      </c>
      <c r="DXW97" s="1392" t="s">
        <v>809</v>
      </c>
      <c r="DXX97" s="1392" t="s">
        <v>809</v>
      </c>
      <c r="DXY97" s="1392" t="s">
        <v>809</v>
      </c>
      <c r="DXZ97" s="1392" t="s">
        <v>809</v>
      </c>
      <c r="DYA97" s="1392" t="s">
        <v>809</v>
      </c>
      <c r="DYB97" s="1392" t="s">
        <v>809</v>
      </c>
      <c r="DYC97" s="1392" t="s">
        <v>809</v>
      </c>
      <c r="DYD97" s="1392" t="s">
        <v>809</v>
      </c>
      <c r="DYE97" s="1392" t="s">
        <v>809</v>
      </c>
      <c r="DYF97" s="1392" t="s">
        <v>809</v>
      </c>
      <c r="DYG97" s="1392" t="s">
        <v>809</v>
      </c>
      <c r="DYH97" s="1392" t="s">
        <v>809</v>
      </c>
      <c r="DYI97" s="1392" t="s">
        <v>809</v>
      </c>
      <c r="DYJ97" s="1392" t="s">
        <v>809</v>
      </c>
      <c r="DYK97" s="1392" t="s">
        <v>809</v>
      </c>
      <c r="DYL97" s="1392" t="s">
        <v>809</v>
      </c>
      <c r="DYM97" s="1392" t="s">
        <v>809</v>
      </c>
      <c r="DYN97" s="1392" t="s">
        <v>809</v>
      </c>
      <c r="DYO97" s="1392" t="s">
        <v>809</v>
      </c>
      <c r="DYP97" s="1392" t="s">
        <v>809</v>
      </c>
      <c r="DYQ97" s="1392" t="s">
        <v>809</v>
      </c>
      <c r="DYR97" s="1392" t="s">
        <v>809</v>
      </c>
      <c r="DYS97" s="1392" t="s">
        <v>809</v>
      </c>
      <c r="DYT97" s="1392" t="s">
        <v>809</v>
      </c>
      <c r="DYU97" s="1392" t="s">
        <v>809</v>
      </c>
      <c r="DYV97" s="1392" t="s">
        <v>809</v>
      </c>
      <c r="DYW97" s="1392" t="s">
        <v>809</v>
      </c>
      <c r="DYX97" s="1392" t="s">
        <v>809</v>
      </c>
      <c r="DYY97" s="1392" t="s">
        <v>809</v>
      </c>
      <c r="DYZ97" s="1392" t="s">
        <v>809</v>
      </c>
      <c r="DZA97" s="1392" t="s">
        <v>809</v>
      </c>
      <c r="DZB97" s="1392" t="s">
        <v>809</v>
      </c>
      <c r="DZC97" s="1392" t="s">
        <v>809</v>
      </c>
      <c r="DZD97" s="1392" t="s">
        <v>809</v>
      </c>
      <c r="DZE97" s="1392" t="s">
        <v>809</v>
      </c>
      <c r="DZF97" s="1392" t="s">
        <v>809</v>
      </c>
      <c r="DZG97" s="1392" t="s">
        <v>809</v>
      </c>
      <c r="DZH97" s="1392" t="s">
        <v>809</v>
      </c>
      <c r="DZI97" s="1392" t="s">
        <v>809</v>
      </c>
      <c r="DZJ97" s="1392" t="s">
        <v>809</v>
      </c>
      <c r="DZK97" s="1392" t="s">
        <v>809</v>
      </c>
      <c r="DZL97" s="1392" t="s">
        <v>809</v>
      </c>
      <c r="DZM97" s="1392" t="s">
        <v>809</v>
      </c>
      <c r="DZN97" s="1392" t="s">
        <v>809</v>
      </c>
      <c r="DZO97" s="1392" t="s">
        <v>809</v>
      </c>
      <c r="DZP97" s="1392" t="s">
        <v>809</v>
      </c>
      <c r="DZQ97" s="1392" t="s">
        <v>809</v>
      </c>
      <c r="DZR97" s="1392" t="s">
        <v>809</v>
      </c>
      <c r="DZS97" s="1392" t="s">
        <v>809</v>
      </c>
      <c r="DZT97" s="1392" t="s">
        <v>809</v>
      </c>
      <c r="DZU97" s="1392" t="s">
        <v>809</v>
      </c>
      <c r="DZV97" s="1392" t="s">
        <v>809</v>
      </c>
      <c r="DZW97" s="1392" t="s">
        <v>809</v>
      </c>
      <c r="DZX97" s="1392" t="s">
        <v>809</v>
      </c>
      <c r="DZY97" s="1392" t="s">
        <v>809</v>
      </c>
      <c r="DZZ97" s="1392" t="s">
        <v>809</v>
      </c>
      <c r="EAA97" s="1392" t="s">
        <v>809</v>
      </c>
      <c r="EAB97" s="1392" t="s">
        <v>809</v>
      </c>
      <c r="EAC97" s="1392" t="s">
        <v>809</v>
      </c>
      <c r="EAD97" s="1392" t="s">
        <v>809</v>
      </c>
      <c r="EAE97" s="1392" t="s">
        <v>809</v>
      </c>
      <c r="EAF97" s="1392" t="s">
        <v>809</v>
      </c>
      <c r="EAG97" s="1392" t="s">
        <v>809</v>
      </c>
      <c r="EAH97" s="1392" t="s">
        <v>809</v>
      </c>
      <c r="EAI97" s="1392" t="s">
        <v>809</v>
      </c>
      <c r="EAJ97" s="1392" t="s">
        <v>809</v>
      </c>
      <c r="EAK97" s="1392" t="s">
        <v>809</v>
      </c>
      <c r="EAL97" s="1392" t="s">
        <v>809</v>
      </c>
      <c r="EAM97" s="1392" t="s">
        <v>809</v>
      </c>
      <c r="EAN97" s="1392" t="s">
        <v>809</v>
      </c>
      <c r="EAO97" s="1392" t="s">
        <v>809</v>
      </c>
      <c r="EAP97" s="1392" t="s">
        <v>809</v>
      </c>
      <c r="EAQ97" s="1392" t="s">
        <v>809</v>
      </c>
      <c r="EAR97" s="1392" t="s">
        <v>809</v>
      </c>
      <c r="EAS97" s="1392" t="s">
        <v>809</v>
      </c>
      <c r="EAT97" s="1392" t="s">
        <v>809</v>
      </c>
      <c r="EAU97" s="1392" t="s">
        <v>809</v>
      </c>
      <c r="EAV97" s="1392" t="s">
        <v>809</v>
      </c>
      <c r="EAW97" s="1392" t="s">
        <v>809</v>
      </c>
      <c r="EAX97" s="1392" t="s">
        <v>809</v>
      </c>
      <c r="EAY97" s="1392" t="s">
        <v>809</v>
      </c>
      <c r="EAZ97" s="1392" t="s">
        <v>809</v>
      </c>
      <c r="EBA97" s="1392" t="s">
        <v>809</v>
      </c>
      <c r="EBB97" s="1392" t="s">
        <v>809</v>
      </c>
      <c r="EBC97" s="1392" t="s">
        <v>809</v>
      </c>
      <c r="EBD97" s="1392" t="s">
        <v>809</v>
      </c>
      <c r="EBE97" s="1392" t="s">
        <v>809</v>
      </c>
      <c r="EBF97" s="1392" t="s">
        <v>809</v>
      </c>
      <c r="EBG97" s="1392" t="s">
        <v>809</v>
      </c>
      <c r="EBH97" s="1392" t="s">
        <v>809</v>
      </c>
      <c r="EBI97" s="1392" t="s">
        <v>809</v>
      </c>
      <c r="EBJ97" s="1392" t="s">
        <v>809</v>
      </c>
      <c r="EBK97" s="1392" t="s">
        <v>809</v>
      </c>
      <c r="EBL97" s="1392" t="s">
        <v>809</v>
      </c>
      <c r="EBM97" s="1392" t="s">
        <v>809</v>
      </c>
      <c r="EBN97" s="1392" t="s">
        <v>809</v>
      </c>
      <c r="EBO97" s="1392" t="s">
        <v>809</v>
      </c>
      <c r="EBP97" s="1392" t="s">
        <v>809</v>
      </c>
      <c r="EBQ97" s="1392" t="s">
        <v>809</v>
      </c>
      <c r="EBR97" s="1392" t="s">
        <v>809</v>
      </c>
      <c r="EBS97" s="1392" t="s">
        <v>809</v>
      </c>
      <c r="EBT97" s="1392" t="s">
        <v>809</v>
      </c>
      <c r="EBU97" s="1392" t="s">
        <v>809</v>
      </c>
      <c r="EBV97" s="1392" t="s">
        <v>809</v>
      </c>
      <c r="EBW97" s="1392" t="s">
        <v>809</v>
      </c>
      <c r="EBX97" s="1392" t="s">
        <v>809</v>
      </c>
      <c r="EBY97" s="1392" t="s">
        <v>809</v>
      </c>
      <c r="EBZ97" s="1392" t="s">
        <v>809</v>
      </c>
      <c r="ECA97" s="1392" t="s">
        <v>809</v>
      </c>
      <c r="ECB97" s="1392" t="s">
        <v>809</v>
      </c>
      <c r="ECC97" s="1392" t="s">
        <v>809</v>
      </c>
      <c r="ECD97" s="1392" t="s">
        <v>809</v>
      </c>
      <c r="ECE97" s="1392" t="s">
        <v>809</v>
      </c>
      <c r="ECF97" s="1392" t="s">
        <v>809</v>
      </c>
      <c r="ECG97" s="1392" t="s">
        <v>809</v>
      </c>
      <c r="ECH97" s="1392" t="s">
        <v>809</v>
      </c>
      <c r="ECI97" s="1392" t="s">
        <v>809</v>
      </c>
      <c r="ECJ97" s="1392" t="s">
        <v>809</v>
      </c>
      <c r="ECK97" s="1392" t="s">
        <v>809</v>
      </c>
      <c r="ECL97" s="1392" t="s">
        <v>809</v>
      </c>
      <c r="ECM97" s="1392" t="s">
        <v>809</v>
      </c>
      <c r="ECN97" s="1392" t="s">
        <v>809</v>
      </c>
      <c r="ECO97" s="1392" t="s">
        <v>809</v>
      </c>
      <c r="ECP97" s="1392" t="s">
        <v>809</v>
      </c>
      <c r="ECQ97" s="1392" t="s">
        <v>809</v>
      </c>
      <c r="ECR97" s="1392" t="s">
        <v>809</v>
      </c>
      <c r="ECS97" s="1392" t="s">
        <v>809</v>
      </c>
      <c r="ECT97" s="1392" t="s">
        <v>809</v>
      </c>
      <c r="ECU97" s="1392" t="s">
        <v>809</v>
      </c>
      <c r="ECV97" s="1392" t="s">
        <v>809</v>
      </c>
      <c r="ECW97" s="1392" t="s">
        <v>809</v>
      </c>
      <c r="ECX97" s="1392" t="s">
        <v>809</v>
      </c>
      <c r="ECY97" s="1392" t="s">
        <v>809</v>
      </c>
      <c r="ECZ97" s="1392" t="s">
        <v>809</v>
      </c>
      <c r="EDA97" s="1392" t="s">
        <v>809</v>
      </c>
      <c r="EDB97" s="1392" t="s">
        <v>809</v>
      </c>
      <c r="EDC97" s="1392" t="s">
        <v>809</v>
      </c>
      <c r="EDD97" s="1392" t="s">
        <v>809</v>
      </c>
      <c r="EDE97" s="1392" t="s">
        <v>809</v>
      </c>
      <c r="EDF97" s="1392" t="s">
        <v>809</v>
      </c>
      <c r="EDG97" s="1392" t="s">
        <v>809</v>
      </c>
      <c r="EDH97" s="1392" t="s">
        <v>809</v>
      </c>
      <c r="EDI97" s="1392" t="s">
        <v>809</v>
      </c>
      <c r="EDJ97" s="1392" t="s">
        <v>809</v>
      </c>
      <c r="EDK97" s="1392" t="s">
        <v>809</v>
      </c>
      <c r="EDL97" s="1392" t="s">
        <v>809</v>
      </c>
      <c r="EDM97" s="1392" t="s">
        <v>809</v>
      </c>
      <c r="EDN97" s="1392" t="s">
        <v>809</v>
      </c>
      <c r="EDO97" s="1392" t="s">
        <v>809</v>
      </c>
      <c r="EDP97" s="1392" t="s">
        <v>809</v>
      </c>
      <c r="EDQ97" s="1392" t="s">
        <v>809</v>
      </c>
      <c r="EDR97" s="1392" t="s">
        <v>809</v>
      </c>
      <c r="EDS97" s="1392" t="s">
        <v>809</v>
      </c>
      <c r="EDT97" s="1392" t="s">
        <v>809</v>
      </c>
      <c r="EDU97" s="1392" t="s">
        <v>809</v>
      </c>
      <c r="EDV97" s="1392" t="s">
        <v>809</v>
      </c>
      <c r="EDW97" s="1392" t="s">
        <v>809</v>
      </c>
      <c r="EDX97" s="1392" t="s">
        <v>809</v>
      </c>
      <c r="EDY97" s="1392" t="s">
        <v>809</v>
      </c>
      <c r="EDZ97" s="1392" t="s">
        <v>809</v>
      </c>
      <c r="EEA97" s="1392" t="s">
        <v>809</v>
      </c>
      <c r="EEB97" s="1392" t="s">
        <v>809</v>
      </c>
      <c r="EEC97" s="1392" t="s">
        <v>809</v>
      </c>
      <c r="EED97" s="1392" t="s">
        <v>809</v>
      </c>
      <c r="EEE97" s="1392" t="s">
        <v>809</v>
      </c>
      <c r="EEF97" s="1392" t="s">
        <v>809</v>
      </c>
      <c r="EEG97" s="1392" t="s">
        <v>809</v>
      </c>
      <c r="EEH97" s="1392" t="s">
        <v>809</v>
      </c>
      <c r="EEI97" s="1392" t="s">
        <v>809</v>
      </c>
      <c r="EEJ97" s="1392" t="s">
        <v>809</v>
      </c>
      <c r="EEK97" s="1392" t="s">
        <v>809</v>
      </c>
      <c r="EEL97" s="1392" t="s">
        <v>809</v>
      </c>
      <c r="EEM97" s="1392" t="s">
        <v>809</v>
      </c>
      <c r="EEN97" s="1392" t="s">
        <v>809</v>
      </c>
      <c r="EEO97" s="1392" t="s">
        <v>809</v>
      </c>
      <c r="EEP97" s="1392" t="s">
        <v>809</v>
      </c>
      <c r="EEQ97" s="1392" t="s">
        <v>809</v>
      </c>
      <c r="EER97" s="1392" t="s">
        <v>809</v>
      </c>
      <c r="EES97" s="1392" t="s">
        <v>809</v>
      </c>
      <c r="EET97" s="1392" t="s">
        <v>809</v>
      </c>
      <c r="EEU97" s="1392" t="s">
        <v>809</v>
      </c>
      <c r="EEV97" s="1392" t="s">
        <v>809</v>
      </c>
      <c r="EEW97" s="1392" t="s">
        <v>809</v>
      </c>
      <c r="EEX97" s="1392" t="s">
        <v>809</v>
      </c>
      <c r="EEY97" s="1392" t="s">
        <v>809</v>
      </c>
      <c r="EEZ97" s="1392" t="s">
        <v>809</v>
      </c>
      <c r="EFA97" s="1392" t="s">
        <v>809</v>
      </c>
      <c r="EFB97" s="1392" t="s">
        <v>809</v>
      </c>
      <c r="EFC97" s="1392" t="s">
        <v>809</v>
      </c>
      <c r="EFD97" s="1392" t="s">
        <v>809</v>
      </c>
      <c r="EFE97" s="1392" t="s">
        <v>809</v>
      </c>
      <c r="EFF97" s="1392" t="s">
        <v>809</v>
      </c>
      <c r="EFG97" s="1392" t="s">
        <v>809</v>
      </c>
      <c r="EFH97" s="1392" t="s">
        <v>809</v>
      </c>
      <c r="EFI97" s="1392" t="s">
        <v>809</v>
      </c>
      <c r="EFJ97" s="1392" t="s">
        <v>809</v>
      </c>
      <c r="EFK97" s="1392" t="s">
        <v>809</v>
      </c>
      <c r="EFL97" s="1392" t="s">
        <v>809</v>
      </c>
      <c r="EFM97" s="1392" t="s">
        <v>809</v>
      </c>
      <c r="EFN97" s="1392" t="s">
        <v>809</v>
      </c>
      <c r="EFO97" s="1392" t="s">
        <v>809</v>
      </c>
      <c r="EFP97" s="1392" t="s">
        <v>809</v>
      </c>
      <c r="EFQ97" s="1392" t="s">
        <v>809</v>
      </c>
      <c r="EFR97" s="1392" t="s">
        <v>809</v>
      </c>
      <c r="EFS97" s="1392" t="s">
        <v>809</v>
      </c>
      <c r="EFT97" s="1392" t="s">
        <v>809</v>
      </c>
      <c r="EFU97" s="1392" t="s">
        <v>809</v>
      </c>
      <c r="EFV97" s="1392" t="s">
        <v>809</v>
      </c>
      <c r="EFW97" s="1392" t="s">
        <v>809</v>
      </c>
      <c r="EFX97" s="1392" t="s">
        <v>809</v>
      </c>
      <c r="EFY97" s="1392" t="s">
        <v>809</v>
      </c>
      <c r="EFZ97" s="1392" t="s">
        <v>809</v>
      </c>
      <c r="EGA97" s="1392" t="s">
        <v>809</v>
      </c>
      <c r="EGB97" s="1392" t="s">
        <v>809</v>
      </c>
      <c r="EGC97" s="1392" t="s">
        <v>809</v>
      </c>
      <c r="EGD97" s="1392" t="s">
        <v>809</v>
      </c>
      <c r="EGE97" s="1392" t="s">
        <v>809</v>
      </c>
      <c r="EGF97" s="1392" t="s">
        <v>809</v>
      </c>
      <c r="EGG97" s="1392" t="s">
        <v>809</v>
      </c>
      <c r="EGH97" s="1392" t="s">
        <v>809</v>
      </c>
      <c r="EGI97" s="1392" t="s">
        <v>809</v>
      </c>
      <c r="EGJ97" s="1392" t="s">
        <v>809</v>
      </c>
      <c r="EGK97" s="1392" t="s">
        <v>809</v>
      </c>
      <c r="EGL97" s="1392" t="s">
        <v>809</v>
      </c>
      <c r="EGM97" s="1392" t="s">
        <v>809</v>
      </c>
      <c r="EGN97" s="1392" t="s">
        <v>809</v>
      </c>
      <c r="EGO97" s="1392" t="s">
        <v>809</v>
      </c>
      <c r="EGP97" s="1392" t="s">
        <v>809</v>
      </c>
      <c r="EGQ97" s="1392" t="s">
        <v>809</v>
      </c>
      <c r="EGR97" s="1392" t="s">
        <v>809</v>
      </c>
      <c r="EGS97" s="1392" t="s">
        <v>809</v>
      </c>
      <c r="EGT97" s="1392" t="s">
        <v>809</v>
      </c>
      <c r="EGU97" s="1392" t="s">
        <v>809</v>
      </c>
      <c r="EGV97" s="1392" t="s">
        <v>809</v>
      </c>
      <c r="EGW97" s="1392" t="s">
        <v>809</v>
      </c>
      <c r="EGX97" s="1392" t="s">
        <v>809</v>
      </c>
      <c r="EGY97" s="1392" t="s">
        <v>809</v>
      </c>
      <c r="EGZ97" s="1392" t="s">
        <v>809</v>
      </c>
      <c r="EHA97" s="1392" t="s">
        <v>809</v>
      </c>
      <c r="EHB97" s="1392" t="s">
        <v>809</v>
      </c>
      <c r="EHC97" s="1392" t="s">
        <v>809</v>
      </c>
      <c r="EHD97" s="1392" t="s">
        <v>809</v>
      </c>
      <c r="EHE97" s="1392" t="s">
        <v>809</v>
      </c>
      <c r="EHF97" s="1392" t="s">
        <v>809</v>
      </c>
      <c r="EHG97" s="1392" t="s">
        <v>809</v>
      </c>
      <c r="EHH97" s="1392" t="s">
        <v>809</v>
      </c>
      <c r="EHI97" s="1392" t="s">
        <v>809</v>
      </c>
      <c r="EHJ97" s="1392" t="s">
        <v>809</v>
      </c>
      <c r="EHK97" s="1392" t="s">
        <v>809</v>
      </c>
      <c r="EHL97" s="1392" t="s">
        <v>809</v>
      </c>
      <c r="EHM97" s="1392" t="s">
        <v>809</v>
      </c>
      <c r="EHN97" s="1392" t="s">
        <v>809</v>
      </c>
      <c r="EHO97" s="1392" t="s">
        <v>809</v>
      </c>
      <c r="EHP97" s="1392" t="s">
        <v>809</v>
      </c>
      <c r="EHQ97" s="1392" t="s">
        <v>809</v>
      </c>
      <c r="EHR97" s="1392" t="s">
        <v>809</v>
      </c>
      <c r="EHS97" s="1392" t="s">
        <v>809</v>
      </c>
      <c r="EHT97" s="1392" t="s">
        <v>809</v>
      </c>
      <c r="EHU97" s="1392" t="s">
        <v>809</v>
      </c>
      <c r="EHV97" s="1392" t="s">
        <v>809</v>
      </c>
      <c r="EHW97" s="1392" t="s">
        <v>809</v>
      </c>
      <c r="EHX97" s="1392" t="s">
        <v>809</v>
      </c>
      <c r="EHY97" s="1392" t="s">
        <v>809</v>
      </c>
      <c r="EHZ97" s="1392" t="s">
        <v>809</v>
      </c>
      <c r="EIA97" s="1392" t="s">
        <v>809</v>
      </c>
      <c r="EIB97" s="1392" t="s">
        <v>809</v>
      </c>
      <c r="EIC97" s="1392" t="s">
        <v>809</v>
      </c>
      <c r="EID97" s="1392" t="s">
        <v>809</v>
      </c>
      <c r="EIE97" s="1392" t="s">
        <v>809</v>
      </c>
      <c r="EIF97" s="1392" t="s">
        <v>809</v>
      </c>
      <c r="EIG97" s="1392" t="s">
        <v>809</v>
      </c>
      <c r="EIH97" s="1392" t="s">
        <v>809</v>
      </c>
      <c r="EII97" s="1392" t="s">
        <v>809</v>
      </c>
      <c r="EIJ97" s="1392" t="s">
        <v>809</v>
      </c>
      <c r="EIK97" s="1392" t="s">
        <v>809</v>
      </c>
      <c r="EIL97" s="1392" t="s">
        <v>809</v>
      </c>
      <c r="EIM97" s="1392" t="s">
        <v>809</v>
      </c>
      <c r="EIN97" s="1392" t="s">
        <v>809</v>
      </c>
      <c r="EIO97" s="1392" t="s">
        <v>809</v>
      </c>
      <c r="EIP97" s="1392" t="s">
        <v>809</v>
      </c>
      <c r="EIQ97" s="1392" t="s">
        <v>809</v>
      </c>
      <c r="EIR97" s="1392" t="s">
        <v>809</v>
      </c>
      <c r="EIS97" s="1392" t="s">
        <v>809</v>
      </c>
      <c r="EIT97" s="1392" t="s">
        <v>809</v>
      </c>
      <c r="EIU97" s="1392" t="s">
        <v>809</v>
      </c>
      <c r="EIV97" s="1392" t="s">
        <v>809</v>
      </c>
      <c r="EIW97" s="1392" t="s">
        <v>809</v>
      </c>
      <c r="EIX97" s="1392" t="s">
        <v>809</v>
      </c>
      <c r="EIY97" s="1392" t="s">
        <v>809</v>
      </c>
      <c r="EIZ97" s="1392" t="s">
        <v>809</v>
      </c>
      <c r="EJA97" s="1392" t="s">
        <v>809</v>
      </c>
      <c r="EJB97" s="1392" t="s">
        <v>809</v>
      </c>
      <c r="EJC97" s="1392" t="s">
        <v>809</v>
      </c>
      <c r="EJD97" s="1392" t="s">
        <v>809</v>
      </c>
      <c r="EJE97" s="1392" t="s">
        <v>809</v>
      </c>
      <c r="EJF97" s="1392" t="s">
        <v>809</v>
      </c>
      <c r="EJG97" s="1392" t="s">
        <v>809</v>
      </c>
      <c r="EJH97" s="1392" t="s">
        <v>809</v>
      </c>
      <c r="EJI97" s="1392" t="s">
        <v>809</v>
      </c>
      <c r="EJJ97" s="1392" t="s">
        <v>809</v>
      </c>
      <c r="EJK97" s="1392" t="s">
        <v>809</v>
      </c>
      <c r="EJL97" s="1392" t="s">
        <v>809</v>
      </c>
      <c r="EJM97" s="1392" t="s">
        <v>809</v>
      </c>
      <c r="EJN97" s="1392" t="s">
        <v>809</v>
      </c>
      <c r="EJO97" s="1392" t="s">
        <v>809</v>
      </c>
      <c r="EJP97" s="1392" t="s">
        <v>809</v>
      </c>
      <c r="EJQ97" s="1392" t="s">
        <v>809</v>
      </c>
      <c r="EJR97" s="1392" t="s">
        <v>809</v>
      </c>
      <c r="EJS97" s="1392" t="s">
        <v>809</v>
      </c>
      <c r="EJT97" s="1392" t="s">
        <v>809</v>
      </c>
      <c r="EJU97" s="1392" t="s">
        <v>809</v>
      </c>
      <c r="EJV97" s="1392" t="s">
        <v>809</v>
      </c>
      <c r="EJW97" s="1392" t="s">
        <v>809</v>
      </c>
      <c r="EJX97" s="1392" t="s">
        <v>809</v>
      </c>
      <c r="EJY97" s="1392" t="s">
        <v>809</v>
      </c>
      <c r="EJZ97" s="1392" t="s">
        <v>809</v>
      </c>
      <c r="EKA97" s="1392" t="s">
        <v>809</v>
      </c>
      <c r="EKB97" s="1392" t="s">
        <v>809</v>
      </c>
      <c r="EKC97" s="1392" t="s">
        <v>809</v>
      </c>
      <c r="EKD97" s="1392" t="s">
        <v>809</v>
      </c>
      <c r="EKE97" s="1392" t="s">
        <v>809</v>
      </c>
      <c r="EKF97" s="1392" t="s">
        <v>809</v>
      </c>
      <c r="EKG97" s="1392" t="s">
        <v>809</v>
      </c>
      <c r="EKH97" s="1392" t="s">
        <v>809</v>
      </c>
      <c r="EKI97" s="1392" t="s">
        <v>809</v>
      </c>
      <c r="EKJ97" s="1392" t="s">
        <v>809</v>
      </c>
      <c r="EKK97" s="1392" t="s">
        <v>809</v>
      </c>
      <c r="EKL97" s="1392" t="s">
        <v>809</v>
      </c>
      <c r="EKM97" s="1392" t="s">
        <v>809</v>
      </c>
      <c r="EKN97" s="1392" t="s">
        <v>809</v>
      </c>
      <c r="EKO97" s="1392" t="s">
        <v>809</v>
      </c>
      <c r="EKP97" s="1392" t="s">
        <v>809</v>
      </c>
      <c r="EKQ97" s="1392" t="s">
        <v>809</v>
      </c>
      <c r="EKR97" s="1392" t="s">
        <v>809</v>
      </c>
      <c r="EKS97" s="1392" t="s">
        <v>809</v>
      </c>
      <c r="EKT97" s="1392" t="s">
        <v>809</v>
      </c>
      <c r="EKU97" s="1392" t="s">
        <v>809</v>
      </c>
      <c r="EKV97" s="1392" t="s">
        <v>809</v>
      </c>
      <c r="EKW97" s="1392" t="s">
        <v>809</v>
      </c>
      <c r="EKX97" s="1392" t="s">
        <v>809</v>
      </c>
      <c r="EKY97" s="1392" t="s">
        <v>809</v>
      </c>
      <c r="EKZ97" s="1392" t="s">
        <v>809</v>
      </c>
      <c r="ELA97" s="1392" t="s">
        <v>809</v>
      </c>
      <c r="ELB97" s="1392" t="s">
        <v>809</v>
      </c>
      <c r="ELC97" s="1392" t="s">
        <v>809</v>
      </c>
      <c r="ELD97" s="1392" t="s">
        <v>809</v>
      </c>
      <c r="ELE97" s="1392" t="s">
        <v>809</v>
      </c>
      <c r="ELF97" s="1392" t="s">
        <v>809</v>
      </c>
      <c r="ELG97" s="1392" t="s">
        <v>809</v>
      </c>
      <c r="ELH97" s="1392" t="s">
        <v>809</v>
      </c>
      <c r="ELI97" s="1392" t="s">
        <v>809</v>
      </c>
      <c r="ELJ97" s="1392" t="s">
        <v>809</v>
      </c>
      <c r="ELK97" s="1392" t="s">
        <v>809</v>
      </c>
      <c r="ELL97" s="1392" t="s">
        <v>809</v>
      </c>
      <c r="ELM97" s="1392" t="s">
        <v>809</v>
      </c>
      <c r="ELN97" s="1392" t="s">
        <v>809</v>
      </c>
      <c r="ELO97" s="1392" t="s">
        <v>809</v>
      </c>
      <c r="ELP97" s="1392" t="s">
        <v>809</v>
      </c>
      <c r="ELQ97" s="1392" t="s">
        <v>809</v>
      </c>
      <c r="ELR97" s="1392" t="s">
        <v>809</v>
      </c>
      <c r="ELS97" s="1392" t="s">
        <v>809</v>
      </c>
      <c r="ELT97" s="1392" t="s">
        <v>809</v>
      </c>
      <c r="ELU97" s="1392" t="s">
        <v>809</v>
      </c>
      <c r="ELV97" s="1392" t="s">
        <v>809</v>
      </c>
      <c r="ELW97" s="1392" t="s">
        <v>809</v>
      </c>
      <c r="ELX97" s="1392" t="s">
        <v>809</v>
      </c>
      <c r="ELY97" s="1392" t="s">
        <v>809</v>
      </c>
      <c r="ELZ97" s="1392" t="s">
        <v>809</v>
      </c>
      <c r="EMA97" s="1392" t="s">
        <v>809</v>
      </c>
      <c r="EMB97" s="1392" t="s">
        <v>809</v>
      </c>
      <c r="EMC97" s="1392" t="s">
        <v>809</v>
      </c>
      <c r="EMD97" s="1392" t="s">
        <v>809</v>
      </c>
      <c r="EME97" s="1392" t="s">
        <v>809</v>
      </c>
      <c r="EMF97" s="1392" t="s">
        <v>809</v>
      </c>
      <c r="EMG97" s="1392" t="s">
        <v>809</v>
      </c>
      <c r="EMH97" s="1392" t="s">
        <v>809</v>
      </c>
      <c r="EMI97" s="1392" t="s">
        <v>809</v>
      </c>
      <c r="EMJ97" s="1392" t="s">
        <v>809</v>
      </c>
      <c r="EMK97" s="1392" t="s">
        <v>809</v>
      </c>
      <c r="EML97" s="1392" t="s">
        <v>809</v>
      </c>
      <c r="EMM97" s="1392" t="s">
        <v>809</v>
      </c>
      <c r="EMN97" s="1392" t="s">
        <v>809</v>
      </c>
      <c r="EMO97" s="1392" t="s">
        <v>809</v>
      </c>
      <c r="EMP97" s="1392" t="s">
        <v>809</v>
      </c>
      <c r="EMQ97" s="1392" t="s">
        <v>809</v>
      </c>
      <c r="EMR97" s="1392" t="s">
        <v>809</v>
      </c>
      <c r="EMS97" s="1392" t="s">
        <v>809</v>
      </c>
      <c r="EMT97" s="1392" t="s">
        <v>809</v>
      </c>
      <c r="EMU97" s="1392" t="s">
        <v>809</v>
      </c>
      <c r="EMV97" s="1392" t="s">
        <v>809</v>
      </c>
      <c r="EMW97" s="1392" t="s">
        <v>809</v>
      </c>
      <c r="EMX97" s="1392" t="s">
        <v>809</v>
      </c>
      <c r="EMY97" s="1392" t="s">
        <v>809</v>
      </c>
      <c r="EMZ97" s="1392" t="s">
        <v>809</v>
      </c>
      <c r="ENA97" s="1392" t="s">
        <v>809</v>
      </c>
      <c r="ENB97" s="1392" t="s">
        <v>809</v>
      </c>
      <c r="ENC97" s="1392" t="s">
        <v>809</v>
      </c>
      <c r="END97" s="1392" t="s">
        <v>809</v>
      </c>
      <c r="ENE97" s="1392" t="s">
        <v>809</v>
      </c>
      <c r="ENF97" s="1392" t="s">
        <v>809</v>
      </c>
      <c r="ENG97" s="1392" t="s">
        <v>809</v>
      </c>
      <c r="ENH97" s="1392" t="s">
        <v>809</v>
      </c>
      <c r="ENI97" s="1392" t="s">
        <v>809</v>
      </c>
      <c r="ENJ97" s="1392" t="s">
        <v>809</v>
      </c>
      <c r="ENK97" s="1392" t="s">
        <v>809</v>
      </c>
      <c r="ENL97" s="1392" t="s">
        <v>809</v>
      </c>
      <c r="ENM97" s="1392" t="s">
        <v>809</v>
      </c>
      <c r="ENN97" s="1392" t="s">
        <v>809</v>
      </c>
      <c r="ENO97" s="1392" t="s">
        <v>809</v>
      </c>
      <c r="ENP97" s="1392" t="s">
        <v>809</v>
      </c>
      <c r="ENQ97" s="1392" t="s">
        <v>809</v>
      </c>
      <c r="ENR97" s="1392" t="s">
        <v>809</v>
      </c>
      <c r="ENS97" s="1392" t="s">
        <v>809</v>
      </c>
      <c r="ENT97" s="1392" t="s">
        <v>809</v>
      </c>
      <c r="ENU97" s="1392" t="s">
        <v>809</v>
      </c>
      <c r="ENV97" s="1392" t="s">
        <v>809</v>
      </c>
      <c r="ENW97" s="1392" t="s">
        <v>809</v>
      </c>
      <c r="ENX97" s="1392" t="s">
        <v>809</v>
      </c>
      <c r="ENY97" s="1392" t="s">
        <v>809</v>
      </c>
      <c r="ENZ97" s="1392" t="s">
        <v>809</v>
      </c>
      <c r="EOA97" s="1392" t="s">
        <v>809</v>
      </c>
      <c r="EOB97" s="1392" t="s">
        <v>809</v>
      </c>
      <c r="EOC97" s="1392" t="s">
        <v>809</v>
      </c>
      <c r="EOD97" s="1392" t="s">
        <v>809</v>
      </c>
      <c r="EOE97" s="1392" t="s">
        <v>809</v>
      </c>
      <c r="EOF97" s="1392" t="s">
        <v>809</v>
      </c>
      <c r="EOG97" s="1392" t="s">
        <v>809</v>
      </c>
      <c r="EOH97" s="1392" t="s">
        <v>809</v>
      </c>
      <c r="EOI97" s="1392" t="s">
        <v>809</v>
      </c>
      <c r="EOJ97" s="1392" t="s">
        <v>809</v>
      </c>
      <c r="EOK97" s="1392" t="s">
        <v>809</v>
      </c>
      <c r="EOL97" s="1392" t="s">
        <v>809</v>
      </c>
      <c r="EOM97" s="1392" t="s">
        <v>809</v>
      </c>
      <c r="EON97" s="1392" t="s">
        <v>809</v>
      </c>
      <c r="EOO97" s="1392" t="s">
        <v>809</v>
      </c>
      <c r="EOP97" s="1392" t="s">
        <v>809</v>
      </c>
      <c r="EOQ97" s="1392" t="s">
        <v>809</v>
      </c>
      <c r="EOR97" s="1392" t="s">
        <v>809</v>
      </c>
      <c r="EOS97" s="1392" t="s">
        <v>809</v>
      </c>
      <c r="EOT97" s="1392" t="s">
        <v>809</v>
      </c>
      <c r="EOU97" s="1392" t="s">
        <v>809</v>
      </c>
      <c r="EOV97" s="1392" t="s">
        <v>809</v>
      </c>
      <c r="EOW97" s="1392" t="s">
        <v>809</v>
      </c>
      <c r="EOX97" s="1392" t="s">
        <v>809</v>
      </c>
      <c r="EOY97" s="1392" t="s">
        <v>809</v>
      </c>
      <c r="EOZ97" s="1392" t="s">
        <v>809</v>
      </c>
      <c r="EPA97" s="1392" t="s">
        <v>809</v>
      </c>
      <c r="EPB97" s="1392" t="s">
        <v>809</v>
      </c>
      <c r="EPC97" s="1392" t="s">
        <v>809</v>
      </c>
      <c r="EPD97" s="1392" t="s">
        <v>809</v>
      </c>
      <c r="EPE97" s="1392" t="s">
        <v>809</v>
      </c>
      <c r="EPF97" s="1392" t="s">
        <v>809</v>
      </c>
      <c r="EPG97" s="1392" t="s">
        <v>809</v>
      </c>
      <c r="EPH97" s="1392" t="s">
        <v>809</v>
      </c>
      <c r="EPI97" s="1392" t="s">
        <v>809</v>
      </c>
      <c r="EPJ97" s="1392" t="s">
        <v>809</v>
      </c>
      <c r="EPK97" s="1392" t="s">
        <v>809</v>
      </c>
      <c r="EPL97" s="1392" t="s">
        <v>809</v>
      </c>
      <c r="EPM97" s="1392" t="s">
        <v>809</v>
      </c>
      <c r="EPN97" s="1392" t="s">
        <v>809</v>
      </c>
      <c r="EPO97" s="1392" t="s">
        <v>809</v>
      </c>
      <c r="EPP97" s="1392" t="s">
        <v>809</v>
      </c>
      <c r="EPQ97" s="1392" t="s">
        <v>809</v>
      </c>
      <c r="EPR97" s="1392" t="s">
        <v>809</v>
      </c>
      <c r="EPS97" s="1392" t="s">
        <v>809</v>
      </c>
      <c r="EPT97" s="1392" t="s">
        <v>809</v>
      </c>
      <c r="EPU97" s="1392" t="s">
        <v>809</v>
      </c>
      <c r="EPV97" s="1392" t="s">
        <v>809</v>
      </c>
      <c r="EPW97" s="1392" t="s">
        <v>809</v>
      </c>
      <c r="EPX97" s="1392" t="s">
        <v>809</v>
      </c>
      <c r="EPY97" s="1392" t="s">
        <v>809</v>
      </c>
      <c r="EPZ97" s="1392" t="s">
        <v>809</v>
      </c>
      <c r="EQA97" s="1392" t="s">
        <v>809</v>
      </c>
      <c r="EQB97" s="1392" t="s">
        <v>809</v>
      </c>
      <c r="EQC97" s="1392" t="s">
        <v>809</v>
      </c>
      <c r="EQD97" s="1392" t="s">
        <v>809</v>
      </c>
      <c r="EQE97" s="1392" t="s">
        <v>809</v>
      </c>
      <c r="EQF97" s="1392" t="s">
        <v>809</v>
      </c>
      <c r="EQG97" s="1392" t="s">
        <v>809</v>
      </c>
      <c r="EQH97" s="1392" t="s">
        <v>809</v>
      </c>
      <c r="EQI97" s="1392" t="s">
        <v>809</v>
      </c>
      <c r="EQJ97" s="1392" t="s">
        <v>809</v>
      </c>
      <c r="EQK97" s="1392" t="s">
        <v>809</v>
      </c>
      <c r="EQL97" s="1392" t="s">
        <v>809</v>
      </c>
      <c r="EQM97" s="1392" t="s">
        <v>809</v>
      </c>
      <c r="EQN97" s="1392" t="s">
        <v>809</v>
      </c>
      <c r="EQO97" s="1392" t="s">
        <v>809</v>
      </c>
      <c r="EQP97" s="1392" t="s">
        <v>809</v>
      </c>
      <c r="EQQ97" s="1392" t="s">
        <v>809</v>
      </c>
      <c r="EQR97" s="1392" t="s">
        <v>809</v>
      </c>
      <c r="EQS97" s="1392" t="s">
        <v>809</v>
      </c>
      <c r="EQT97" s="1392" t="s">
        <v>809</v>
      </c>
      <c r="EQU97" s="1392" t="s">
        <v>809</v>
      </c>
      <c r="EQV97" s="1392" t="s">
        <v>809</v>
      </c>
      <c r="EQW97" s="1392" t="s">
        <v>809</v>
      </c>
      <c r="EQX97" s="1392" t="s">
        <v>809</v>
      </c>
      <c r="EQY97" s="1392" t="s">
        <v>809</v>
      </c>
      <c r="EQZ97" s="1392" t="s">
        <v>809</v>
      </c>
      <c r="ERA97" s="1392" t="s">
        <v>809</v>
      </c>
      <c r="ERB97" s="1392" t="s">
        <v>809</v>
      </c>
      <c r="ERC97" s="1392" t="s">
        <v>809</v>
      </c>
      <c r="ERD97" s="1392" t="s">
        <v>809</v>
      </c>
      <c r="ERE97" s="1392" t="s">
        <v>809</v>
      </c>
      <c r="ERF97" s="1392" t="s">
        <v>809</v>
      </c>
      <c r="ERG97" s="1392" t="s">
        <v>809</v>
      </c>
      <c r="ERH97" s="1392" t="s">
        <v>809</v>
      </c>
      <c r="ERI97" s="1392" t="s">
        <v>809</v>
      </c>
      <c r="ERJ97" s="1392" t="s">
        <v>809</v>
      </c>
      <c r="ERK97" s="1392" t="s">
        <v>809</v>
      </c>
      <c r="ERL97" s="1392" t="s">
        <v>809</v>
      </c>
      <c r="ERM97" s="1392" t="s">
        <v>809</v>
      </c>
      <c r="ERN97" s="1392" t="s">
        <v>809</v>
      </c>
      <c r="ERO97" s="1392" t="s">
        <v>809</v>
      </c>
      <c r="ERP97" s="1392" t="s">
        <v>809</v>
      </c>
      <c r="ERQ97" s="1392" t="s">
        <v>809</v>
      </c>
      <c r="ERR97" s="1392" t="s">
        <v>809</v>
      </c>
      <c r="ERS97" s="1392" t="s">
        <v>809</v>
      </c>
      <c r="ERT97" s="1392" t="s">
        <v>809</v>
      </c>
      <c r="ERU97" s="1392" t="s">
        <v>809</v>
      </c>
      <c r="ERV97" s="1392" t="s">
        <v>809</v>
      </c>
      <c r="ERW97" s="1392" t="s">
        <v>809</v>
      </c>
      <c r="ERX97" s="1392" t="s">
        <v>809</v>
      </c>
      <c r="ERY97" s="1392" t="s">
        <v>809</v>
      </c>
      <c r="ERZ97" s="1392" t="s">
        <v>809</v>
      </c>
      <c r="ESA97" s="1392" t="s">
        <v>809</v>
      </c>
      <c r="ESB97" s="1392" t="s">
        <v>809</v>
      </c>
      <c r="ESC97" s="1392" t="s">
        <v>809</v>
      </c>
      <c r="ESD97" s="1392" t="s">
        <v>809</v>
      </c>
      <c r="ESE97" s="1392" t="s">
        <v>809</v>
      </c>
      <c r="ESF97" s="1392" t="s">
        <v>809</v>
      </c>
      <c r="ESG97" s="1392" t="s">
        <v>809</v>
      </c>
      <c r="ESH97" s="1392" t="s">
        <v>809</v>
      </c>
      <c r="ESI97" s="1392" t="s">
        <v>809</v>
      </c>
      <c r="ESJ97" s="1392" t="s">
        <v>809</v>
      </c>
      <c r="ESK97" s="1392" t="s">
        <v>809</v>
      </c>
      <c r="ESL97" s="1392" t="s">
        <v>809</v>
      </c>
      <c r="ESM97" s="1392" t="s">
        <v>809</v>
      </c>
      <c r="ESN97" s="1392" t="s">
        <v>809</v>
      </c>
      <c r="ESO97" s="1392" t="s">
        <v>809</v>
      </c>
      <c r="ESP97" s="1392" t="s">
        <v>809</v>
      </c>
      <c r="ESQ97" s="1392" t="s">
        <v>809</v>
      </c>
      <c r="ESR97" s="1392" t="s">
        <v>809</v>
      </c>
      <c r="ESS97" s="1392" t="s">
        <v>809</v>
      </c>
      <c r="EST97" s="1392" t="s">
        <v>809</v>
      </c>
      <c r="ESU97" s="1392" t="s">
        <v>809</v>
      </c>
      <c r="ESV97" s="1392" t="s">
        <v>809</v>
      </c>
      <c r="ESW97" s="1392" t="s">
        <v>809</v>
      </c>
      <c r="ESX97" s="1392" t="s">
        <v>809</v>
      </c>
      <c r="ESY97" s="1392" t="s">
        <v>809</v>
      </c>
      <c r="ESZ97" s="1392" t="s">
        <v>809</v>
      </c>
      <c r="ETA97" s="1392" t="s">
        <v>809</v>
      </c>
      <c r="ETB97" s="1392" t="s">
        <v>809</v>
      </c>
      <c r="ETC97" s="1392" t="s">
        <v>809</v>
      </c>
      <c r="ETD97" s="1392" t="s">
        <v>809</v>
      </c>
      <c r="ETE97" s="1392" t="s">
        <v>809</v>
      </c>
      <c r="ETF97" s="1392" t="s">
        <v>809</v>
      </c>
      <c r="ETG97" s="1392" t="s">
        <v>809</v>
      </c>
      <c r="ETH97" s="1392" t="s">
        <v>809</v>
      </c>
      <c r="ETI97" s="1392" t="s">
        <v>809</v>
      </c>
      <c r="ETJ97" s="1392" t="s">
        <v>809</v>
      </c>
      <c r="ETK97" s="1392" t="s">
        <v>809</v>
      </c>
      <c r="ETL97" s="1392" t="s">
        <v>809</v>
      </c>
      <c r="ETM97" s="1392" t="s">
        <v>809</v>
      </c>
      <c r="ETN97" s="1392" t="s">
        <v>809</v>
      </c>
      <c r="ETO97" s="1392" t="s">
        <v>809</v>
      </c>
      <c r="ETP97" s="1392" t="s">
        <v>809</v>
      </c>
      <c r="ETQ97" s="1392" t="s">
        <v>809</v>
      </c>
      <c r="ETR97" s="1392" t="s">
        <v>809</v>
      </c>
      <c r="ETS97" s="1392" t="s">
        <v>809</v>
      </c>
      <c r="ETT97" s="1392" t="s">
        <v>809</v>
      </c>
      <c r="ETU97" s="1392" t="s">
        <v>809</v>
      </c>
      <c r="ETV97" s="1392" t="s">
        <v>809</v>
      </c>
      <c r="ETW97" s="1392" t="s">
        <v>809</v>
      </c>
      <c r="ETX97" s="1392" t="s">
        <v>809</v>
      </c>
      <c r="ETY97" s="1392" t="s">
        <v>809</v>
      </c>
      <c r="ETZ97" s="1392" t="s">
        <v>809</v>
      </c>
      <c r="EUA97" s="1392" t="s">
        <v>809</v>
      </c>
      <c r="EUB97" s="1392" t="s">
        <v>809</v>
      </c>
      <c r="EUC97" s="1392" t="s">
        <v>809</v>
      </c>
      <c r="EUD97" s="1392" t="s">
        <v>809</v>
      </c>
      <c r="EUE97" s="1392" t="s">
        <v>809</v>
      </c>
      <c r="EUF97" s="1392" t="s">
        <v>809</v>
      </c>
      <c r="EUG97" s="1392" t="s">
        <v>809</v>
      </c>
      <c r="EUH97" s="1392" t="s">
        <v>809</v>
      </c>
      <c r="EUI97" s="1392" t="s">
        <v>809</v>
      </c>
      <c r="EUJ97" s="1392" t="s">
        <v>809</v>
      </c>
      <c r="EUK97" s="1392" t="s">
        <v>809</v>
      </c>
      <c r="EUL97" s="1392" t="s">
        <v>809</v>
      </c>
      <c r="EUM97" s="1392" t="s">
        <v>809</v>
      </c>
      <c r="EUN97" s="1392" t="s">
        <v>809</v>
      </c>
      <c r="EUO97" s="1392" t="s">
        <v>809</v>
      </c>
      <c r="EUP97" s="1392" t="s">
        <v>809</v>
      </c>
      <c r="EUQ97" s="1392" t="s">
        <v>809</v>
      </c>
      <c r="EUR97" s="1392" t="s">
        <v>809</v>
      </c>
      <c r="EUS97" s="1392" t="s">
        <v>809</v>
      </c>
      <c r="EUT97" s="1392" t="s">
        <v>809</v>
      </c>
      <c r="EUU97" s="1392" t="s">
        <v>809</v>
      </c>
      <c r="EUV97" s="1392" t="s">
        <v>809</v>
      </c>
      <c r="EUW97" s="1392" t="s">
        <v>809</v>
      </c>
      <c r="EUX97" s="1392" t="s">
        <v>809</v>
      </c>
      <c r="EUY97" s="1392" t="s">
        <v>809</v>
      </c>
      <c r="EUZ97" s="1392" t="s">
        <v>809</v>
      </c>
      <c r="EVA97" s="1392" t="s">
        <v>809</v>
      </c>
      <c r="EVB97" s="1392" t="s">
        <v>809</v>
      </c>
      <c r="EVC97" s="1392" t="s">
        <v>809</v>
      </c>
      <c r="EVD97" s="1392" t="s">
        <v>809</v>
      </c>
      <c r="EVE97" s="1392" t="s">
        <v>809</v>
      </c>
      <c r="EVF97" s="1392" t="s">
        <v>809</v>
      </c>
      <c r="EVG97" s="1392" t="s">
        <v>809</v>
      </c>
      <c r="EVH97" s="1392" t="s">
        <v>809</v>
      </c>
      <c r="EVI97" s="1392" t="s">
        <v>809</v>
      </c>
      <c r="EVJ97" s="1392" t="s">
        <v>809</v>
      </c>
      <c r="EVK97" s="1392" t="s">
        <v>809</v>
      </c>
      <c r="EVL97" s="1392" t="s">
        <v>809</v>
      </c>
      <c r="EVM97" s="1392" t="s">
        <v>809</v>
      </c>
      <c r="EVN97" s="1392" t="s">
        <v>809</v>
      </c>
      <c r="EVO97" s="1392" t="s">
        <v>809</v>
      </c>
      <c r="EVP97" s="1392" t="s">
        <v>809</v>
      </c>
      <c r="EVQ97" s="1392" t="s">
        <v>809</v>
      </c>
      <c r="EVR97" s="1392" t="s">
        <v>809</v>
      </c>
      <c r="EVS97" s="1392" t="s">
        <v>809</v>
      </c>
      <c r="EVT97" s="1392" t="s">
        <v>809</v>
      </c>
      <c r="EVU97" s="1392" t="s">
        <v>809</v>
      </c>
      <c r="EVV97" s="1392" t="s">
        <v>809</v>
      </c>
      <c r="EVW97" s="1392" t="s">
        <v>809</v>
      </c>
      <c r="EVX97" s="1392" t="s">
        <v>809</v>
      </c>
      <c r="EVY97" s="1392" t="s">
        <v>809</v>
      </c>
      <c r="EVZ97" s="1392" t="s">
        <v>809</v>
      </c>
      <c r="EWA97" s="1392" t="s">
        <v>809</v>
      </c>
      <c r="EWB97" s="1392" t="s">
        <v>809</v>
      </c>
      <c r="EWC97" s="1392" t="s">
        <v>809</v>
      </c>
      <c r="EWD97" s="1392" t="s">
        <v>809</v>
      </c>
      <c r="EWE97" s="1392" t="s">
        <v>809</v>
      </c>
      <c r="EWF97" s="1392" t="s">
        <v>809</v>
      </c>
      <c r="EWG97" s="1392" t="s">
        <v>809</v>
      </c>
      <c r="EWH97" s="1392" t="s">
        <v>809</v>
      </c>
      <c r="EWI97" s="1392" t="s">
        <v>809</v>
      </c>
      <c r="EWJ97" s="1392" t="s">
        <v>809</v>
      </c>
      <c r="EWK97" s="1392" t="s">
        <v>809</v>
      </c>
      <c r="EWL97" s="1392" t="s">
        <v>809</v>
      </c>
      <c r="EWM97" s="1392" t="s">
        <v>809</v>
      </c>
      <c r="EWN97" s="1392" t="s">
        <v>809</v>
      </c>
      <c r="EWO97" s="1392" t="s">
        <v>809</v>
      </c>
      <c r="EWP97" s="1392" t="s">
        <v>809</v>
      </c>
      <c r="EWQ97" s="1392" t="s">
        <v>809</v>
      </c>
      <c r="EWR97" s="1392" t="s">
        <v>809</v>
      </c>
      <c r="EWS97" s="1392" t="s">
        <v>809</v>
      </c>
      <c r="EWT97" s="1392" t="s">
        <v>809</v>
      </c>
      <c r="EWU97" s="1392" t="s">
        <v>809</v>
      </c>
      <c r="EWV97" s="1392" t="s">
        <v>809</v>
      </c>
      <c r="EWW97" s="1392" t="s">
        <v>809</v>
      </c>
      <c r="EWX97" s="1392" t="s">
        <v>809</v>
      </c>
      <c r="EWY97" s="1392" t="s">
        <v>809</v>
      </c>
      <c r="EWZ97" s="1392" t="s">
        <v>809</v>
      </c>
      <c r="EXA97" s="1392" t="s">
        <v>809</v>
      </c>
      <c r="EXB97" s="1392" t="s">
        <v>809</v>
      </c>
      <c r="EXC97" s="1392" t="s">
        <v>809</v>
      </c>
      <c r="EXD97" s="1392" t="s">
        <v>809</v>
      </c>
      <c r="EXE97" s="1392" t="s">
        <v>809</v>
      </c>
      <c r="EXF97" s="1392" t="s">
        <v>809</v>
      </c>
      <c r="EXG97" s="1392" t="s">
        <v>809</v>
      </c>
      <c r="EXH97" s="1392" t="s">
        <v>809</v>
      </c>
      <c r="EXI97" s="1392" t="s">
        <v>809</v>
      </c>
      <c r="EXJ97" s="1392" t="s">
        <v>809</v>
      </c>
      <c r="EXK97" s="1392" t="s">
        <v>809</v>
      </c>
      <c r="EXL97" s="1392" t="s">
        <v>809</v>
      </c>
      <c r="EXM97" s="1392" t="s">
        <v>809</v>
      </c>
      <c r="EXN97" s="1392" t="s">
        <v>809</v>
      </c>
      <c r="EXO97" s="1392" t="s">
        <v>809</v>
      </c>
      <c r="EXP97" s="1392" t="s">
        <v>809</v>
      </c>
      <c r="EXQ97" s="1392" t="s">
        <v>809</v>
      </c>
      <c r="EXR97" s="1392" t="s">
        <v>809</v>
      </c>
      <c r="EXS97" s="1392" t="s">
        <v>809</v>
      </c>
      <c r="EXT97" s="1392" t="s">
        <v>809</v>
      </c>
      <c r="EXU97" s="1392" t="s">
        <v>809</v>
      </c>
      <c r="EXV97" s="1392" t="s">
        <v>809</v>
      </c>
      <c r="EXW97" s="1392" t="s">
        <v>809</v>
      </c>
      <c r="EXX97" s="1392" t="s">
        <v>809</v>
      </c>
      <c r="EXY97" s="1392" t="s">
        <v>809</v>
      </c>
      <c r="EXZ97" s="1392" t="s">
        <v>809</v>
      </c>
      <c r="EYA97" s="1392" t="s">
        <v>809</v>
      </c>
      <c r="EYB97" s="1392" t="s">
        <v>809</v>
      </c>
      <c r="EYC97" s="1392" t="s">
        <v>809</v>
      </c>
      <c r="EYD97" s="1392" t="s">
        <v>809</v>
      </c>
      <c r="EYE97" s="1392" t="s">
        <v>809</v>
      </c>
      <c r="EYF97" s="1392" t="s">
        <v>809</v>
      </c>
      <c r="EYG97" s="1392" t="s">
        <v>809</v>
      </c>
      <c r="EYH97" s="1392" t="s">
        <v>809</v>
      </c>
      <c r="EYI97" s="1392" t="s">
        <v>809</v>
      </c>
      <c r="EYJ97" s="1392" t="s">
        <v>809</v>
      </c>
      <c r="EYK97" s="1392" t="s">
        <v>809</v>
      </c>
      <c r="EYL97" s="1392" t="s">
        <v>809</v>
      </c>
      <c r="EYM97" s="1392" t="s">
        <v>809</v>
      </c>
      <c r="EYN97" s="1392" t="s">
        <v>809</v>
      </c>
      <c r="EYO97" s="1392" t="s">
        <v>809</v>
      </c>
      <c r="EYP97" s="1392" t="s">
        <v>809</v>
      </c>
      <c r="EYQ97" s="1392" t="s">
        <v>809</v>
      </c>
      <c r="EYR97" s="1392" t="s">
        <v>809</v>
      </c>
      <c r="EYS97" s="1392" t="s">
        <v>809</v>
      </c>
      <c r="EYT97" s="1392" t="s">
        <v>809</v>
      </c>
      <c r="EYU97" s="1392" t="s">
        <v>809</v>
      </c>
      <c r="EYV97" s="1392" t="s">
        <v>809</v>
      </c>
      <c r="EYW97" s="1392" t="s">
        <v>809</v>
      </c>
      <c r="EYX97" s="1392" t="s">
        <v>809</v>
      </c>
      <c r="EYY97" s="1392" t="s">
        <v>809</v>
      </c>
      <c r="EYZ97" s="1392" t="s">
        <v>809</v>
      </c>
      <c r="EZA97" s="1392" t="s">
        <v>809</v>
      </c>
      <c r="EZB97" s="1392" t="s">
        <v>809</v>
      </c>
      <c r="EZC97" s="1392" t="s">
        <v>809</v>
      </c>
      <c r="EZD97" s="1392" t="s">
        <v>809</v>
      </c>
      <c r="EZE97" s="1392" t="s">
        <v>809</v>
      </c>
      <c r="EZF97" s="1392" t="s">
        <v>809</v>
      </c>
      <c r="EZG97" s="1392" t="s">
        <v>809</v>
      </c>
      <c r="EZH97" s="1392" t="s">
        <v>809</v>
      </c>
      <c r="EZI97" s="1392" t="s">
        <v>809</v>
      </c>
      <c r="EZJ97" s="1392" t="s">
        <v>809</v>
      </c>
      <c r="EZK97" s="1392" t="s">
        <v>809</v>
      </c>
      <c r="EZL97" s="1392" t="s">
        <v>809</v>
      </c>
      <c r="EZM97" s="1392" t="s">
        <v>809</v>
      </c>
      <c r="EZN97" s="1392" t="s">
        <v>809</v>
      </c>
      <c r="EZO97" s="1392" t="s">
        <v>809</v>
      </c>
      <c r="EZP97" s="1392" t="s">
        <v>809</v>
      </c>
      <c r="EZQ97" s="1392" t="s">
        <v>809</v>
      </c>
      <c r="EZR97" s="1392" t="s">
        <v>809</v>
      </c>
      <c r="EZS97" s="1392" t="s">
        <v>809</v>
      </c>
      <c r="EZT97" s="1392" t="s">
        <v>809</v>
      </c>
      <c r="EZU97" s="1392" t="s">
        <v>809</v>
      </c>
      <c r="EZV97" s="1392" t="s">
        <v>809</v>
      </c>
      <c r="EZW97" s="1392" t="s">
        <v>809</v>
      </c>
      <c r="EZX97" s="1392" t="s">
        <v>809</v>
      </c>
      <c r="EZY97" s="1392" t="s">
        <v>809</v>
      </c>
      <c r="EZZ97" s="1392" t="s">
        <v>809</v>
      </c>
      <c r="FAA97" s="1392" t="s">
        <v>809</v>
      </c>
      <c r="FAB97" s="1392" t="s">
        <v>809</v>
      </c>
      <c r="FAC97" s="1392" t="s">
        <v>809</v>
      </c>
      <c r="FAD97" s="1392" t="s">
        <v>809</v>
      </c>
      <c r="FAE97" s="1392" t="s">
        <v>809</v>
      </c>
      <c r="FAF97" s="1392" t="s">
        <v>809</v>
      </c>
      <c r="FAG97" s="1392" t="s">
        <v>809</v>
      </c>
      <c r="FAH97" s="1392" t="s">
        <v>809</v>
      </c>
      <c r="FAI97" s="1392" t="s">
        <v>809</v>
      </c>
      <c r="FAJ97" s="1392" t="s">
        <v>809</v>
      </c>
      <c r="FAK97" s="1392" t="s">
        <v>809</v>
      </c>
      <c r="FAL97" s="1392" t="s">
        <v>809</v>
      </c>
      <c r="FAM97" s="1392" t="s">
        <v>809</v>
      </c>
      <c r="FAN97" s="1392" t="s">
        <v>809</v>
      </c>
      <c r="FAO97" s="1392" t="s">
        <v>809</v>
      </c>
      <c r="FAP97" s="1392" t="s">
        <v>809</v>
      </c>
      <c r="FAQ97" s="1392" t="s">
        <v>809</v>
      </c>
      <c r="FAR97" s="1392" t="s">
        <v>809</v>
      </c>
      <c r="FAS97" s="1392" t="s">
        <v>809</v>
      </c>
      <c r="FAT97" s="1392" t="s">
        <v>809</v>
      </c>
      <c r="FAU97" s="1392" t="s">
        <v>809</v>
      </c>
      <c r="FAV97" s="1392" t="s">
        <v>809</v>
      </c>
      <c r="FAW97" s="1392" t="s">
        <v>809</v>
      </c>
      <c r="FAX97" s="1392" t="s">
        <v>809</v>
      </c>
      <c r="FAY97" s="1392" t="s">
        <v>809</v>
      </c>
      <c r="FAZ97" s="1392" t="s">
        <v>809</v>
      </c>
      <c r="FBA97" s="1392" t="s">
        <v>809</v>
      </c>
      <c r="FBB97" s="1392" t="s">
        <v>809</v>
      </c>
      <c r="FBC97" s="1392" t="s">
        <v>809</v>
      </c>
      <c r="FBD97" s="1392" t="s">
        <v>809</v>
      </c>
      <c r="FBE97" s="1392" t="s">
        <v>809</v>
      </c>
      <c r="FBF97" s="1392" t="s">
        <v>809</v>
      </c>
      <c r="FBG97" s="1392" t="s">
        <v>809</v>
      </c>
      <c r="FBH97" s="1392" t="s">
        <v>809</v>
      </c>
      <c r="FBI97" s="1392" t="s">
        <v>809</v>
      </c>
      <c r="FBJ97" s="1392" t="s">
        <v>809</v>
      </c>
      <c r="FBK97" s="1392" t="s">
        <v>809</v>
      </c>
      <c r="FBL97" s="1392" t="s">
        <v>809</v>
      </c>
      <c r="FBM97" s="1392" t="s">
        <v>809</v>
      </c>
      <c r="FBN97" s="1392" t="s">
        <v>809</v>
      </c>
      <c r="FBO97" s="1392" t="s">
        <v>809</v>
      </c>
      <c r="FBP97" s="1392" t="s">
        <v>809</v>
      </c>
      <c r="FBQ97" s="1392" t="s">
        <v>809</v>
      </c>
      <c r="FBR97" s="1392" t="s">
        <v>809</v>
      </c>
      <c r="FBS97" s="1392" t="s">
        <v>809</v>
      </c>
      <c r="FBT97" s="1392" t="s">
        <v>809</v>
      </c>
      <c r="FBU97" s="1392" t="s">
        <v>809</v>
      </c>
      <c r="FBV97" s="1392" t="s">
        <v>809</v>
      </c>
      <c r="FBW97" s="1392" t="s">
        <v>809</v>
      </c>
      <c r="FBX97" s="1392" t="s">
        <v>809</v>
      </c>
      <c r="FBY97" s="1392" t="s">
        <v>809</v>
      </c>
      <c r="FBZ97" s="1392" t="s">
        <v>809</v>
      </c>
      <c r="FCA97" s="1392" t="s">
        <v>809</v>
      </c>
      <c r="FCB97" s="1392" t="s">
        <v>809</v>
      </c>
      <c r="FCC97" s="1392" t="s">
        <v>809</v>
      </c>
      <c r="FCD97" s="1392" t="s">
        <v>809</v>
      </c>
      <c r="FCE97" s="1392" t="s">
        <v>809</v>
      </c>
      <c r="FCF97" s="1392" t="s">
        <v>809</v>
      </c>
      <c r="FCG97" s="1392" t="s">
        <v>809</v>
      </c>
      <c r="FCH97" s="1392" t="s">
        <v>809</v>
      </c>
      <c r="FCI97" s="1392" t="s">
        <v>809</v>
      </c>
      <c r="FCJ97" s="1392" t="s">
        <v>809</v>
      </c>
      <c r="FCK97" s="1392" t="s">
        <v>809</v>
      </c>
      <c r="FCL97" s="1392" t="s">
        <v>809</v>
      </c>
      <c r="FCM97" s="1392" t="s">
        <v>809</v>
      </c>
      <c r="FCN97" s="1392" t="s">
        <v>809</v>
      </c>
      <c r="FCO97" s="1392" t="s">
        <v>809</v>
      </c>
      <c r="FCP97" s="1392" t="s">
        <v>809</v>
      </c>
      <c r="FCQ97" s="1392" t="s">
        <v>809</v>
      </c>
      <c r="FCR97" s="1392" t="s">
        <v>809</v>
      </c>
      <c r="FCS97" s="1392" t="s">
        <v>809</v>
      </c>
      <c r="FCT97" s="1392" t="s">
        <v>809</v>
      </c>
      <c r="FCU97" s="1392" t="s">
        <v>809</v>
      </c>
      <c r="FCV97" s="1392" t="s">
        <v>809</v>
      </c>
      <c r="FCW97" s="1392" t="s">
        <v>809</v>
      </c>
      <c r="FCX97" s="1392" t="s">
        <v>809</v>
      </c>
      <c r="FCY97" s="1392" t="s">
        <v>809</v>
      </c>
      <c r="FCZ97" s="1392" t="s">
        <v>809</v>
      </c>
      <c r="FDA97" s="1392" t="s">
        <v>809</v>
      </c>
      <c r="FDB97" s="1392" t="s">
        <v>809</v>
      </c>
      <c r="FDC97" s="1392" t="s">
        <v>809</v>
      </c>
      <c r="FDD97" s="1392" t="s">
        <v>809</v>
      </c>
      <c r="FDE97" s="1392" t="s">
        <v>809</v>
      </c>
      <c r="FDF97" s="1392" t="s">
        <v>809</v>
      </c>
      <c r="FDG97" s="1392" t="s">
        <v>809</v>
      </c>
      <c r="FDH97" s="1392" t="s">
        <v>809</v>
      </c>
      <c r="FDI97" s="1392" t="s">
        <v>809</v>
      </c>
      <c r="FDJ97" s="1392" t="s">
        <v>809</v>
      </c>
      <c r="FDK97" s="1392" t="s">
        <v>809</v>
      </c>
      <c r="FDL97" s="1392" t="s">
        <v>809</v>
      </c>
      <c r="FDM97" s="1392" t="s">
        <v>809</v>
      </c>
      <c r="FDN97" s="1392" t="s">
        <v>809</v>
      </c>
      <c r="FDO97" s="1392" t="s">
        <v>809</v>
      </c>
      <c r="FDP97" s="1392" t="s">
        <v>809</v>
      </c>
      <c r="FDQ97" s="1392" t="s">
        <v>809</v>
      </c>
      <c r="FDR97" s="1392" t="s">
        <v>809</v>
      </c>
      <c r="FDS97" s="1392" t="s">
        <v>809</v>
      </c>
      <c r="FDT97" s="1392" t="s">
        <v>809</v>
      </c>
      <c r="FDU97" s="1392" t="s">
        <v>809</v>
      </c>
      <c r="FDV97" s="1392" t="s">
        <v>809</v>
      </c>
      <c r="FDW97" s="1392" t="s">
        <v>809</v>
      </c>
      <c r="FDX97" s="1392" t="s">
        <v>809</v>
      </c>
      <c r="FDY97" s="1392" t="s">
        <v>809</v>
      </c>
      <c r="FDZ97" s="1392" t="s">
        <v>809</v>
      </c>
      <c r="FEA97" s="1392" t="s">
        <v>809</v>
      </c>
      <c r="FEB97" s="1392" t="s">
        <v>809</v>
      </c>
      <c r="FEC97" s="1392" t="s">
        <v>809</v>
      </c>
      <c r="FED97" s="1392" t="s">
        <v>809</v>
      </c>
      <c r="FEE97" s="1392" t="s">
        <v>809</v>
      </c>
      <c r="FEF97" s="1392" t="s">
        <v>809</v>
      </c>
      <c r="FEG97" s="1392" t="s">
        <v>809</v>
      </c>
      <c r="FEH97" s="1392" t="s">
        <v>809</v>
      </c>
      <c r="FEI97" s="1392" t="s">
        <v>809</v>
      </c>
      <c r="FEJ97" s="1392" t="s">
        <v>809</v>
      </c>
      <c r="FEK97" s="1392" t="s">
        <v>809</v>
      </c>
      <c r="FEL97" s="1392" t="s">
        <v>809</v>
      </c>
      <c r="FEM97" s="1392" t="s">
        <v>809</v>
      </c>
      <c r="FEN97" s="1392" t="s">
        <v>809</v>
      </c>
      <c r="FEO97" s="1392" t="s">
        <v>809</v>
      </c>
      <c r="FEP97" s="1392" t="s">
        <v>809</v>
      </c>
      <c r="FEQ97" s="1392" t="s">
        <v>809</v>
      </c>
      <c r="FER97" s="1392" t="s">
        <v>809</v>
      </c>
      <c r="FES97" s="1392" t="s">
        <v>809</v>
      </c>
      <c r="FET97" s="1392" t="s">
        <v>809</v>
      </c>
      <c r="FEU97" s="1392" t="s">
        <v>809</v>
      </c>
      <c r="FEV97" s="1392" t="s">
        <v>809</v>
      </c>
      <c r="FEW97" s="1392" t="s">
        <v>809</v>
      </c>
      <c r="FEX97" s="1392" t="s">
        <v>809</v>
      </c>
      <c r="FEY97" s="1392" t="s">
        <v>809</v>
      </c>
      <c r="FEZ97" s="1392" t="s">
        <v>809</v>
      </c>
      <c r="FFA97" s="1392" t="s">
        <v>809</v>
      </c>
      <c r="FFB97" s="1392" t="s">
        <v>809</v>
      </c>
      <c r="FFC97" s="1392" t="s">
        <v>809</v>
      </c>
      <c r="FFD97" s="1392" t="s">
        <v>809</v>
      </c>
      <c r="FFE97" s="1392" t="s">
        <v>809</v>
      </c>
      <c r="FFF97" s="1392" t="s">
        <v>809</v>
      </c>
      <c r="FFG97" s="1392" t="s">
        <v>809</v>
      </c>
      <c r="FFH97" s="1392" t="s">
        <v>809</v>
      </c>
      <c r="FFI97" s="1392" t="s">
        <v>809</v>
      </c>
      <c r="FFJ97" s="1392" t="s">
        <v>809</v>
      </c>
      <c r="FFK97" s="1392" t="s">
        <v>809</v>
      </c>
      <c r="FFL97" s="1392" t="s">
        <v>809</v>
      </c>
      <c r="FFM97" s="1392" t="s">
        <v>809</v>
      </c>
      <c r="FFN97" s="1392" t="s">
        <v>809</v>
      </c>
      <c r="FFO97" s="1392" t="s">
        <v>809</v>
      </c>
      <c r="FFP97" s="1392" t="s">
        <v>809</v>
      </c>
      <c r="FFQ97" s="1392" t="s">
        <v>809</v>
      </c>
      <c r="FFR97" s="1392" t="s">
        <v>809</v>
      </c>
      <c r="FFS97" s="1392" t="s">
        <v>809</v>
      </c>
      <c r="FFT97" s="1392" t="s">
        <v>809</v>
      </c>
      <c r="FFU97" s="1392" t="s">
        <v>809</v>
      </c>
      <c r="FFV97" s="1392" t="s">
        <v>809</v>
      </c>
      <c r="FFW97" s="1392" t="s">
        <v>809</v>
      </c>
      <c r="FFX97" s="1392" t="s">
        <v>809</v>
      </c>
      <c r="FFY97" s="1392" t="s">
        <v>809</v>
      </c>
      <c r="FFZ97" s="1392" t="s">
        <v>809</v>
      </c>
      <c r="FGA97" s="1392" t="s">
        <v>809</v>
      </c>
      <c r="FGB97" s="1392" t="s">
        <v>809</v>
      </c>
      <c r="FGC97" s="1392" t="s">
        <v>809</v>
      </c>
      <c r="FGD97" s="1392" t="s">
        <v>809</v>
      </c>
      <c r="FGE97" s="1392" t="s">
        <v>809</v>
      </c>
      <c r="FGF97" s="1392" t="s">
        <v>809</v>
      </c>
      <c r="FGG97" s="1392" t="s">
        <v>809</v>
      </c>
      <c r="FGH97" s="1392" t="s">
        <v>809</v>
      </c>
      <c r="FGI97" s="1392" t="s">
        <v>809</v>
      </c>
      <c r="FGJ97" s="1392" t="s">
        <v>809</v>
      </c>
      <c r="FGK97" s="1392" t="s">
        <v>809</v>
      </c>
      <c r="FGL97" s="1392" t="s">
        <v>809</v>
      </c>
      <c r="FGM97" s="1392" t="s">
        <v>809</v>
      </c>
      <c r="FGN97" s="1392" t="s">
        <v>809</v>
      </c>
      <c r="FGO97" s="1392" t="s">
        <v>809</v>
      </c>
      <c r="FGP97" s="1392" t="s">
        <v>809</v>
      </c>
      <c r="FGQ97" s="1392" t="s">
        <v>809</v>
      </c>
      <c r="FGR97" s="1392" t="s">
        <v>809</v>
      </c>
      <c r="FGS97" s="1392" t="s">
        <v>809</v>
      </c>
      <c r="FGT97" s="1392" t="s">
        <v>809</v>
      </c>
      <c r="FGU97" s="1392" t="s">
        <v>809</v>
      </c>
      <c r="FGV97" s="1392" t="s">
        <v>809</v>
      </c>
      <c r="FGW97" s="1392" t="s">
        <v>809</v>
      </c>
      <c r="FGX97" s="1392" t="s">
        <v>809</v>
      </c>
      <c r="FGY97" s="1392" t="s">
        <v>809</v>
      </c>
      <c r="FGZ97" s="1392" t="s">
        <v>809</v>
      </c>
      <c r="FHA97" s="1392" t="s">
        <v>809</v>
      </c>
      <c r="FHB97" s="1392" t="s">
        <v>809</v>
      </c>
      <c r="FHC97" s="1392" t="s">
        <v>809</v>
      </c>
      <c r="FHD97" s="1392" t="s">
        <v>809</v>
      </c>
      <c r="FHE97" s="1392" t="s">
        <v>809</v>
      </c>
      <c r="FHF97" s="1392" t="s">
        <v>809</v>
      </c>
      <c r="FHG97" s="1392" t="s">
        <v>809</v>
      </c>
      <c r="FHH97" s="1392" t="s">
        <v>809</v>
      </c>
      <c r="FHI97" s="1392" t="s">
        <v>809</v>
      </c>
      <c r="FHJ97" s="1392" t="s">
        <v>809</v>
      </c>
      <c r="FHK97" s="1392" t="s">
        <v>809</v>
      </c>
      <c r="FHL97" s="1392" t="s">
        <v>809</v>
      </c>
      <c r="FHM97" s="1392" t="s">
        <v>809</v>
      </c>
      <c r="FHN97" s="1392" t="s">
        <v>809</v>
      </c>
      <c r="FHO97" s="1392" t="s">
        <v>809</v>
      </c>
      <c r="FHP97" s="1392" t="s">
        <v>809</v>
      </c>
      <c r="FHQ97" s="1392" t="s">
        <v>809</v>
      </c>
      <c r="FHR97" s="1392" t="s">
        <v>809</v>
      </c>
      <c r="FHS97" s="1392" t="s">
        <v>809</v>
      </c>
      <c r="FHT97" s="1392" t="s">
        <v>809</v>
      </c>
      <c r="FHU97" s="1392" t="s">
        <v>809</v>
      </c>
      <c r="FHV97" s="1392" t="s">
        <v>809</v>
      </c>
      <c r="FHW97" s="1392" t="s">
        <v>809</v>
      </c>
      <c r="FHX97" s="1392" t="s">
        <v>809</v>
      </c>
      <c r="FHY97" s="1392" t="s">
        <v>809</v>
      </c>
      <c r="FHZ97" s="1392" t="s">
        <v>809</v>
      </c>
      <c r="FIA97" s="1392" t="s">
        <v>809</v>
      </c>
      <c r="FIB97" s="1392" t="s">
        <v>809</v>
      </c>
      <c r="FIC97" s="1392" t="s">
        <v>809</v>
      </c>
      <c r="FID97" s="1392" t="s">
        <v>809</v>
      </c>
      <c r="FIE97" s="1392" t="s">
        <v>809</v>
      </c>
      <c r="FIF97" s="1392" t="s">
        <v>809</v>
      </c>
      <c r="FIG97" s="1392" t="s">
        <v>809</v>
      </c>
      <c r="FIH97" s="1392" t="s">
        <v>809</v>
      </c>
      <c r="FII97" s="1392" t="s">
        <v>809</v>
      </c>
      <c r="FIJ97" s="1392" t="s">
        <v>809</v>
      </c>
      <c r="FIK97" s="1392" t="s">
        <v>809</v>
      </c>
      <c r="FIL97" s="1392" t="s">
        <v>809</v>
      </c>
      <c r="FIM97" s="1392" t="s">
        <v>809</v>
      </c>
      <c r="FIN97" s="1392" t="s">
        <v>809</v>
      </c>
      <c r="FIO97" s="1392" t="s">
        <v>809</v>
      </c>
      <c r="FIP97" s="1392" t="s">
        <v>809</v>
      </c>
      <c r="FIQ97" s="1392" t="s">
        <v>809</v>
      </c>
      <c r="FIR97" s="1392" t="s">
        <v>809</v>
      </c>
      <c r="FIS97" s="1392" t="s">
        <v>809</v>
      </c>
      <c r="FIT97" s="1392" t="s">
        <v>809</v>
      </c>
      <c r="FIU97" s="1392" t="s">
        <v>809</v>
      </c>
      <c r="FIV97" s="1392" t="s">
        <v>809</v>
      </c>
      <c r="FIW97" s="1392" t="s">
        <v>809</v>
      </c>
      <c r="FIX97" s="1392" t="s">
        <v>809</v>
      </c>
      <c r="FIY97" s="1392" t="s">
        <v>809</v>
      </c>
      <c r="FIZ97" s="1392" t="s">
        <v>809</v>
      </c>
      <c r="FJA97" s="1392" t="s">
        <v>809</v>
      </c>
      <c r="FJB97" s="1392" t="s">
        <v>809</v>
      </c>
      <c r="FJC97" s="1392" t="s">
        <v>809</v>
      </c>
      <c r="FJD97" s="1392" t="s">
        <v>809</v>
      </c>
      <c r="FJE97" s="1392" t="s">
        <v>809</v>
      </c>
      <c r="FJF97" s="1392" t="s">
        <v>809</v>
      </c>
      <c r="FJG97" s="1392" t="s">
        <v>809</v>
      </c>
      <c r="FJH97" s="1392" t="s">
        <v>809</v>
      </c>
      <c r="FJI97" s="1392" t="s">
        <v>809</v>
      </c>
      <c r="FJJ97" s="1392" t="s">
        <v>809</v>
      </c>
      <c r="FJK97" s="1392" t="s">
        <v>809</v>
      </c>
      <c r="FJL97" s="1392" t="s">
        <v>809</v>
      </c>
      <c r="FJM97" s="1392" t="s">
        <v>809</v>
      </c>
      <c r="FJN97" s="1392" t="s">
        <v>809</v>
      </c>
      <c r="FJO97" s="1392" t="s">
        <v>809</v>
      </c>
      <c r="FJP97" s="1392" t="s">
        <v>809</v>
      </c>
      <c r="FJQ97" s="1392" t="s">
        <v>809</v>
      </c>
      <c r="FJR97" s="1392" t="s">
        <v>809</v>
      </c>
      <c r="FJS97" s="1392" t="s">
        <v>809</v>
      </c>
      <c r="FJT97" s="1392" t="s">
        <v>809</v>
      </c>
      <c r="FJU97" s="1392" t="s">
        <v>809</v>
      </c>
      <c r="FJV97" s="1392" t="s">
        <v>809</v>
      </c>
      <c r="FJW97" s="1392" t="s">
        <v>809</v>
      </c>
      <c r="FJX97" s="1392" t="s">
        <v>809</v>
      </c>
      <c r="FJY97" s="1392" t="s">
        <v>809</v>
      </c>
      <c r="FJZ97" s="1392" t="s">
        <v>809</v>
      </c>
      <c r="FKA97" s="1392" t="s">
        <v>809</v>
      </c>
      <c r="FKB97" s="1392" t="s">
        <v>809</v>
      </c>
      <c r="FKC97" s="1392" t="s">
        <v>809</v>
      </c>
      <c r="FKD97" s="1392" t="s">
        <v>809</v>
      </c>
      <c r="FKE97" s="1392" t="s">
        <v>809</v>
      </c>
      <c r="FKF97" s="1392" t="s">
        <v>809</v>
      </c>
      <c r="FKG97" s="1392" t="s">
        <v>809</v>
      </c>
      <c r="FKH97" s="1392" t="s">
        <v>809</v>
      </c>
      <c r="FKI97" s="1392" t="s">
        <v>809</v>
      </c>
      <c r="FKJ97" s="1392" t="s">
        <v>809</v>
      </c>
      <c r="FKK97" s="1392" t="s">
        <v>809</v>
      </c>
      <c r="FKL97" s="1392" t="s">
        <v>809</v>
      </c>
      <c r="FKM97" s="1392" t="s">
        <v>809</v>
      </c>
      <c r="FKN97" s="1392" t="s">
        <v>809</v>
      </c>
      <c r="FKO97" s="1392" t="s">
        <v>809</v>
      </c>
      <c r="FKP97" s="1392" t="s">
        <v>809</v>
      </c>
      <c r="FKQ97" s="1392" t="s">
        <v>809</v>
      </c>
      <c r="FKR97" s="1392" t="s">
        <v>809</v>
      </c>
      <c r="FKS97" s="1392" t="s">
        <v>809</v>
      </c>
      <c r="FKT97" s="1392" t="s">
        <v>809</v>
      </c>
      <c r="FKU97" s="1392" t="s">
        <v>809</v>
      </c>
      <c r="FKV97" s="1392" t="s">
        <v>809</v>
      </c>
      <c r="FKW97" s="1392" t="s">
        <v>809</v>
      </c>
      <c r="FKX97" s="1392" t="s">
        <v>809</v>
      </c>
      <c r="FKY97" s="1392" t="s">
        <v>809</v>
      </c>
      <c r="FKZ97" s="1392" t="s">
        <v>809</v>
      </c>
      <c r="FLA97" s="1392" t="s">
        <v>809</v>
      </c>
      <c r="FLB97" s="1392" t="s">
        <v>809</v>
      </c>
      <c r="FLC97" s="1392" t="s">
        <v>809</v>
      </c>
      <c r="FLD97" s="1392" t="s">
        <v>809</v>
      </c>
      <c r="FLE97" s="1392" t="s">
        <v>809</v>
      </c>
      <c r="FLF97" s="1392" t="s">
        <v>809</v>
      </c>
      <c r="FLG97" s="1392" t="s">
        <v>809</v>
      </c>
      <c r="FLH97" s="1392" t="s">
        <v>809</v>
      </c>
      <c r="FLI97" s="1392" t="s">
        <v>809</v>
      </c>
      <c r="FLJ97" s="1392" t="s">
        <v>809</v>
      </c>
      <c r="FLK97" s="1392" t="s">
        <v>809</v>
      </c>
      <c r="FLL97" s="1392" t="s">
        <v>809</v>
      </c>
      <c r="FLM97" s="1392" t="s">
        <v>809</v>
      </c>
      <c r="FLN97" s="1392" t="s">
        <v>809</v>
      </c>
      <c r="FLO97" s="1392" t="s">
        <v>809</v>
      </c>
      <c r="FLP97" s="1392" t="s">
        <v>809</v>
      </c>
      <c r="FLQ97" s="1392" t="s">
        <v>809</v>
      </c>
      <c r="FLR97" s="1392" t="s">
        <v>809</v>
      </c>
      <c r="FLS97" s="1392" t="s">
        <v>809</v>
      </c>
      <c r="FLT97" s="1392" t="s">
        <v>809</v>
      </c>
      <c r="FLU97" s="1392" t="s">
        <v>809</v>
      </c>
      <c r="FLV97" s="1392" t="s">
        <v>809</v>
      </c>
      <c r="FLW97" s="1392" t="s">
        <v>809</v>
      </c>
      <c r="FLX97" s="1392" t="s">
        <v>809</v>
      </c>
      <c r="FLY97" s="1392" t="s">
        <v>809</v>
      </c>
      <c r="FLZ97" s="1392" t="s">
        <v>809</v>
      </c>
      <c r="FMA97" s="1392" t="s">
        <v>809</v>
      </c>
      <c r="FMB97" s="1392" t="s">
        <v>809</v>
      </c>
      <c r="FMC97" s="1392" t="s">
        <v>809</v>
      </c>
      <c r="FMD97" s="1392" t="s">
        <v>809</v>
      </c>
      <c r="FME97" s="1392" t="s">
        <v>809</v>
      </c>
      <c r="FMF97" s="1392" t="s">
        <v>809</v>
      </c>
      <c r="FMG97" s="1392" t="s">
        <v>809</v>
      </c>
      <c r="FMH97" s="1392" t="s">
        <v>809</v>
      </c>
      <c r="FMI97" s="1392" t="s">
        <v>809</v>
      </c>
      <c r="FMJ97" s="1392" t="s">
        <v>809</v>
      </c>
      <c r="FMK97" s="1392" t="s">
        <v>809</v>
      </c>
      <c r="FML97" s="1392" t="s">
        <v>809</v>
      </c>
      <c r="FMM97" s="1392" t="s">
        <v>809</v>
      </c>
      <c r="FMN97" s="1392" t="s">
        <v>809</v>
      </c>
      <c r="FMO97" s="1392" t="s">
        <v>809</v>
      </c>
      <c r="FMP97" s="1392" t="s">
        <v>809</v>
      </c>
      <c r="FMQ97" s="1392" t="s">
        <v>809</v>
      </c>
      <c r="FMR97" s="1392" t="s">
        <v>809</v>
      </c>
      <c r="FMS97" s="1392" t="s">
        <v>809</v>
      </c>
      <c r="FMT97" s="1392" t="s">
        <v>809</v>
      </c>
      <c r="FMU97" s="1392" t="s">
        <v>809</v>
      </c>
      <c r="FMV97" s="1392" t="s">
        <v>809</v>
      </c>
      <c r="FMW97" s="1392" t="s">
        <v>809</v>
      </c>
      <c r="FMX97" s="1392" t="s">
        <v>809</v>
      </c>
      <c r="FMY97" s="1392" t="s">
        <v>809</v>
      </c>
      <c r="FMZ97" s="1392" t="s">
        <v>809</v>
      </c>
      <c r="FNA97" s="1392" t="s">
        <v>809</v>
      </c>
      <c r="FNB97" s="1392" t="s">
        <v>809</v>
      </c>
      <c r="FNC97" s="1392" t="s">
        <v>809</v>
      </c>
      <c r="FND97" s="1392" t="s">
        <v>809</v>
      </c>
      <c r="FNE97" s="1392" t="s">
        <v>809</v>
      </c>
      <c r="FNF97" s="1392" t="s">
        <v>809</v>
      </c>
      <c r="FNG97" s="1392" t="s">
        <v>809</v>
      </c>
      <c r="FNH97" s="1392" t="s">
        <v>809</v>
      </c>
      <c r="FNI97" s="1392" t="s">
        <v>809</v>
      </c>
      <c r="FNJ97" s="1392" t="s">
        <v>809</v>
      </c>
      <c r="FNK97" s="1392" t="s">
        <v>809</v>
      </c>
      <c r="FNL97" s="1392" t="s">
        <v>809</v>
      </c>
      <c r="FNM97" s="1392" t="s">
        <v>809</v>
      </c>
      <c r="FNN97" s="1392" t="s">
        <v>809</v>
      </c>
      <c r="FNO97" s="1392" t="s">
        <v>809</v>
      </c>
      <c r="FNP97" s="1392" t="s">
        <v>809</v>
      </c>
      <c r="FNQ97" s="1392" t="s">
        <v>809</v>
      </c>
      <c r="FNR97" s="1392" t="s">
        <v>809</v>
      </c>
      <c r="FNS97" s="1392" t="s">
        <v>809</v>
      </c>
      <c r="FNT97" s="1392" t="s">
        <v>809</v>
      </c>
      <c r="FNU97" s="1392" t="s">
        <v>809</v>
      </c>
      <c r="FNV97" s="1392" t="s">
        <v>809</v>
      </c>
      <c r="FNW97" s="1392" t="s">
        <v>809</v>
      </c>
      <c r="FNX97" s="1392" t="s">
        <v>809</v>
      </c>
      <c r="FNY97" s="1392" t="s">
        <v>809</v>
      </c>
      <c r="FNZ97" s="1392" t="s">
        <v>809</v>
      </c>
      <c r="FOA97" s="1392" t="s">
        <v>809</v>
      </c>
      <c r="FOB97" s="1392" t="s">
        <v>809</v>
      </c>
      <c r="FOC97" s="1392" t="s">
        <v>809</v>
      </c>
      <c r="FOD97" s="1392" t="s">
        <v>809</v>
      </c>
      <c r="FOE97" s="1392" t="s">
        <v>809</v>
      </c>
      <c r="FOF97" s="1392" t="s">
        <v>809</v>
      </c>
      <c r="FOG97" s="1392" t="s">
        <v>809</v>
      </c>
      <c r="FOH97" s="1392" t="s">
        <v>809</v>
      </c>
      <c r="FOI97" s="1392" t="s">
        <v>809</v>
      </c>
      <c r="FOJ97" s="1392" t="s">
        <v>809</v>
      </c>
      <c r="FOK97" s="1392" t="s">
        <v>809</v>
      </c>
      <c r="FOL97" s="1392" t="s">
        <v>809</v>
      </c>
      <c r="FOM97" s="1392" t="s">
        <v>809</v>
      </c>
      <c r="FON97" s="1392" t="s">
        <v>809</v>
      </c>
      <c r="FOO97" s="1392" t="s">
        <v>809</v>
      </c>
      <c r="FOP97" s="1392" t="s">
        <v>809</v>
      </c>
      <c r="FOQ97" s="1392" t="s">
        <v>809</v>
      </c>
      <c r="FOR97" s="1392" t="s">
        <v>809</v>
      </c>
      <c r="FOS97" s="1392" t="s">
        <v>809</v>
      </c>
      <c r="FOT97" s="1392" t="s">
        <v>809</v>
      </c>
      <c r="FOU97" s="1392" t="s">
        <v>809</v>
      </c>
      <c r="FOV97" s="1392" t="s">
        <v>809</v>
      </c>
      <c r="FOW97" s="1392" t="s">
        <v>809</v>
      </c>
      <c r="FOX97" s="1392" t="s">
        <v>809</v>
      </c>
      <c r="FOY97" s="1392" t="s">
        <v>809</v>
      </c>
      <c r="FOZ97" s="1392" t="s">
        <v>809</v>
      </c>
      <c r="FPA97" s="1392" t="s">
        <v>809</v>
      </c>
      <c r="FPB97" s="1392" t="s">
        <v>809</v>
      </c>
      <c r="FPC97" s="1392" t="s">
        <v>809</v>
      </c>
      <c r="FPD97" s="1392" t="s">
        <v>809</v>
      </c>
      <c r="FPE97" s="1392" t="s">
        <v>809</v>
      </c>
      <c r="FPF97" s="1392" t="s">
        <v>809</v>
      </c>
      <c r="FPG97" s="1392" t="s">
        <v>809</v>
      </c>
      <c r="FPH97" s="1392" t="s">
        <v>809</v>
      </c>
      <c r="FPI97" s="1392" t="s">
        <v>809</v>
      </c>
      <c r="FPJ97" s="1392" t="s">
        <v>809</v>
      </c>
      <c r="FPK97" s="1392" t="s">
        <v>809</v>
      </c>
      <c r="FPL97" s="1392" t="s">
        <v>809</v>
      </c>
      <c r="FPM97" s="1392" t="s">
        <v>809</v>
      </c>
      <c r="FPN97" s="1392" t="s">
        <v>809</v>
      </c>
      <c r="FPO97" s="1392" t="s">
        <v>809</v>
      </c>
      <c r="FPP97" s="1392" t="s">
        <v>809</v>
      </c>
      <c r="FPQ97" s="1392" t="s">
        <v>809</v>
      </c>
      <c r="FPR97" s="1392" t="s">
        <v>809</v>
      </c>
      <c r="FPS97" s="1392" t="s">
        <v>809</v>
      </c>
      <c r="FPT97" s="1392" t="s">
        <v>809</v>
      </c>
      <c r="FPU97" s="1392" t="s">
        <v>809</v>
      </c>
      <c r="FPV97" s="1392" t="s">
        <v>809</v>
      </c>
      <c r="FPW97" s="1392" t="s">
        <v>809</v>
      </c>
      <c r="FPX97" s="1392" t="s">
        <v>809</v>
      </c>
      <c r="FPY97" s="1392" t="s">
        <v>809</v>
      </c>
      <c r="FPZ97" s="1392" t="s">
        <v>809</v>
      </c>
      <c r="FQA97" s="1392" t="s">
        <v>809</v>
      </c>
      <c r="FQB97" s="1392" t="s">
        <v>809</v>
      </c>
      <c r="FQC97" s="1392" t="s">
        <v>809</v>
      </c>
      <c r="FQD97" s="1392" t="s">
        <v>809</v>
      </c>
      <c r="FQE97" s="1392" t="s">
        <v>809</v>
      </c>
      <c r="FQF97" s="1392" t="s">
        <v>809</v>
      </c>
      <c r="FQG97" s="1392" t="s">
        <v>809</v>
      </c>
      <c r="FQH97" s="1392" t="s">
        <v>809</v>
      </c>
      <c r="FQI97" s="1392" t="s">
        <v>809</v>
      </c>
      <c r="FQJ97" s="1392" t="s">
        <v>809</v>
      </c>
      <c r="FQK97" s="1392" t="s">
        <v>809</v>
      </c>
      <c r="FQL97" s="1392" t="s">
        <v>809</v>
      </c>
      <c r="FQM97" s="1392" t="s">
        <v>809</v>
      </c>
      <c r="FQN97" s="1392" t="s">
        <v>809</v>
      </c>
      <c r="FQO97" s="1392" t="s">
        <v>809</v>
      </c>
      <c r="FQP97" s="1392" t="s">
        <v>809</v>
      </c>
      <c r="FQQ97" s="1392" t="s">
        <v>809</v>
      </c>
      <c r="FQR97" s="1392" t="s">
        <v>809</v>
      </c>
      <c r="FQS97" s="1392" t="s">
        <v>809</v>
      </c>
      <c r="FQT97" s="1392" t="s">
        <v>809</v>
      </c>
      <c r="FQU97" s="1392" t="s">
        <v>809</v>
      </c>
      <c r="FQV97" s="1392" t="s">
        <v>809</v>
      </c>
      <c r="FQW97" s="1392" t="s">
        <v>809</v>
      </c>
      <c r="FQX97" s="1392" t="s">
        <v>809</v>
      </c>
      <c r="FQY97" s="1392" t="s">
        <v>809</v>
      </c>
      <c r="FQZ97" s="1392" t="s">
        <v>809</v>
      </c>
      <c r="FRA97" s="1392" t="s">
        <v>809</v>
      </c>
      <c r="FRB97" s="1392" t="s">
        <v>809</v>
      </c>
      <c r="FRC97" s="1392" t="s">
        <v>809</v>
      </c>
      <c r="FRD97" s="1392" t="s">
        <v>809</v>
      </c>
      <c r="FRE97" s="1392" t="s">
        <v>809</v>
      </c>
      <c r="FRF97" s="1392" t="s">
        <v>809</v>
      </c>
      <c r="FRG97" s="1392" t="s">
        <v>809</v>
      </c>
      <c r="FRH97" s="1392" t="s">
        <v>809</v>
      </c>
      <c r="FRI97" s="1392" t="s">
        <v>809</v>
      </c>
      <c r="FRJ97" s="1392" t="s">
        <v>809</v>
      </c>
      <c r="FRK97" s="1392" t="s">
        <v>809</v>
      </c>
      <c r="FRL97" s="1392" t="s">
        <v>809</v>
      </c>
      <c r="FRM97" s="1392" t="s">
        <v>809</v>
      </c>
      <c r="FRN97" s="1392" t="s">
        <v>809</v>
      </c>
      <c r="FRO97" s="1392" t="s">
        <v>809</v>
      </c>
      <c r="FRP97" s="1392" t="s">
        <v>809</v>
      </c>
      <c r="FRQ97" s="1392" t="s">
        <v>809</v>
      </c>
      <c r="FRR97" s="1392" t="s">
        <v>809</v>
      </c>
      <c r="FRS97" s="1392" t="s">
        <v>809</v>
      </c>
      <c r="FRT97" s="1392" t="s">
        <v>809</v>
      </c>
      <c r="FRU97" s="1392" t="s">
        <v>809</v>
      </c>
      <c r="FRV97" s="1392" t="s">
        <v>809</v>
      </c>
      <c r="FRW97" s="1392" t="s">
        <v>809</v>
      </c>
      <c r="FRX97" s="1392" t="s">
        <v>809</v>
      </c>
      <c r="FRY97" s="1392" t="s">
        <v>809</v>
      </c>
      <c r="FRZ97" s="1392" t="s">
        <v>809</v>
      </c>
      <c r="FSA97" s="1392" t="s">
        <v>809</v>
      </c>
      <c r="FSB97" s="1392" t="s">
        <v>809</v>
      </c>
      <c r="FSC97" s="1392" t="s">
        <v>809</v>
      </c>
      <c r="FSD97" s="1392" t="s">
        <v>809</v>
      </c>
      <c r="FSE97" s="1392" t="s">
        <v>809</v>
      </c>
      <c r="FSF97" s="1392" t="s">
        <v>809</v>
      </c>
      <c r="FSG97" s="1392" t="s">
        <v>809</v>
      </c>
      <c r="FSH97" s="1392" t="s">
        <v>809</v>
      </c>
      <c r="FSI97" s="1392" t="s">
        <v>809</v>
      </c>
      <c r="FSJ97" s="1392" t="s">
        <v>809</v>
      </c>
      <c r="FSK97" s="1392" t="s">
        <v>809</v>
      </c>
      <c r="FSL97" s="1392" t="s">
        <v>809</v>
      </c>
      <c r="FSM97" s="1392" t="s">
        <v>809</v>
      </c>
      <c r="FSN97" s="1392" t="s">
        <v>809</v>
      </c>
      <c r="FSO97" s="1392" t="s">
        <v>809</v>
      </c>
      <c r="FSP97" s="1392" t="s">
        <v>809</v>
      </c>
      <c r="FSQ97" s="1392" t="s">
        <v>809</v>
      </c>
      <c r="FSR97" s="1392" t="s">
        <v>809</v>
      </c>
      <c r="FSS97" s="1392" t="s">
        <v>809</v>
      </c>
      <c r="FST97" s="1392" t="s">
        <v>809</v>
      </c>
      <c r="FSU97" s="1392" t="s">
        <v>809</v>
      </c>
      <c r="FSV97" s="1392" t="s">
        <v>809</v>
      </c>
      <c r="FSW97" s="1392" t="s">
        <v>809</v>
      </c>
      <c r="FSX97" s="1392" t="s">
        <v>809</v>
      </c>
      <c r="FSY97" s="1392" t="s">
        <v>809</v>
      </c>
      <c r="FSZ97" s="1392" t="s">
        <v>809</v>
      </c>
      <c r="FTA97" s="1392" t="s">
        <v>809</v>
      </c>
      <c r="FTB97" s="1392" t="s">
        <v>809</v>
      </c>
      <c r="FTC97" s="1392" t="s">
        <v>809</v>
      </c>
      <c r="FTD97" s="1392" t="s">
        <v>809</v>
      </c>
      <c r="FTE97" s="1392" t="s">
        <v>809</v>
      </c>
      <c r="FTF97" s="1392" t="s">
        <v>809</v>
      </c>
      <c r="FTG97" s="1392" t="s">
        <v>809</v>
      </c>
      <c r="FTH97" s="1392" t="s">
        <v>809</v>
      </c>
      <c r="FTI97" s="1392" t="s">
        <v>809</v>
      </c>
      <c r="FTJ97" s="1392" t="s">
        <v>809</v>
      </c>
      <c r="FTK97" s="1392" t="s">
        <v>809</v>
      </c>
      <c r="FTL97" s="1392" t="s">
        <v>809</v>
      </c>
      <c r="FTM97" s="1392" t="s">
        <v>809</v>
      </c>
      <c r="FTN97" s="1392" t="s">
        <v>809</v>
      </c>
      <c r="FTO97" s="1392" t="s">
        <v>809</v>
      </c>
      <c r="FTP97" s="1392" t="s">
        <v>809</v>
      </c>
      <c r="FTQ97" s="1392" t="s">
        <v>809</v>
      </c>
      <c r="FTR97" s="1392" t="s">
        <v>809</v>
      </c>
      <c r="FTS97" s="1392" t="s">
        <v>809</v>
      </c>
      <c r="FTT97" s="1392" t="s">
        <v>809</v>
      </c>
      <c r="FTU97" s="1392" t="s">
        <v>809</v>
      </c>
      <c r="FTV97" s="1392" t="s">
        <v>809</v>
      </c>
      <c r="FTW97" s="1392" t="s">
        <v>809</v>
      </c>
      <c r="FTX97" s="1392" t="s">
        <v>809</v>
      </c>
      <c r="FTY97" s="1392" t="s">
        <v>809</v>
      </c>
      <c r="FTZ97" s="1392" t="s">
        <v>809</v>
      </c>
      <c r="FUA97" s="1392" t="s">
        <v>809</v>
      </c>
      <c r="FUB97" s="1392" t="s">
        <v>809</v>
      </c>
      <c r="FUC97" s="1392" t="s">
        <v>809</v>
      </c>
      <c r="FUD97" s="1392" t="s">
        <v>809</v>
      </c>
      <c r="FUE97" s="1392" t="s">
        <v>809</v>
      </c>
      <c r="FUF97" s="1392" t="s">
        <v>809</v>
      </c>
      <c r="FUG97" s="1392" t="s">
        <v>809</v>
      </c>
      <c r="FUH97" s="1392" t="s">
        <v>809</v>
      </c>
      <c r="FUI97" s="1392" t="s">
        <v>809</v>
      </c>
      <c r="FUJ97" s="1392" t="s">
        <v>809</v>
      </c>
      <c r="FUK97" s="1392" t="s">
        <v>809</v>
      </c>
      <c r="FUL97" s="1392" t="s">
        <v>809</v>
      </c>
      <c r="FUM97" s="1392" t="s">
        <v>809</v>
      </c>
      <c r="FUN97" s="1392" t="s">
        <v>809</v>
      </c>
      <c r="FUO97" s="1392" t="s">
        <v>809</v>
      </c>
      <c r="FUP97" s="1392" t="s">
        <v>809</v>
      </c>
      <c r="FUQ97" s="1392" t="s">
        <v>809</v>
      </c>
      <c r="FUR97" s="1392" t="s">
        <v>809</v>
      </c>
      <c r="FUS97" s="1392" t="s">
        <v>809</v>
      </c>
      <c r="FUT97" s="1392" t="s">
        <v>809</v>
      </c>
      <c r="FUU97" s="1392" t="s">
        <v>809</v>
      </c>
      <c r="FUV97" s="1392" t="s">
        <v>809</v>
      </c>
      <c r="FUW97" s="1392" t="s">
        <v>809</v>
      </c>
      <c r="FUX97" s="1392" t="s">
        <v>809</v>
      </c>
      <c r="FUY97" s="1392" t="s">
        <v>809</v>
      </c>
      <c r="FUZ97" s="1392" t="s">
        <v>809</v>
      </c>
      <c r="FVA97" s="1392" t="s">
        <v>809</v>
      </c>
      <c r="FVB97" s="1392" t="s">
        <v>809</v>
      </c>
      <c r="FVC97" s="1392" t="s">
        <v>809</v>
      </c>
      <c r="FVD97" s="1392" t="s">
        <v>809</v>
      </c>
      <c r="FVE97" s="1392" t="s">
        <v>809</v>
      </c>
      <c r="FVF97" s="1392" t="s">
        <v>809</v>
      </c>
      <c r="FVG97" s="1392" t="s">
        <v>809</v>
      </c>
      <c r="FVH97" s="1392" t="s">
        <v>809</v>
      </c>
      <c r="FVI97" s="1392" t="s">
        <v>809</v>
      </c>
      <c r="FVJ97" s="1392" t="s">
        <v>809</v>
      </c>
      <c r="FVK97" s="1392" t="s">
        <v>809</v>
      </c>
      <c r="FVL97" s="1392" t="s">
        <v>809</v>
      </c>
      <c r="FVM97" s="1392" t="s">
        <v>809</v>
      </c>
      <c r="FVN97" s="1392" t="s">
        <v>809</v>
      </c>
      <c r="FVO97" s="1392" t="s">
        <v>809</v>
      </c>
      <c r="FVP97" s="1392" t="s">
        <v>809</v>
      </c>
      <c r="FVQ97" s="1392" t="s">
        <v>809</v>
      </c>
      <c r="FVR97" s="1392" t="s">
        <v>809</v>
      </c>
      <c r="FVS97" s="1392" t="s">
        <v>809</v>
      </c>
      <c r="FVT97" s="1392" t="s">
        <v>809</v>
      </c>
      <c r="FVU97" s="1392" t="s">
        <v>809</v>
      </c>
      <c r="FVV97" s="1392" t="s">
        <v>809</v>
      </c>
      <c r="FVW97" s="1392" t="s">
        <v>809</v>
      </c>
      <c r="FVX97" s="1392" t="s">
        <v>809</v>
      </c>
      <c r="FVY97" s="1392" t="s">
        <v>809</v>
      </c>
      <c r="FVZ97" s="1392" t="s">
        <v>809</v>
      </c>
      <c r="FWA97" s="1392" t="s">
        <v>809</v>
      </c>
      <c r="FWB97" s="1392" t="s">
        <v>809</v>
      </c>
      <c r="FWC97" s="1392" t="s">
        <v>809</v>
      </c>
      <c r="FWD97" s="1392" t="s">
        <v>809</v>
      </c>
      <c r="FWE97" s="1392" t="s">
        <v>809</v>
      </c>
      <c r="FWF97" s="1392" t="s">
        <v>809</v>
      </c>
      <c r="FWG97" s="1392" t="s">
        <v>809</v>
      </c>
      <c r="FWH97" s="1392" t="s">
        <v>809</v>
      </c>
      <c r="FWI97" s="1392" t="s">
        <v>809</v>
      </c>
      <c r="FWJ97" s="1392" t="s">
        <v>809</v>
      </c>
      <c r="FWK97" s="1392" t="s">
        <v>809</v>
      </c>
      <c r="FWL97" s="1392" t="s">
        <v>809</v>
      </c>
      <c r="FWM97" s="1392" t="s">
        <v>809</v>
      </c>
      <c r="FWN97" s="1392" t="s">
        <v>809</v>
      </c>
      <c r="FWO97" s="1392" t="s">
        <v>809</v>
      </c>
      <c r="FWP97" s="1392" t="s">
        <v>809</v>
      </c>
      <c r="FWQ97" s="1392" t="s">
        <v>809</v>
      </c>
      <c r="FWR97" s="1392" t="s">
        <v>809</v>
      </c>
      <c r="FWS97" s="1392" t="s">
        <v>809</v>
      </c>
      <c r="FWT97" s="1392" t="s">
        <v>809</v>
      </c>
      <c r="FWU97" s="1392" t="s">
        <v>809</v>
      </c>
      <c r="FWV97" s="1392" t="s">
        <v>809</v>
      </c>
      <c r="FWW97" s="1392" t="s">
        <v>809</v>
      </c>
      <c r="FWX97" s="1392" t="s">
        <v>809</v>
      </c>
      <c r="FWY97" s="1392" t="s">
        <v>809</v>
      </c>
      <c r="FWZ97" s="1392" t="s">
        <v>809</v>
      </c>
      <c r="FXA97" s="1392" t="s">
        <v>809</v>
      </c>
      <c r="FXB97" s="1392" t="s">
        <v>809</v>
      </c>
      <c r="FXC97" s="1392" t="s">
        <v>809</v>
      </c>
      <c r="FXD97" s="1392" t="s">
        <v>809</v>
      </c>
      <c r="FXE97" s="1392" t="s">
        <v>809</v>
      </c>
      <c r="FXF97" s="1392" t="s">
        <v>809</v>
      </c>
      <c r="FXG97" s="1392" t="s">
        <v>809</v>
      </c>
      <c r="FXH97" s="1392" t="s">
        <v>809</v>
      </c>
      <c r="FXI97" s="1392" t="s">
        <v>809</v>
      </c>
      <c r="FXJ97" s="1392" t="s">
        <v>809</v>
      </c>
      <c r="FXK97" s="1392" t="s">
        <v>809</v>
      </c>
      <c r="FXL97" s="1392" t="s">
        <v>809</v>
      </c>
      <c r="FXM97" s="1392" t="s">
        <v>809</v>
      </c>
      <c r="FXN97" s="1392" t="s">
        <v>809</v>
      </c>
      <c r="FXO97" s="1392" t="s">
        <v>809</v>
      </c>
      <c r="FXP97" s="1392" t="s">
        <v>809</v>
      </c>
      <c r="FXQ97" s="1392" t="s">
        <v>809</v>
      </c>
      <c r="FXR97" s="1392" t="s">
        <v>809</v>
      </c>
      <c r="FXS97" s="1392" t="s">
        <v>809</v>
      </c>
      <c r="FXT97" s="1392" t="s">
        <v>809</v>
      </c>
      <c r="FXU97" s="1392" t="s">
        <v>809</v>
      </c>
      <c r="FXV97" s="1392" t="s">
        <v>809</v>
      </c>
      <c r="FXW97" s="1392" t="s">
        <v>809</v>
      </c>
      <c r="FXX97" s="1392" t="s">
        <v>809</v>
      </c>
      <c r="FXY97" s="1392" t="s">
        <v>809</v>
      </c>
      <c r="FXZ97" s="1392" t="s">
        <v>809</v>
      </c>
      <c r="FYA97" s="1392" t="s">
        <v>809</v>
      </c>
      <c r="FYB97" s="1392" t="s">
        <v>809</v>
      </c>
      <c r="FYC97" s="1392" t="s">
        <v>809</v>
      </c>
      <c r="FYD97" s="1392" t="s">
        <v>809</v>
      </c>
      <c r="FYE97" s="1392" t="s">
        <v>809</v>
      </c>
      <c r="FYF97" s="1392" t="s">
        <v>809</v>
      </c>
      <c r="FYG97" s="1392" t="s">
        <v>809</v>
      </c>
      <c r="FYH97" s="1392" t="s">
        <v>809</v>
      </c>
      <c r="FYI97" s="1392" t="s">
        <v>809</v>
      </c>
      <c r="FYJ97" s="1392" t="s">
        <v>809</v>
      </c>
      <c r="FYK97" s="1392" t="s">
        <v>809</v>
      </c>
      <c r="FYL97" s="1392" t="s">
        <v>809</v>
      </c>
      <c r="FYM97" s="1392" t="s">
        <v>809</v>
      </c>
      <c r="FYN97" s="1392" t="s">
        <v>809</v>
      </c>
      <c r="FYO97" s="1392" t="s">
        <v>809</v>
      </c>
      <c r="FYP97" s="1392" t="s">
        <v>809</v>
      </c>
      <c r="FYQ97" s="1392" t="s">
        <v>809</v>
      </c>
      <c r="FYR97" s="1392" t="s">
        <v>809</v>
      </c>
      <c r="FYS97" s="1392" t="s">
        <v>809</v>
      </c>
      <c r="FYT97" s="1392" t="s">
        <v>809</v>
      </c>
      <c r="FYU97" s="1392" t="s">
        <v>809</v>
      </c>
      <c r="FYV97" s="1392" t="s">
        <v>809</v>
      </c>
      <c r="FYW97" s="1392" t="s">
        <v>809</v>
      </c>
      <c r="FYX97" s="1392" t="s">
        <v>809</v>
      </c>
      <c r="FYY97" s="1392" t="s">
        <v>809</v>
      </c>
      <c r="FYZ97" s="1392" t="s">
        <v>809</v>
      </c>
      <c r="FZA97" s="1392" t="s">
        <v>809</v>
      </c>
      <c r="FZB97" s="1392" t="s">
        <v>809</v>
      </c>
      <c r="FZC97" s="1392" t="s">
        <v>809</v>
      </c>
      <c r="FZD97" s="1392" t="s">
        <v>809</v>
      </c>
      <c r="FZE97" s="1392" t="s">
        <v>809</v>
      </c>
      <c r="FZF97" s="1392" t="s">
        <v>809</v>
      </c>
      <c r="FZG97" s="1392" t="s">
        <v>809</v>
      </c>
      <c r="FZH97" s="1392" t="s">
        <v>809</v>
      </c>
      <c r="FZI97" s="1392" t="s">
        <v>809</v>
      </c>
      <c r="FZJ97" s="1392" t="s">
        <v>809</v>
      </c>
      <c r="FZK97" s="1392" t="s">
        <v>809</v>
      </c>
      <c r="FZL97" s="1392" t="s">
        <v>809</v>
      </c>
      <c r="FZM97" s="1392" t="s">
        <v>809</v>
      </c>
      <c r="FZN97" s="1392" t="s">
        <v>809</v>
      </c>
      <c r="FZO97" s="1392" t="s">
        <v>809</v>
      </c>
      <c r="FZP97" s="1392" t="s">
        <v>809</v>
      </c>
      <c r="FZQ97" s="1392" t="s">
        <v>809</v>
      </c>
      <c r="FZR97" s="1392" t="s">
        <v>809</v>
      </c>
      <c r="FZS97" s="1392" t="s">
        <v>809</v>
      </c>
      <c r="FZT97" s="1392" t="s">
        <v>809</v>
      </c>
      <c r="FZU97" s="1392" t="s">
        <v>809</v>
      </c>
      <c r="FZV97" s="1392" t="s">
        <v>809</v>
      </c>
      <c r="FZW97" s="1392" t="s">
        <v>809</v>
      </c>
      <c r="FZX97" s="1392" t="s">
        <v>809</v>
      </c>
      <c r="FZY97" s="1392" t="s">
        <v>809</v>
      </c>
      <c r="FZZ97" s="1392" t="s">
        <v>809</v>
      </c>
      <c r="GAA97" s="1392" t="s">
        <v>809</v>
      </c>
      <c r="GAB97" s="1392" t="s">
        <v>809</v>
      </c>
      <c r="GAC97" s="1392" t="s">
        <v>809</v>
      </c>
      <c r="GAD97" s="1392" t="s">
        <v>809</v>
      </c>
      <c r="GAE97" s="1392" t="s">
        <v>809</v>
      </c>
      <c r="GAF97" s="1392" t="s">
        <v>809</v>
      </c>
      <c r="GAG97" s="1392" t="s">
        <v>809</v>
      </c>
      <c r="GAH97" s="1392" t="s">
        <v>809</v>
      </c>
      <c r="GAI97" s="1392" t="s">
        <v>809</v>
      </c>
      <c r="GAJ97" s="1392" t="s">
        <v>809</v>
      </c>
      <c r="GAK97" s="1392" t="s">
        <v>809</v>
      </c>
      <c r="GAL97" s="1392" t="s">
        <v>809</v>
      </c>
      <c r="GAM97" s="1392" t="s">
        <v>809</v>
      </c>
      <c r="GAN97" s="1392" t="s">
        <v>809</v>
      </c>
      <c r="GAO97" s="1392" t="s">
        <v>809</v>
      </c>
      <c r="GAP97" s="1392" t="s">
        <v>809</v>
      </c>
      <c r="GAQ97" s="1392" t="s">
        <v>809</v>
      </c>
      <c r="GAR97" s="1392" t="s">
        <v>809</v>
      </c>
      <c r="GAS97" s="1392" t="s">
        <v>809</v>
      </c>
      <c r="GAT97" s="1392" t="s">
        <v>809</v>
      </c>
      <c r="GAU97" s="1392" t="s">
        <v>809</v>
      </c>
      <c r="GAV97" s="1392" t="s">
        <v>809</v>
      </c>
      <c r="GAW97" s="1392" t="s">
        <v>809</v>
      </c>
      <c r="GAX97" s="1392" t="s">
        <v>809</v>
      </c>
      <c r="GAY97" s="1392" t="s">
        <v>809</v>
      </c>
      <c r="GAZ97" s="1392" t="s">
        <v>809</v>
      </c>
      <c r="GBA97" s="1392" t="s">
        <v>809</v>
      </c>
      <c r="GBB97" s="1392" t="s">
        <v>809</v>
      </c>
      <c r="GBC97" s="1392" t="s">
        <v>809</v>
      </c>
      <c r="GBD97" s="1392" t="s">
        <v>809</v>
      </c>
      <c r="GBE97" s="1392" t="s">
        <v>809</v>
      </c>
      <c r="GBF97" s="1392" t="s">
        <v>809</v>
      </c>
      <c r="GBG97" s="1392" t="s">
        <v>809</v>
      </c>
      <c r="GBH97" s="1392" t="s">
        <v>809</v>
      </c>
      <c r="GBI97" s="1392" t="s">
        <v>809</v>
      </c>
      <c r="GBJ97" s="1392" t="s">
        <v>809</v>
      </c>
      <c r="GBK97" s="1392" t="s">
        <v>809</v>
      </c>
      <c r="GBL97" s="1392" t="s">
        <v>809</v>
      </c>
      <c r="GBM97" s="1392" t="s">
        <v>809</v>
      </c>
      <c r="GBN97" s="1392" t="s">
        <v>809</v>
      </c>
      <c r="GBO97" s="1392" t="s">
        <v>809</v>
      </c>
      <c r="GBP97" s="1392" t="s">
        <v>809</v>
      </c>
      <c r="GBQ97" s="1392" t="s">
        <v>809</v>
      </c>
      <c r="GBR97" s="1392" t="s">
        <v>809</v>
      </c>
      <c r="GBS97" s="1392" t="s">
        <v>809</v>
      </c>
      <c r="GBT97" s="1392" t="s">
        <v>809</v>
      </c>
      <c r="GBU97" s="1392" t="s">
        <v>809</v>
      </c>
      <c r="GBV97" s="1392" t="s">
        <v>809</v>
      </c>
      <c r="GBW97" s="1392" t="s">
        <v>809</v>
      </c>
      <c r="GBX97" s="1392" t="s">
        <v>809</v>
      </c>
      <c r="GBY97" s="1392" t="s">
        <v>809</v>
      </c>
      <c r="GBZ97" s="1392" t="s">
        <v>809</v>
      </c>
      <c r="GCA97" s="1392" t="s">
        <v>809</v>
      </c>
      <c r="GCB97" s="1392" t="s">
        <v>809</v>
      </c>
      <c r="GCC97" s="1392" t="s">
        <v>809</v>
      </c>
      <c r="GCD97" s="1392" t="s">
        <v>809</v>
      </c>
      <c r="GCE97" s="1392" t="s">
        <v>809</v>
      </c>
      <c r="GCF97" s="1392" t="s">
        <v>809</v>
      </c>
      <c r="GCG97" s="1392" t="s">
        <v>809</v>
      </c>
      <c r="GCH97" s="1392" t="s">
        <v>809</v>
      </c>
      <c r="GCI97" s="1392" t="s">
        <v>809</v>
      </c>
      <c r="GCJ97" s="1392" t="s">
        <v>809</v>
      </c>
      <c r="GCK97" s="1392" t="s">
        <v>809</v>
      </c>
      <c r="GCL97" s="1392" t="s">
        <v>809</v>
      </c>
      <c r="GCM97" s="1392" t="s">
        <v>809</v>
      </c>
      <c r="GCN97" s="1392" t="s">
        <v>809</v>
      </c>
      <c r="GCO97" s="1392" t="s">
        <v>809</v>
      </c>
      <c r="GCP97" s="1392" t="s">
        <v>809</v>
      </c>
      <c r="GCQ97" s="1392" t="s">
        <v>809</v>
      </c>
      <c r="GCR97" s="1392" t="s">
        <v>809</v>
      </c>
      <c r="GCS97" s="1392" t="s">
        <v>809</v>
      </c>
      <c r="GCT97" s="1392" t="s">
        <v>809</v>
      </c>
      <c r="GCU97" s="1392" t="s">
        <v>809</v>
      </c>
      <c r="GCV97" s="1392" t="s">
        <v>809</v>
      </c>
      <c r="GCW97" s="1392" t="s">
        <v>809</v>
      </c>
      <c r="GCX97" s="1392" t="s">
        <v>809</v>
      </c>
      <c r="GCY97" s="1392" t="s">
        <v>809</v>
      </c>
      <c r="GCZ97" s="1392" t="s">
        <v>809</v>
      </c>
      <c r="GDA97" s="1392" t="s">
        <v>809</v>
      </c>
      <c r="GDB97" s="1392" t="s">
        <v>809</v>
      </c>
      <c r="GDC97" s="1392" t="s">
        <v>809</v>
      </c>
      <c r="GDD97" s="1392" t="s">
        <v>809</v>
      </c>
      <c r="GDE97" s="1392" t="s">
        <v>809</v>
      </c>
      <c r="GDF97" s="1392" t="s">
        <v>809</v>
      </c>
      <c r="GDG97" s="1392" t="s">
        <v>809</v>
      </c>
      <c r="GDH97" s="1392" t="s">
        <v>809</v>
      </c>
      <c r="GDI97" s="1392" t="s">
        <v>809</v>
      </c>
      <c r="GDJ97" s="1392" t="s">
        <v>809</v>
      </c>
      <c r="GDK97" s="1392" t="s">
        <v>809</v>
      </c>
      <c r="GDL97" s="1392" t="s">
        <v>809</v>
      </c>
      <c r="GDM97" s="1392" t="s">
        <v>809</v>
      </c>
      <c r="GDN97" s="1392" t="s">
        <v>809</v>
      </c>
      <c r="GDO97" s="1392" t="s">
        <v>809</v>
      </c>
      <c r="GDP97" s="1392" t="s">
        <v>809</v>
      </c>
      <c r="GDQ97" s="1392" t="s">
        <v>809</v>
      </c>
      <c r="GDR97" s="1392" t="s">
        <v>809</v>
      </c>
      <c r="GDS97" s="1392" t="s">
        <v>809</v>
      </c>
      <c r="GDT97" s="1392" t="s">
        <v>809</v>
      </c>
      <c r="GDU97" s="1392" t="s">
        <v>809</v>
      </c>
      <c r="GDV97" s="1392" t="s">
        <v>809</v>
      </c>
      <c r="GDW97" s="1392" t="s">
        <v>809</v>
      </c>
      <c r="GDX97" s="1392" t="s">
        <v>809</v>
      </c>
      <c r="GDY97" s="1392" t="s">
        <v>809</v>
      </c>
      <c r="GDZ97" s="1392" t="s">
        <v>809</v>
      </c>
      <c r="GEA97" s="1392" t="s">
        <v>809</v>
      </c>
      <c r="GEB97" s="1392" t="s">
        <v>809</v>
      </c>
      <c r="GEC97" s="1392" t="s">
        <v>809</v>
      </c>
      <c r="GED97" s="1392" t="s">
        <v>809</v>
      </c>
      <c r="GEE97" s="1392" t="s">
        <v>809</v>
      </c>
      <c r="GEF97" s="1392" t="s">
        <v>809</v>
      </c>
      <c r="GEG97" s="1392" t="s">
        <v>809</v>
      </c>
      <c r="GEH97" s="1392" t="s">
        <v>809</v>
      </c>
      <c r="GEI97" s="1392" t="s">
        <v>809</v>
      </c>
      <c r="GEJ97" s="1392" t="s">
        <v>809</v>
      </c>
      <c r="GEK97" s="1392" t="s">
        <v>809</v>
      </c>
      <c r="GEL97" s="1392" t="s">
        <v>809</v>
      </c>
      <c r="GEM97" s="1392" t="s">
        <v>809</v>
      </c>
      <c r="GEN97" s="1392" t="s">
        <v>809</v>
      </c>
      <c r="GEO97" s="1392" t="s">
        <v>809</v>
      </c>
      <c r="GEP97" s="1392" t="s">
        <v>809</v>
      </c>
      <c r="GEQ97" s="1392" t="s">
        <v>809</v>
      </c>
      <c r="GER97" s="1392" t="s">
        <v>809</v>
      </c>
      <c r="GES97" s="1392" t="s">
        <v>809</v>
      </c>
      <c r="GET97" s="1392" t="s">
        <v>809</v>
      </c>
      <c r="GEU97" s="1392" t="s">
        <v>809</v>
      </c>
      <c r="GEV97" s="1392" t="s">
        <v>809</v>
      </c>
      <c r="GEW97" s="1392" t="s">
        <v>809</v>
      </c>
      <c r="GEX97" s="1392" t="s">
        <v>809</v>
      </c>
      <c r="GEY97" s="1392" t="s">
        <v>809</v>
      </c>
      <c r="GEZ97" s="1392" t="s">
        <v>809</v>
      </c>
      <c r="GFA97" s="1392" t="s">
        <v>809</v>
      </c>
      <c r="GFB97" s="1392" t="s">
        <v>809</v>
      </c>
      <c r="GFC97" s="1392" t="s">
        <v>809</v>
      </c>
      <c r="GFD97" s="1392" t="s">
        <v>809</v>
      </c>
      <c r="GFE97" s="1392" t="s">
        <v>809</v>
      </c>
      <c r="GFF97" s="1392" t="s">
        <v>809</v>
      </c>
      <c r="GFG97" s="1392" t="s">
        <v>809</v>
      </c>
      <c r="GFH97" s="1392" t="s">
        <v>809</v>
      </c>
      <c r="GFI97" s="1392" t="s">
        <v>809</v>
      </c>
      <c r="GFJ97" s="1392" t="s">
        <v>809</v>
      </c>
      <c r="GFK97" s="1392" t="s">
        <v>809</v>
      </c>
      <c r="GFL97" s="1392" t="s">
        <v>809</v>
      </c>
      <c r="GFM97" s="1392" t="s">
        <v>809</v>
      </c>
      <c r="GFN97" s="1392" t="s">
        <v>809</v>
      </c>
      <c r="GFO97" s="1392" t="s">
        <v>809</v>
      </c>
      <c r="GFP97" s="1392" t="s">
        <v>809</v>
      </c>
      <c r="GFQ97" s="1392" t="s">
        <v>809</v>
      </c>
      <c r="GFR97" s="1392" t="s">
        <v>809</v>
      </c>
      <c r="GFS97" s="1392" t="s">
        <v>809</v>
      </c>
      <c r="GFT97" s="1392" t="s">
        <v>809</v>
      </c>
      <c r="GFU97" s="1392" t="s">
        <v>809</v>
      </c>
      <c r="GFV97" s="1392" t="s">
        <v>809</v>
      </c>
      <c r="GFW97" s="1392" t="s">
        <v>809</v>
      </c>
      <c r="GFX97" s="1392" t="s">
        <v>809</v>
      </c>
      <c r="GFY97" s="1392" t="s">
        <v>809</v>
      </c>
      <c r="GFZ97" s="1392" t="s">
        <v>809</v>
      </c>
      <c r="GGA97" s="1392" t="s">
        <v>809</v>
      </c>
      <c r="GGB97" s="1392" t="s">
        <v>809</v>
      </c>
      <c r="GGC97" s="1392" t="s">
        <v>809</v>
      </c>
      <c r="GGD97" s="1392" t="s">
        <v>809</v>
      </c>
      <c r="GGE97" s="1392" t="s">
        <v>809</v>
      </c>
      <c r="GGF97" s="1392" t="s">
        <v>809</v>
      </c>
      <c r="GGG97" s="1392" t="s">
        <v>809</v>
      </c>
      <c r="GGH97" s="1392" t="s">
        <v>809</v>
      </c>
      <c r="GGI97" s="1392" t="s">
        <v>809</v>
      </c>
      <c r="GGJ97" s="1392" t="s">
        <v>809</v>
      </c>
      <c r="GGK97" s="1392" t="s">
        <v>809</v>
      </c>
      <c r="GGL97" s="1392" t="s">
        <v>809</v>
      </c>
      <c r="GGM97" s="1392" t="s">
        <v>809</v>
      </c>
      <c r="GGN97" s="1392" t="s">
        <v>809</v>
      </c>
      <c r="GGO97" s="1392" t="s">
        <v>809</v>
      </c>
      <c r="GGP97" s="1392" t="s">
        <v>809</v>
      </c>
      <c r="GGQ97" s="1392" t="s">
        <v>809</v>
      </c>
      <c r="GGR97" s="1392" t="s">
        <v>809</v>
      </c>
      <c r="GGS97" s="1392" t="s">
        <v>809</v>
      </c>
      <c r="GGT97" s="1392" t="s">
        <v>809</v>
      </c>
      <c r="GGU97" s="1392" t="s">
        <v>809</v>
      </c>
      <c r="GGV97" s="1392" t="s">
        <v>809</v>
      </c>
      <c r="GGW97" s="1392" t="s">
        <v>809</v>
      </c>
      <c r="GGX97" s="1392" t="s">
        <v>809</v>
      </c>
      <c r="GGY97" s="1392" t="s">
        <v>809</v>
      </c>
      <c r="GGZ97" s="1392" t="s">
        <v>809</v>
      </c>
      <c r="GHA97" s="1392" t="s">
        <v>809</v>
      </c>
      <c r="GHB97" s="1392" t="s">
        <v>809</v>
      </c>
      <c r="GHC97" s="1392" t="s">
        <v>809</v>
      </c>
      <c r="GHD97" s="1392" t="s">
        <v>809</v>
      </c>
      <c r="GHE97" s="1392" t="s">
        <v>809</v>
      </c>
      <c r="GHF97" s="1392" t="s">
        <v>809</v>
      </c>
      <c r="GHG97" s="1392" t="s">
        <v>809</v>
      </c>
      <c r="GHH97" s="1392" t="s">
        <v>809</v>
      </c>
      <c r="GHI97" s="1392" t="s">
        <v>809</v>
      </c>
      <c r="GHJ97" s="1392" t="s">
        <v>809</v>
      </c>
      <c r="GHK97" s="1392" t="s">
        <v>809</v>
      </c>
      <c r="GHL97" s="1392" t="s">
        <v>809</v>
      </c>
      <c r="GHM97" s="1392" t="s">
        <v>809</v>
      </c>
      <c r="GHN97" s="1392" t="s">
        <v>809</v>
      </c>
      <c r="GHO97" s="1392" t="s">
        <v>809</v>
      </c>
      <c r="GHP97" s="1392" t="s">
        <v>809</v>
      </c>
      <c r="GHQ97" s="1392" t="s">
        <v>809</v>
      </c>
      <c r="GHR97" s="1392" t="s">
        <v>809</v>
      </c>
      <c r="GHS97" s="1392" t="s">
        <v>809</v>
      </c>
      <c r="GHT97" s="1392" t="s">
        <v>809</v>
      </c>
      <c r="GHU97" s="1392" t="s">
        <v>809</v>
      </c>
      <c r="GHV97" s="1392" t="s">
        <v>809</v>
      </c>
      <c r="GHW97" s="1392" t="s">
        <v>809</v>
      </c>
      <c r="GHX97" s="1392" t="s">
        <v>809</v>
      </c>
      <c r="GHY97" s="1392" t="s">
        <v>809</v>
      </c>
      <c r="GHZ97" s="1392" t="s">
        <v>809</v>
      </c>
      <c r="GIA97" s="1392" t="s">
        <v>809</v>
      </c>
      <c r="GIB97" s="1392" t="s">
        <v>809</v>
      </c>
      <c r="GIC97" s="1392" t="s">
        <v>809</v>
      </c>
      <c r="GID97" s="1392" t="s">
        <v>809</v>
      </c>
      <c r="GIE97" s="1392" t="s">
        <v>809</v>
      </c>
      <c r="GIF97" s="1392" t="s">
        <v>809</v>
      </c>
      <c r="GIG97" s="1392" t="s">
        <v>809</v>
      </c>
      <c r="GIH97" s="1392" t="s">
        <v>809</v>
      </c>
      <c r="GII97" s="1392" t="s">
        <v>809</v>
      </c>
      <c r="GIJ97" s="1392" t="s">
        <v>809</v>
      </c>
      <c r="GIK97" s="1392" t="s">
        <v>809</v>
      </c>
      <c r="GIL97" s="1392" t="s">
        <v>809</v>
      </c>
      <c r="GIM97" s="1392" t="s">
        <v>809</v>
      </c>
      <c r="GIN97" s="1392" t="s">
        <v>809</v>
      </c>
      <c r="GIO97" s="1392" t="s">
        <v>809</v>
      </c>
      <c r="GIP97" s="1392" t="s">
        <v>809</v>
      </c>
      <c r="GIQ97" s="1392" t="s">
        <v>809</v>
      </c>
      <c r="GIR97" s="1392" t="s">
        <v>809</v>
      </c>
      <c r="GIS97" s="1392" t="s">
        <v>809</v>
      </c>
      <c r="GIT97" s="1392" t="s">
        <v>809</v>
      </c>
      <c r="GIU97" s="1392" t="s">
        <v>809</v>
      </c>
      <c r="GIV97" s="1392" t="s">
        <v>809</v>
      </c>
      <c r="GIW97" s="1392" t="s">
        <v>809</v>
      </c>
      <c r="GIX97" s="1392" t="s">
        <v>809</v>
      </c>
      <c r="GIY97" s="1392" t="s">
        <v>809</v>
      </c>
      <c r="GIZ97" s="1392" t="s">
        <v>809</v>
      </c>
      <c r="GJA97" s="1392" t="s">
        <v>809</v>
      </c>
      <c r="GJB97" s="1392" t="s">
        <v>809</v>
      </c>
      <c r="GJC97" s="1392" t="s">
        <v>809</v>
      </c>
      <c r="GJD97" s="1392" t="s">
        <v>809</v>
      </c>
      <c r="GJE97" s="1392" t="s">
        <v>809</v>
      </c>
      <c r="GJF97" s="1392" t="s">
        <v>809</v>
      </c>
      <c r="GJG97" s="1392" t="s">
        <v>809</v>
      </c>
      <c r="GJH97" s="1392" t="s">
        <v>809</v>
      </c>
      <c r="GJI97" s="1392" t="s">
        <v>809</v>
      </c>
      <c r="GJJ97" s="1392" t="s">
        <v>809</v>
      </c>
      <c r="GJK97" s="1392" t="s">
        <v>809</v>
      </c>
      <c r="GJL97" s="1392" t="s">
        <v>809</v>
      </c>
      <c r="GJM97" s="1392" t="s">
        <v>809</v>
      </c>
      <c r="GJN97" s="1392" t="s">
        <v>809</v>
      </c>
      <c r="GJO97" s="1392" t="s">
        <v>809</v>
      </c>
      <c r="GJP97" s="1392" t="s">
        <v>809</v>
      </c>
      <c r="GJQ97" s="1392" t="s">
        <v>809</v>
      </c>
      <c r="GJR97" s="1392" t="s">
        <v>809</v>
      </c>
      <c r="GJS97" s="1392" t="s">
        <v>809</v>
      </c>
      <c r="GJT97" s="1392" t="s">
        <v>809</v>
      </c>
      <c r="GJU97" s="1392" t="s">
        <v>809</v>
      </c>
      <c r="GJV97" s="1392" t="s">
        <v>809</v>
      </c>
      <c r="GJW97" s="1392" t="s">
        <v>809</v>
      </c>
      <c r="GJX97" s="1392" t="s">
        <v>809</v>
      </c>
      <c r="GJY97" s="1392" t="s">
        <v>809</v>
      </c>
      <c r="GJZ97" s="1392" t="s">
        <v>809</v>
      </c>
      <c r="GKA97" s="1392" t="s">
        <v>809</v>
      </c>
      <c r="GKB97" s="1392" t="s">
        <v>809</v>
      </c>
      <c r="GKC97" s="1392" t="s">
        <v>809</v>
      </c>
      <c r="GKD97" s="1392" t="s">
        <v>809</v>
      </c>
      <c r="GKE97" s="1392" t="s">
        <v>809</v>
      </c>
      <c r="GKF97" s="1392" t="s">
        <v>809</v>
      </c>
      <c r="GKG97" s="1392" t="s">
        <v>809</v>
      </c>
      <c r="GKH97" s="1392" t="s">
        <v>809</v>
      </c>
      <c r="GKI97" s="1392" t="s">
        <v>809</v>
      </c>
      <c r="GKJ97" s="1392" t="s">
        <v>809</v>
      </c>
      <c r="GKK97" s="1392" t="s">
        <v>809</v>
      </c>
      <c r="GKL97" s="1392" t="s">
        <v>809</v>
      </c>
      <c r="GKM97" s="1392" t="s">
        <v>809</v>
      </c>
      <c r="GKN97" s="1392" t="s">
        <v>809</v>
      </c>
      <c r="GKO97" s="1392" t="s">
        <v>809</v>
      </c>
      <c r="GKP97" s="1392" t="s">
        <v>809</v>
      </c>
      <c r="GKQ97" s="1392" t="s">
        <v>809</v>
      </c>
      <c r="GKR97" s="1392" t="s">
        <v>809</v>
      </c>
      <c r="GKS97" s="1392" t="s">
        <v>809</v>
      </c>
      <c r="GKT97" s="1392" t="s">
        <v>809</v>
      </c>
      <c r="GKU97" s="1392" t="s">
        <v>809</v>
      </c>
      <c r="GKV97" s="1392" t="s">
        <v>809</v>
      </c>
      <c r="GKW97" s="1392" t="s">
        <v>809</v>
      </c>
      <c r="GKX97" s="1392" t="s">
        <v>809</v>
      </c>
      <c r="GKY97" s="1392" t="s">
        <v>809</v>
      </c>
      <c r="GKZ97" s="1392" t="s">
        <v>809</v>
      </c>
      <c r="GLA97" s="1392" t="s">
        <v>809</v>
      </c>
      <c r="GLB97" s="1392" t="s">
        <v>809</v>
      </c>
      <c r="GLC97" s="1392" t="s">
        <v>809</v>
      </c>
      <c r="GLD97" s="1392" t="s">
        <v>809</v>
      </c>
      <c r="GLE97" s="1392" t="s">
        <v>809</v>
      </c>
      <c r="GLF97" s="1392" t="s">
        <v>809</v>
      </c>
      <c r="GLG97" s="1392" t="s">
        <v>809</v>
      </c>
      <c r="GLH97" s="1392" t="s">
        <v>809</v>
      </c>
      <c r="GLI97" s="1392" t="s">
        <v>809</v>
      </c>
      <c r="GLJ97" s="1392" t="s">
        <v>809</v>
      </c>
      <c r="GLK97" s="1392" t="s">
        <v>809</v>
      </c>
      <c r="GLL97" s="1392" t="s">
        <v>809</v>
      </c>
      <c r="GLM97" s="1392" t="s">
        <v>809</v>
      </c>
      <c r="GLN97" s="1392" t="s">
        <v>809</v>
      </c>
      <c r="GLO97" s="1392" t="s">
        <v>809</v>
      </c>
      <c r="GLP97" s="1392" t="s">
        <v>809</v>
      </c>
      <c r="GLQ97" s="1392" t="s">
        <v>809</v>
      </c>
      <c r="GLR97" s="1392" t="s">
        <v>809</v>
      </c>
      <c r="GLS97" s="1392" t="s">
        <v>809</v>
      </c>
      <c r="GLT97" s="1392" t="s">
        <v>809</v>
      </c>
      <c r="GLU97" s="1392" t="s">
        <v>809</v>
      </c>
      <c r="GLV97" s="1392" t="s">
        <v>809</v>
      </c>
      <c r="GLW97" s="1392" t="s">
        <v>809</v>
      </c>
      <c r="GLX97" s="1392" t="s">
        <v>809</v>
      </c>
      <c r="GLY97" s="1392" t="s">
        <v>809</v>
      </c>
      <c r="GLZ97" s="1392" t="s">
        <v>809</v>
      </c>
      <c r="GMA97" s="1392" t="s">
        <v>809</v>
      </c>
      <c r="GMB97" s="1392" t="s">
        <v>809</v>
      </c>
      <c r="GMC97" s="1392" t="s">
        <v>809</v>
      </c>
      <c r="GMD97" s="1392" t="s">
        <v>809</v>
      </c>
      <c r="GME97" s="1392" t="s">
        <v>809</v>
      </c>
      <c r="GMF97" s="1392" t="s">
        <v>809</v>
      </c>
      <c r="GMG97" s="1392" t="s">
        <v>809</v>
      </c>
      <c r="GMH97" s="1392" t="s">
        <v>809</v>
      </c>
      <c r="GMI97" s="1392" t="s">
        <v>809</v>
      </c>
      <c r="GMJ97" s="1392" t="s">
        <v>809</v>
      </c>
      <c r="GMK97" s="1392" t="s">
        <v>809</v>
      </c>
      <c r="GML97" s="1392" t="s">
        <v>809</v>
      </c>
      <c r="GMM97" s="1392" t="s">
        <v>809</v>
      </c>
      <c r="GMN97" s="1392" t="s">
        <v>809</v>
      </c>
      <c r="GMO97" s="1392" t="s">
        <v>809</v>
      </c>
      <c r="GMP97" s="1392" t="s">
        <v>809</v>
      </c>
      <c r="GMQ97" s="1392" t="s">
        <v>809</v>
      </c>
      <c r="GMR97" s="1392" t="s">
        <v>809</v>
      </c>
      <c r="GMS97" s="1392" t="s">
        <v>809</v>
      </c>
      <c r="GMT97" s="1392" t="s">
        <v>809</v>
      </c>
      <c r="GMU97" s="1392" t="s">
        <v>809</v>
      </c>
      <c r="GMV97" s="1392" t="s">
        <v>809</v>
      </c>
      <c r="GMW97" s="1392" t="s">
        <v>809</v>
      </c>
      <c r="GMX97" s="1392" t="s">
        <v>809</v>
      </c>
      <c r="GMY97" s="1392" t="s">
        <v>809</v>
      </c>
      <c r="GMZ97" s="1392" t="s">
        <v>809</v>
      </c>
      <c r="GNA97" s="1392" t="s">
        <v>809</v>
      </c>
      <c r="GNB97" s="1392" t="s">
        <v>809</v>
      </c>
      <c r="GNC97" s="1392" t="s">
        <v>809</v>
      </c>
      <c r="GND97" s="1392" t="s">
        <v>809</v>
      </c>
      <c r="GNE97" s="1392" t="s">
        <v>809</v>
      </c>
      <c r="GNF97" s="1392" t="s">
        <v>809</v>
      </c>
      <c r="GNG97" s="1392" t="s">
        <v>809</v>
      </c>
      <c r="GNH97" s="1392" t="s">
        <v>809</v>
      </c>
      <c r="GNI97" s="1392" t="s">
        <v>809</v>
      </c>
      <c r="GNJ97" s="1392" t="s">
        <v>809</v>
      </c>
      <c r="GNK97" s="1392" t="s">
        <v>809</v>
      </c>
      <c r="GNL97" s="1392" t="s">
        <v>809</v>
      </c>
      <c r="GNM97" s="1392" t="s">
        <v>809</v>
      </c>
      <c r="GNN97" s="1392" t="s">
        <v>809</v>
      </c>
      <c r="GNO97" s="1392" t="s">
        <v>809</v>
      </c>
      <c r="GNP97" s="1392" t="s">
        <v>809</v>
      </c>
      <c r="GNQ97" s="1392" t="s">
        <v>809</v>
      </c>
      <c r="GNR97" s="1392" t="s">
        <v>809</v>
      </c>
      <c r="GNS97" s="1392" t="s">
        <v>809</v>
      </c>
      <c r="GNT97" s="1392" t="s">
        <v>809</v>
      </c>
      <c r="GNU97" s="1392" t="s">
        <v>809</v>
      </c>
      <c r="GNV97" s="1392" t="s">
        <v>809</v>
      </c>
      <c r="GNW97" s="1392" t="s">
        <v>809</v>
      </c>
      <c r="GNX97" s="1392" t="s">
        <v>809</v>
      </c>
      <c r="GNY97" s="1392" t="s">
        <v>809</v>
      </c>
      <c r="GNZ97" s="1392" t="s">
        <v>809</v>
      </c>
      <c r="GOA97" s="1392" t="s">
        <v>809</v>
      </c>
      <c r="GOB97" s="1392" t="s">
        <v>809</v>
      </c>
      <c r="GOC97" s="1392" t="s">
        <v>809</v>
      </c>
      <c r="GOD97" s="1392" t="s">
        <v>809</v>
      </c>
      <c r="GOE97" s="1392" t="s">
        <v>809</v>
      </c>
      <c r="GOF97" s="1392" t="s">
        <v>809</v>
      </c>
      <c r="GOG97" s="1392" t="s">
        <v>809</v>
      </c>
      <c r="GOH97" s="1392" t="s">
        <v>809</v>
      </c>
      <c r="GOI97" s="1392" t="s">
        <v>809</v>
      </c>
      <c r="GOJ97" s="1392" t="s">
        <v>809</v>
      </c>
      <c r="GOK97" s="1392" t="s">
        <v>809</v>
      </c>
      <c r="GOL97" s="1392" t="s">
        <v>809</v>
      </c>
      <c r="GOM97" s="1392" t="s">
        <v>809</v>
      </c>
      <c r="GON97" s="1392" t="s">
        <v>809</v>
      </c>
      <c r="GOO97" s="1392" t="s">
        <v>809</v>
      </c>
      <c r="GOP97" s="1392" t="s">
        <v>809</v>
      </c>
      <c r="GOQ97" s="1392" t="s">
        <v>809</v>
      </c>
      <c r="GOR97" s="1392" t="s">
        <v>809</v>
      </c>
      <c r="GOS97" s="1392" t="s">
        <v>809</v>
      </c>
      <c r="GOT97" s="1392" t="s">
        <v>809</v>
      </c>
      <c r="GOU97" s="1392" t="s">
        <v>809</v>
      </c>
      <c r="GOV97" s="1392" t="s">
        <v>809</v>
      </c>
      <c r="GOW97" s="1392" t="s">
        <v>809</v>
      </c>
      <c r="GOX97" s="1392" t="s">
        <v>809</v>
      </c>
      <c r="GOY97" s="1392" t="s">
        <v>809</v>
      </c>
      <c r="GOZ97" s="1392" t="s">
        <v>809</v>
      </c>
      <c r="GPA97" s="1392" t="s">
        <v>809</v>
      </c>
      <c r="GPB97" s="1392" t="s">
        <v>809</v>
      </c>
      <c r="GPC97" s="1392" t="s">
        <v>809</v>
      </c>
      <c r="GPD97" s="1392" t="s">
        <v>809</v>
      </c>
      <c r="GPE97" s="1392" t="s">
        <v>809</v>
      </c>
      <c r="GPF97" s="1392" t="s">
        <v>809</v>
      </c>
      <c r="GPG97" s="1392" t="s">
        <v>809</v>
      </c>
      <c r="GPH97" s="1392" t="s">
        <v>809</v>
      </c>
      <c r="GPI97" s="1392" t="s">
        <v>809</v>
      </c>
      <c r="GPJ97" s="1392" t="s">
        <v>809</v>
      </c>
      <c r="GPK97" s="1392" t="s">
        <v>809</v>
      </c>
      <c r="GPL97" s="1392" t="s">
        <v>809</v>
      </c>
      <c r="GPM97" s="1392" t="s">
        <v>809</v>
      </c>
      <c r="GPN97" s="1392" t="s">
        <v>809</v>
      </c>
      <c r="GPO97" s="1392" t="s">
        <v>809</v>
      </c>
      <c r="GPP97" s="1392" t="s">
        <v>809</v>
      </c>
      <c r="GPQ97" s="1392" t="s">
        <v>809</v>
      </c>
      <c r="GPR97" s="1392" t="s">
        <v>809</v>
      </c>
      <c r="GPS97" s="1392" t="s">
        <v>809</v>
      </c>
      <c r="GPT97" s="1392" t="s">
        <v>809</v>
      </c>
      <c r="GPU97" s="1392" t="s">
        <v>809</v>
      </c>
      <c r="GPV97" s="1392" t="s">
        <v>809</v>
      </c>
      <c r="GPW97" s="1392" t="s">
        <v>809</v>
      </c>
      <c r="GPX97" s="1392" t="s">
        <v>809</v>
      </c>
      <c r="GPY97" s="1392" t="s">
        <v>809</v>
      </c>
      <c r="GPZ97" s="1392" t="s">
        <v>809</v>
      </c>
      <c r="GQA97" s="1392" t="s">
        <v>809</v>
      </c>
      <c r="GQB97" s="1392" t="s">
        <v>809</v>
      </c>
      <c r="GQC97" s="1392" t="s">
        <v>809</v>
      </c>
      <c r="GQD97" s="1392" t="s">
        <v>809</v>
      </c>
      <c r="GQE97" s="1392" t="s">
        <v>809</v>
      </c>
      <c r="GQF97" s="1392" t="s">
        <v>809</v>
      </c>
      <c r="GQG97" s="1392" t="s">
        <v>809</v>
      </c>
      <c r="GQH97" s="1392" t="s">
        <v>809</v>
      </c>
      <c r="GQI97" s="1392" t="s">
        <v>809</v>
      </c>
      <c r="GQJ97" s="1392" t="s">
        <v>809</v>
      </c>
      <c r="GQK97" s="1392" t="s">
        <v>809</v>
      </c>
      <c r="GQL97" s="1392" t="s">
        <v>809</v>
      </c>
      <c r="GQM97" s="1392" t="s">
        <v>809</v>
      </c>
      <c r="GQN97" s="1392" t="s">
        <v>809</v>
      </c>
      <c r="GQO97" s="1392" t="s">
        <v>809</v>
      </c>
      <c r="GQP97" s="1392" t="s">
        <v>809</v>
      </c>
      <c r="GQQ97" s="1392" t="s">
        <v>809</v>
      </c>
      <c r="GQR97" s="1392" t="s">
        <v>809</v>
      </c>
      <c r="GQS97" s="1392" t="s">
        <v>809</v>
      </c>
      <c r="GQT97" s="1392" t="s">
        <v>809</v>
      </c>
      <c r="GQU97" s="1392" t="s">
        <v>809</v>
      </c>
      <c r="GQV97" s="1392" t="s">
        <v>809</v>
      </c>
      <c r="GQW97" s="1392" t="s">
        <v>809</v>
      </c>
      <c r="GQX97" s="1392" t="s">
        <v>809</v>
      </c>
      <c r="GQY97" s="1392" t="s">
        <v>809</v>
      </c>
      <c r="GQZ97" s="1392" t="s">
        <v>809</v>
      </c>
      <c r="GRA97" s="1392" t="s">
        <v>809</v>
      </c>
      <c r="GRB97" s="1392" t="s">
        <v>809</v>
      </c>
      <c r="GRC97" s="1392" t="s">
        <v>809</v>
      </c>
      <c r="GRD97" s="1392" t="s">
        <v>809</v>
      </c>
      <c r="GRE97" s="1392" t="s">
        <v>809</v>
      </c>
      <c r="GRF97" s="1392" t="s">
        <v>809</v>
      </c>
      <c r="GRG97" s="1392" t="s">
        <v>809</v>
      </c>
      <c r="GRH97" s="1392" t="s">
        <v>809</v>
      </c>
      <c r="GRI97" s="1392" t="s">
        <v>809</v>
      </c>
      <c r="GRJ97" s="1392" t="s">
        <v>809</v>
      </c>
      <c r="GRK97" s="1392" t="s">
        <v>809</v>
      </c>
      <c r="GRL97" s="1392" t="s">
        <v>809</v>
      </c>
      <c r="GRM97" s="1392" t="s">
        <v>809</v>
      </c>
      <c r="GRN97" s="1392" t="s">
        <v>809</v>
      </c>
      <c r="GRO97" s="1392" t="s">
        <v>809</v>
      </c>
      <c r="GRP97" s="1392" t="s">
        <v>809</v>
      </c>
      <c r="GRQ97" s="1392" t="s">
        <v>809</v>
      </c>
      <c r="GRR97" s="1392" t="s">
        <v>809</v>
      </c>
      <c r="GRS97" s="1392" t="s">
        <v>809</v>
      </c>
      <c r="GRT97" s="1392" t="s">
        <v>809</v>
      </c>
      <c r="GRU97" s="1392" t="s">
        <v>809</v>
      </c>
      <c r="GRV97" s="1392" t="s">
        <v>809</v>
      </c>
      <c r="GRW97" s="1392" t="s">
        <v>809</v>
      </c>
      <c r="GRX97" s="1392" t="s">
        <v>809</v>
      </c>
      <c r="GRY97" s="1392" t="s">
        <v>809</v>
      </c>
      <c r="GRZ97" s="1392" t="s">
        <v>809</v>
      </c>
      <c r="GSA97" s="1392" t="s">
        <v>809</v>
      </c>
      <c r="GSB97" s="1392" t="s">
        <v>809</v>
      </c>
      <c r="GSC97" s="1392" t="s">
        <v>809</v>
      </c>
      <c r="GSD97" s="1392" t="s">
        <v>809</v>
      </c>
      <c r="GSE97" s="1392" t="s">
        <v>809</v>
      </c>
      <c r="GSF97" s="1392" t="s">
        <v>809</v>
      </c>
      <c r="GSG97" s="1392" t="s">
        <v>809</v>
      </c>
      <c r="GSH97" s="1392" t="s">
        <v>809</v>
      </c>
      <c r="GSI97" s="1392" t="s">
        <v>809</v>
      </c>
      <c r="GSJ97" s="1392" t="s">
        <v>809</v>
      </c>
      <c r="GSK97" s="1392" t="s">
        <v>809</v>
      </c>
      <c r="GSL97" s="1392" t="s">
        <v>809</v>
      </c>
      <c r="GSM97" s="1392" t="s">
        <v>809</v>
      </c>
      <c r="GSN97" s="1392" t="s">
        <v>809</v>
      </c>
      <c r="GSO97" s="1392" t="s">
        <v>809</v>
      </c>
      <c r="GSP97" s="1392" t="s">
        <v>809</v>
      </c>
      <c r="GSQ97" s="1392" t="s">
        <v>809</v>
      </c>
      <c r="GSR97" s="1392" t="s">
        <v>809</v>
      </c>
      <c r="GSS97" s="1392" t="s">
        <v>809</v>
      </c>
      <c r="GST97" s="1392" t="s">
        <v>809</v>
      </c>
      <c r="GSU97" s="1392" t="s">
        <v>809</v>
      </c>
      <c r="GSV97" s="1392" t="s">
        <v>809</v>
      </c>
      <c r="GSW97" s="1392" t="s">
        <v>809</v>
      </c>
      <c r="GSX97" s="1392" t="s">
        <v>809</v>
      </c>
      <c r="GSY97" s="1392" t="s">
        <v>809</v>
      </c>
      <c r="GSZ97" s="1392" t="s">
        <v>809</v>
      </c>
      <c r="GTA97" s="1392" t="s">
        <v>809</v>
      </c>
      <c r="GTB97" s="1392" t="s">
        <v>809</v>
      </c>
      <c r="GTC97" s="1392" t="s">
        <v>809</v>
      </c>
      <c r="GTD97" s="1392" t="s">
        <v>809</v>
      </c>
      <c r="GTE97" s="1392" t="s">
        <v>809</v>
      </c>
      <c r="GTF97" s="1392" t="s">
        <v>809</v>
      </c>
      <c r="GTG97" s="1392" t="s">
        <v>809</v>
      </c>
      <c r="GTH97" s="1392" t="s">
        <v>809</v>
      </c>
      <c r="GTI97" s="1392" t="s">
        <v>809</v>
      </c>
      <c r="GTJ97" s="1392" t="s">
        <v>809</v>
      </c>
      <c r="GTK97" s="1392" t="s">
        <v>809</v>
      </c>
      <c r="GTL97" s="1392" t="s">
        <v>809</v>
      </c>
      <c r="GTM97" s="1392" t="s">
        <v>809</v>
      </c>
      <c r="GTN97" s="1392" t="s">
        <v>809</v>
      </c>
      <c r="GTO97" s="1392" t="s">
        <v>809</v>
      </c>
      <c r="GTP97" s="1392" t="s">
        <v>809</v>
      </c>
      <c r="GTQ97" s="1392" t="s">
        <v>809</v>
      </c>
      <c r="GTR97" s="1392" t="s">
        <v>809</v>
      </c>
      <c r="GTS97" s="1392" t="s">
        <v>809</v>
      </c>
      <c r="GTT97" s="1392" t="s">
        <v>809</v>
      </c>
      <c r="GTU97" s="1392" t="s">
        <v>809</v>
      </c>
      <c r="GTV97" s="1392" t="s">
        <v>809</v>
      </c>
      <c r="GTW97" s="1392" t="s">
        <v>809</v>
      </c>
      <c r="GTX97" s="1392" t="s">
        <v>809</v>
      </c>
      <c r="GTY97" s="1392" t="s">
        <v>809</v>
      </c>
      <c r="GTZ97" s="1392" t="s">
        <v>809</v>
      </c>
      <c r="GUA97" s="1392" t="s">
        <v>809</v>
      </c>
      <c r="GUB97" s="1392" t="s">
        <v>809</v>
      </c>
      <c r="GUC97" s="1392" t="s">
        <v>809</v>
      </c>
      <c r="GUD97" s="1392" t="s">
        <v>809</v>
      </c>
      <c r="GUE97" s="1392" t="s">
        <v>809</v>
      </c>
      <c r="GUF97" s="1392" t="s">
        <v>809</v>
      </c>
      <c r="GUG97" s="1392" t="s">
        <v>809</v>
      </c>
      <c r="GUH97" s="1392" t="s">
        <v>809</v>
      </c>
      <c r="GUI97" s="1392" t="s">
        <v>809</v>
      </c>
      <c r="GUJ97" s="1392" t="s">
        <v>809</v>
      </c>
      <c r="GUK97" s="1392" t="s">
        <v>809</v>
      </c>
      <c r="GUL97" s="1392" t="s">
        <v>809</v>
      </c>
      <c r="GUM97" s="1392" t="s">
        <v>809</v>
      </c>
      <c r="GUN97" s="1392" t="s">
        <v>809</v>
      </c>
      <c r="GUO97" s="1392" t="s">
        <v>809</v>
      </c>
      <c r="GUP97" s="1392" t="s">
        <v>809</v>
      </c>
      <c r="GUQ97" s="1392" t="s">
        <v>809</v>
      </c>
      <c r="GUR97" s="1392" t="s">
        <v>809</v>
      </c>
      <c r="GUS97" s="1392" t="s">
        <v>809</v>
      </c>
      <c r="GUT97" s="1392" t="s">
        <v>809</v>
      </c>
      <c r="GUU97" s="1392" t="s">
        <v>809</v>
      </c>
      <c r="GUV97" s="1392" t="s">
        <v>809</v>
      </c>
      <c r="GUW97" s="1392" t="s">
        <v>809</v>
      </c>
      <c r="GUX97" s="1392" t="s">
        <v>809</v>
      </c>
      <c r="GUY97" s="1392" t="s">
        <v>809</v>
      </c>
      <c r="GUZ97" s="1392" t="s">
        <v>809</v>
      </c>
      <c r="GVA97" s="1392" t="s">
        <v>809</v>
      </c>
      <c r="GVB97" s="1392" t="s">
        <v>809</v>
      </c>
      <c r="GVC97" s="1392" t="s">
        <v>809</v>
      </c>
      <c r="GVD97" s="1392" t="s">
        <v>809</v>
      </c>
      <c r="GVE97" s="1392" t="s">
        <v>809</v>
      </c>
      <c r="GVF97" s="1392" t="s">
        <v>809</v>
      </c>
      <c r="GVG97" s="1392" t="s">
        <v>809</v>
      </c>
      <c r="GVH97" s="1392" t="s">
        <v>809</v>
      </c>
      <c r="GVI97" s="1392" t="s">
        <v>809</v>
      </c>
      <c r="GVJ97" s="1392" t="s">
        <v>809</v>
      </c>
      <c r="GVK97" s="1392" t="s">
        <v>809</v>
      </c>
      <c r="GVL97" s="1392" t="s">
        <v>809</v>
      </c>
      <c r="GVM97" s="1392" t="s">
        <v>809</v>
      </c>
      <c r="GVN97" s="1392" t="s">
        <v>809</v>
      </c>
      <c r="GVO97" s="1392" t="s">
        <v>809</v>
      </c>
      <c r="GVP97" s="1392" t="s">
        <v>809</v>
      </c>
      <c r="GVQ97" s="1392" t="s">
        <v>809</v>
      </c>
      <c r="GVR97" s="1392" t="s">
        <v>809</v>
      </c>
      <c r="GVS97" s="1392" t="s">
        <v>809</v>
      </c>
      <c r="GVT97" s="1392" t="s">
        <v>809</v>
      </c>
      <c r="GVU97" s="1392" t="s">
        <v>809</v>
      </c>
      <c r="GVV97" s="1392" t="s">
        <v>809</v>
      </c>
      <c r="GVW97" s="1392" t="s">
        <v>809</v>
      </c>
      <c r="GVX97" s="1392" t="s">
        <v>809</v>
      </c>
      <c r="GVY97" s="1392" t="s">
        <v>809</v>
      </c>
      <c r="GVZ97" s="1392" t="s">
        <v>809</v>
      </c>
      <c r="GWA97" s="1392" t="s">
        <v>809</v>
      </c>
      <c r="GWB97" s="1392" t="s">
        <v>809</v>
      </c>
      <c r="GWC97" s="1392" t="s">
        <v>809</v>
      </c>
      <c r="GWD97" s="1392" t="s">
        <v>809</v>
      </c>
      <c r="GWE97" s="1392" t="s">
        <v>809</v>
      </c>
      <c r="GWF97" s="1392" t="s">
        <v>809</v>
      </c>
      <c r="GWG97" s="1392" t="s">
        <v>809</v>
      </c>
      <c r="GWH97" s="1392" t="s">
        <v>809</v>
      </c>
      <c r="GWI97" s="1392" t="s">
        <v>809</v>
      </c>
      <c r="GWJ97" s="1392" t="s">
        <v>809</v>
      </c>
      <c r="GWK97" s="1392" t="s">
        <v>809</v>
      </c>
      <c r="GWL97" s="1392" t="s">
        <v>809</v>
      </c>
      <c r="GWM97" s="1392" t="s">
        <v>809</v>
      </c>
      <c r="GWN97" s="1392" t="s">
        <v>809</v>
      </c>
      <c r="GWO97" s="1392" t="s">
        <v>809</v>
      </c>
      <c r="GWP97" s="1392" t="s">
        <v>809</v>
      </c>
      <c r="GWQ97" s="1392" t="s">
        <v>809</v>
      </c>
      <c r="GWR97" s="1392" t="s">
        <v>809</v>
      </c>
      <c r="GWS97" s="1392" t="s">
        <v>809</v>
      </c>
      <c r="GWT97" s="1392" t="s">
        <v>809</v>
      </c>
      <c r="GWU97" s="1392" t="s">
        <v>809</v>
      </c>
      <c r="GWV97" s="1392" t="s">
        <v>809</v>
      </c>
      <c r="GWW97" s="1392" t="s">
        <v>809</v>
      </c>
      <c r="GWX97" s="1392" t="s">
        <v>809</v>
      </c>
      <c r="GWY97" s="1392" t="s">
        <v>809</v>
      </c>
      <c r="GWZ97" s="1392" t="s">
        <v>809</v>
      </c>
      <c r="GXA97" s="1392" t="s">
        <v>809</v>
      </c>
      <c r="GXB97" s="1392" t="s">
        <v>809</v>
      </c>
      <c r="GXC97" s="1392" t="s">
        <v>809</v>
      </c>
      <c r="GXD97" s="1392" t="s">
        <v>809</v>
      </c>
      <c r="GXE97" s="1392" t="s">
        <v>809</v>
      </c>
      <c r="GXF97" s="1392" t="s">
        <v>809</v>
      </c>
      <c r="GXG97" s="1392" t="s">
        <v>809</v>
      </c>
      <c r="GXH97" s="1392" t="s">
        <v>809</v>
      </c>
      <c r="GXI97" s="1392" t="s">
        <v>809</v>
      </c>
      <c r="GXJ97" s="1392" t="s">
        <v>809</v>
      </c>
      <c r="GXK97" s="1392" t="s">
        <v>809</v>
      </c>
      <c r="GXL97" s="1392" t="s">
        <v>809</v>
      </c>
      <c r="GXM97" s="1392" t="s">
        <v>809</v>
      </c>
      <c r="GXN97" s="1392" t="s">
        <v>809</v>
      </c>
      <c r="GXO97" s="1392" t="s">
        <v>809</v>
      </c>
      <c r="GXP97" s="1392" t="s">
        <v>809</v>
      </c>
      <c r="GXQ97" s="1392" t="s">
        <v>809</v>
      </c>
      <c r="GXR97" s="1392" t="s">
        <v>809</v>
      </c>
      <c r="GXS97" s="1392" t="s">
        <v>809</v>
      </c>
      <c r="GXT97" s="1392" t="s">
        <v>809</v>
      </c>
      <c r="GXU97" s="1392" t="s">
        <v>809</v>
      </c>
      <c r="GXV97" s="1392" t="s">
        <v>809</v>
      </c>
      <c r="GXW97" s="1392" t="s">
        <v>809</v>
      </c>
      <c r="GXX97" s="1392" t="s">
        <v>809</v>
      </c>
      <c r="GXY97" s="1392" t="s">
        <v>809</v>
      </c>
      <c r="GXZ97" s="1392" t="s">
        <v>809</v>
      </c>
      <c r="GYA97" s="1392" t="s">
        <v>809</v>
      </c>
      <c r="GYB97" s="1392" t="s">
        <v>809</v>
      </c>
      <c r="GYC97" s="1392" t="s">
        <v>809</v>
      </c>
      <c r="GYD97" s="1392" t="s">
        <v>809</v>
      </c>
      <c r="GYE97" s="1392" t="s">
        <v>809</v>
      </c>
      <c r="GYF97" s="1392" t="s">
        <v>809</v>
      </c>
      <c r="GYG97" s="1392" t="s">
        <v>809</v>
      </c>
      <c r="GYH97" s="1392" t="s">
        <v>809</v>
      </c>
      <c r="GYI97" s="1392" t="s">
        <v>809</v>
      </c>
      <c r="GYJ97" s="1392" t="s">
        <v>809</v>
      </c>
      <c r="GYK97" s="1392" t="s">
        <v>809</v>
      </c>
      <c r="GYL97" s="1392" t="s">
        <v>809</v>
      </c>
      <c r="GYM97" s="1392" t="s">
        <v>809</v>
      </c>
      <c r="GYN97" s="1392" t="s">
        <v>809</v>
      </c>
      <c r="GYO97" s="1392" t="s">
        <v>809</v>
      </c>
      <c r="GYP97" s="1392" t="s">
        <v>809</v>
      </c>
      <c r="GYQ97" s="1392" t="s">
        <v>809</v>
      </c>
      <c r="GYR97" s="1392" t="s">
        <v>809</v>
      </c>
      <c r="GYS97" s="1392" t="s">
        <v>809</v>
      </c>
      <c r="GYT97" s="1392" t="s">
        <v>809</v>
      </c>
      <c r="GYU97" s="1392" t="s">
        <v>809</v>
      </c>
      <c r="GYV97" s="1392" t="s">
        <v>809</v>
      </c>
      <c r="GYW97" s="1392" t="s">
        <v>809</v>
      </c>
      <c r="GYX97" s="1392" t="s">
        <v>809</v>
      </c>
      <c r="GYY97" s="1392" t="s">
        <v>809</v>
      </c>
      <c r="GYZ97" s="1392" t="s">
        <v>809</v>
      </c>
      <c r="GZA97" s="1392" t="s">
        <v>809</v>
      </c>
      <c r="GZB97" s="1392" t="s">
        <v>809</v>
      </c>
      <c r="GZC97" s="1392" t="s">
        <v>809</v>
      </c>
      <c r="GZD97" s="1392" t="s">
        <v>809</v>
      </c>
      <c r="GZE97" s="1392" t="s">
        <v>809</v>
      </c>
      <c r="GZF97" s="1392" t="s">
        <v>809</v>
      </c>
      <c r="GZG97" s="1392" t="s">
        <v>809</v>
      </c>
      <c r="GZH97" s="1392" t="s">
        <v>809</v>
      </c>
      <c r="GZI97" s="1392" t="s">
        <v>809</v>
      </c>
      <c r="GZJ97" s="1392" t="s">
        <v>809</v>
      </c>
      <c r="GZK97" s="1392" t="s">
        <v>809</v>
      </c>
      <c r="GZL97" s="1392" t="s">
        <v>809</v>
      </c>
      <c r="GZM97" s="1392" t="s">
        <v>809</v>
      </c>
      <c r="GZN97" s="1392" t="s">
        <v>809</v>
      </c>
      <c r="GZO97" s="1392" t="s">
        <v>809</v>
      </c>
      <c r="GZP97" s="1392" t="s">
        <v>809</v>
      </c>
      <c r="GZQ97" s="1392" t="s">
        <v>809</v>
      </c>
      <c r="GZR97" s="1392" t="s">
        <v>809</v>
      </c>
      <c r="GZS97" s="1392" t="s">
        <v>809</v>
      </c>
      <c r="GZT97" s="1392" t="s">
        <v>809</v>
      </c>
      <c r="GZU97" s="1392" t="s">
        <v>809</v>
      </c>
      <c r="GZV97" s="1392" t="s">
        <v>809</v>
      </c>
      <c r="GZW97" s="1392" t="s">
        <v>809</v>
      </c>
      <c r="GZX97" s="1392" t="s">
        <v>809</v>
      </c>
      <c r="GZY97" s="1392" t="s">
        <v>809</v>
      </c>
      <c r="GZZ97" s="1392" t="s">
        <v>809</v>
      </c>
      <c r="HAA97" s="1392" t="s">
        <v>809</v>
      </c>
      <c r="HAB97" s="1392" t="s">
        <v>809</v>
      </c>
      <c r="HAC97" s="1392" t="s">
        <v>809</v>
      </c>
      <c r="HAD97" s="1392" t="s">
        <v>809</v>
      </c>
      <c r="HAE97" s="1392" t="s">
        <v>809</v>
      </c>
      <c r="HAF97" s="1392" t="s">
        <v>809</v>
      </c>
      <c r="HAG97" s="1392" t="s">
        <v>809</v>
      </c>
      <c r="HAH97" s="1392" t="s">
        <v>809</v>
      </c>
      <c r="HAI97" s="1392" t="s">
        <v>809</v>
      </c>
      <c r="HAJ97" s="1392" t="s">
        <v>809</v>
      </c>
      <c r="HAK97" s="1392" t="s">
        <v>809</v>
      </c>
      <c r="HAL97" s="1392" t="s">
        <v>809</v>
      </c>
      <c r="HAM97" s="1392" t="s">
        <v>809</v>
      </c>
      <c r="HAN97" s="1392" t="s">
        <v>809</v>
      </c>
      <c r="HAO97" s="1392" t="s">
        <v>809</v>
      </c>
      <c r="HAP97" s="1392" t="s">
        <v>809</v>
      </c>
      <c r="HAQ97" s="1392" t="s">
        <v>809</v>
      </c>
      <c r="HAR97" s="1392" t="s">
        <v>809</v>
      </c>
      <c r="HAS97" s="1392" t="s">
        <v>809</v>
      </c>
      <c r="HAT97" s="1392" t="s">
        <v>809</v>
      </c>
      <c r="HAU97" s="1392" t="s">
        <v>809</v>
      </c>
      <c r="HAV97" s="1392" t="s">
        <v>809</v>
      </c>
      <c r="HAW97" s="1392" t="s">
        <v>809</v>
      </c>
      <c r="HAX97" s="1392" t="s">
        <v>809</v>
      </c>
      <c r="HAY97" s="1392" t="s">
        <v>809</v>
      </c>
      <c r="HAZ97" s="1392" t="s">
        <v>809</v>
      </c>
      <c r="HBA97" s="1392" t="s">
        <v>809</v>
      </c>
      <c r="HBB97" s="1392" t="s">
        <v>809</v>
      </c>
      <c r="HBC97" s="1392" t="s">
        <v>809</v>
      </c>
      <c r="HBD97" s="1392" t="s">
        <v>809</v>
      </c>
      <c r="HBE97" s="1392" t="s">
        <v>809</v>
      </c>
      <c r="HBF97" s="1392" t="s">
        <v>809</v>
      </c>
      <c r="HBG97" s="1392" t="s">
        <v>809</v>
      </c>
      <c r="HBH97" s="1392" t="s">
        <v>809</v>
      </c>
      <c r="HBI97" s="1392" t="s">
        <v>809</v>
      </c>
      <c r="HBJ97" s="1392" t="s">
        <v>809</v>
      </c>
      <c r="HBK97" s="1392" t="s">
        <v>809</v>
      </c>
      <c r="HBL97" s="1392" t="s">
        <v>809</v>
      </c>
      <c r="HBM97" s="1392" t="s">
        <v>809</v>
      </c>
      <c r="HBN97" s="1392" t="s">
        <v>809</v>
      </c>
      <c r="HBO97" s="1392" t="s">
        <v>809</v>
      </c>
      <c r="HBP97" s="1392" t="s">
        <v>809</v>
      </c>
      <c r="HBQ97" s="1392" t="s">
        <v>809</v>
      </c>
      <c r="HBR97" s="1392" t="s">
        <v>809</v>
      </c>
      <c r="HBS97" s="1392" t="s">
        <v>809</v>
      </c>
      <c r="HBT97" s="1392" t="s">
        <v>809</v>
      </c>
      <c r="HBU97" s="1392" t="s">
        <v>809</v>
      </c>
      <c r="HBV97" s="1392" t="s">
        <v>809</v>
      </c>
      <c r="HBW97" s="1392" t="s">
        <v>809</v>
      </c>
      <c r="HBX97" s="1392" t="s">
        <v>809</v>
      </c>
      <c r="HBY97" s="1392" t="s">
        <v>809</v>
      </c>
      <c r="HBZ97" s="1392" t="s">
        <v>809</v>
      </c>
      <c r="HCA97" s="1392" t="s">
        <v>809</v>
      </c>
      <c r="HCB97" s="1392" t="s">
        <v>809</v>
      </c>
      <c r="HCC97" s="1392" t="s">
        <v>809</v>
      </c>
      <c r="HCD97" s="1392" t="s">
        <v>809</v>
      </c>
      <c r="HCE97" s="1392" t="s">
        <v>809</v>
      </c>
      <c r="HCF97" s="1392" t="s">
        <v>809</v>
      </c>
      <c r="HCG97" s="1392" t="s">
        <v>809</v>
      </c>
      <c r="HCH97" s="1392" t="s">
        <v>809</v>
      </c>
      <c r="HCI97" s="1392" t="s">
        <v>809</v>
      </c>
      <c r="HCJ97" s="1392" t="s">
        <v>809</v>
      </c>
      <c r="HCK97" s="1392" t="s">
        <v>809</v>
      </c>
      <c r="HCL97" s="1392" t="s">
        <v>809</v>
      </c>
      <c r="HCM97" s="1392" t="s">
        <v>809</v>
      </c>
      <c r="HCN97" s="1392" t="s">
        <v>809</v>
      </c>
      <c r="HCO97" s="1392" t="s">
        <v>809</v>
      </c>
      <c r="HCP97" s="1392" t="s">
        <v>809</v>
      </c>
      <c r="HCQ97" s="1392" t="s">
        <v>809</v>
      </c>
      <c r="HCR97" s="1392" t="s">
        <v>809</v>
      </c>
      <c r="HCS97" s="1392" t="s">
        <v>809</v>
      </c>
      <c r="HCT97" s="1392" t="s">
        <v>809</v>
      </c>
      <c r="HCU97" s="1392" t="s">
        <v>809</v>
      </c>
      <c r="HCV97" s="1392" t="s">
        <v>809</v>
      </c>
      <c r="HCW97" s="1392" t="s">
        <v>809</v>
      </c>
      <c r="HCX97" s="1392" t="s">
        <v>809</v>
      </c>
      <c r="HCY97" s="1392" t="s">
        <v>809</v>
      </c>
      <c r="HCZ97" s="1392" t="s">
        <v>809</v>
      </c>
      <c r="HDA97" s="1392" t="s">
        <v>809</v>
      </c>
      <c r="HDB97" s="1392" t="s">
        <v>809</v>
      </c>
      <c r="HDC97" s="1392" t="s">
        <v>809</v>
      </c>
      <c r="HDD97" s="1392" t="s">
        <v>809</v>
      </c>
      <c r="HDE97" s="1392" t="s">
        <v>809</v>
      </c>
      <c r="HDF97" s="1392" t="s">
        <v>809</v>
      </c>
      <c r="HDG97" s="1392" t="s">
        <v>809</v>
      </c>
      <c r="HDH97" s="1392" t="s">
        <v>809</v>
      </c>
      <c r="HDI97" s="1392" t="s">
        <v>809</v>
      </c>
      <c r="HDJ97" s="1392" t="s">
        <v>809</v>
      </c>
      <c r="HDK97" s="1392" t="s">
        <v>809</v>
      </c>
      <c r="HDL97" s="1392" t="s">
        <v>809</v>
      </c>
      <c r="HDM97" s="1392" t="s">
        <v>809</v>
      </c>
      <c r="HDN97" s="1392" t="s">
        <v>809</v>
      </c>
      <c r="HDO97" s="1392" t="s">
        <v>809</v>
      </c>
      <c r="HDP97" s="1392" t="s">
        <v>809</v>
      </c>
      <c r="HDQ97" s="1392" t="s">
        <v>809</v>
      </c>
      <c r="HDR97" s="1392" t="s">
        <v>809</v>
      </c>
      <c r="HDS97" s="1392" t="s">
        <v>809</v>
      </c>
      <c r="HDT97" s="1392" t="s">
        <v>809</v>
      </c>
      <c r="HDU97" s="1392" t="s">
        <v>809</v>
      </c>
      <c r="HDV97" s="1392" t="s">
        <v>809</v>
      </c>
      <c r="HDW97" s="1392" t="s">
        <v>809</v>
      </c>
      <c r="HDX97" s="1392" t="s">
        <v>809</v>
      </c>
      <c r="HDY97" s="1392" t="s">
        <v>809</v>
      </c>
      <c r="HDZ97" s="1392" t="s">
        <v>809</v>
      </c>
      <c r="HEA97" s="1392" t="s">
        <v>809</v>
      </c>
      <c r="HEB97" s="1392" t="s">
        <v>809</v>
      </c>
      <c r="HEC97" s="1392" t="s">
        <v>809</v>
      </c>
      <c r="HED97" s="1392" t="s">
        <v>809</v>
      </c>
      <c r="HEE97" s="1392" t="s">
        <v>809</v>
      </c>
      <c r="HEF97" s="1392" t="s">
        <v>809</v>
      </c>
      <c r="HEG97" s="1392" t="s">
        <v>809</v>
      </c>
      <c r="HEH97" s="1392" t="s">
        <v>809</v>
      </c>
      <c r="HEI97" s="1392" t="s">
        <v>809</v>
      </c>
      <c r="HEJ97" s="1392" t="s">
        <v>809</v>
      </c>
      <c r="HEK97" s="1392" t="s">
        <v>809</v>
      </c>
      <c r="HEL97" s="1392" t="s">
        <v>809</v>
      </c>
      <c r="HEM97" s="1392" t="s">
        <v>809</v>
      </c>
      <c r="HEN97" s="1392" t="s">
        <v>809</v>
      </c>
      <c r="HEO97" s="1392" t="s">
        <v>809</v>
      </c>
      <c r="HEP97" s="1392" t="s">
        <v>809</v>
      </c>
      <c r="HEQ97" s="1392" t="s">
        <v>809</v>
      </c>
      <c r="HER97" s="1392" t="s">
        <v>809</v>
      </c>
      <c r="HES97" s="1392" t="s">
        <v>809</v>
      </c>
      <c r="HET97" s="1392" t="s">
        <v>809</v>
      </c>
      <c r="HEU97" s="1392" t="s">
        <v>809</v>
      </c>
      <c r="HEV97" s="1392" t="s">
        <v>809</v>
      </c>
      <c r="HEW97" s="1392" t="s">
        <v>809</v>
      </c>
      <c r="HEX97" s="1392" t="s">
        <v>809</v>
      </c>
      <c r="HEY97" s="1392" t="s">
        <v>809</v>
      </c>
      <c r="HEZ97" s="1392" t="s">
        <v>809</v>
      </c>
      <c r="HFA97" s="1392" t="s">
        <v>809</v>
      </c>
      <c r="HFB97" s="1392" t="s">
        <v>809</v>
      </c>
      <c r="HFC97" s="1392" t="s">
        <v>809</v>
      </c>
      <c r="HFD97" s="1392" t="s">
        <v>809</v>
      </c>
      <c r="HFE97" s="1392" t="s">
        <v>809</v>
      </c>
      <c r="HFF97" s="1392" t="s">
        <v>809</v>
      </c>
      <c r="HFG97" s="1392" t="s">
        <v>809</v>
      </c>
      <c r="HFH97" s="1392" t="s">
        <v>809</v>
      </c>
      <c r="HFI97" s="1392" t="s">
        <v>809</v>
      </c>
      <c r="HFJ97" s="1392" t="s">
        <v>809</v>
      </c>
      <c r="HFK97" s="1392" t="s">
        <v>809</v>
      </c>
      <c r="HFL97" s="1392" t="s">
        <v>809</v>
      </c>
      <c r="HFM97" s="1392" t="s">
        <v>809</v>
      </c>
      <c r="HFN97" s="1392" t="s">
        <v>809</v>
      </c>
      <c r="HFO97" s="1392" t="s">
        <v>809</v>
      </c>
      <c r="HFP97" s="1392" t="s">
        <v>809</v>
      </c>
      <c r="HFQ97" s="1392" t="s">
        <v>809</v>
      </c>
      <c r="HFR97" s="1392" t="s">
        <v>809</v>
      </c>
      <c r="HFS97" s="1392" t="s">
        <v>809</v>
      </c>
      <c r="HFT97" s="1392" t="s">
        <v>809</v>
      </c>
      <c r="HFU97" s="1392" t="s">
        <v>809</v>
      </c>
      <c r="HFV97" s="1392" t="s">
        <v>809</v>
      </c>
      <c r="HFW97" s="1392" t="s">
        <v>809</v>
      </c>
      <c r="HFX97" s="1392" t="s">
        <v>809</v>
      </c>
      <c r="HFY97" s="1392" t="s">
        <v>809</v>
      </c>
      <c r="HFZ97" s="1392" t="s">
        <v>809</v>
      </c>
      <c r="HGA97" s="1392" t="s">
        <v>809</v>
      </c>
      <c r="HGB97" s="1392" t="s">
        <v>809</v>
      </c>
      <c r="HGC97" s="1392" t="s">
        <v>809</v>
      </c>
      <c r="HGD97" s="1392" t="s">
        <v>809</v>
      </c>
      <c r="HGE97" s="1392" t="s">
        <v>809</v>
      </c>
      <c r="HGF97" s="1392" t="s">
        <v>809</v>
      </c>
      <c r="HGG97" s="1392" t="s">
        <v>809</v>
      </c>
      <c r="HGH97" s="1392" t="s">
        <v>809</v>
      </c>
      <c r="HGI97" s="1392" t="s">
        <v>809</v>
      </c>
      <c r="HGJ97" s="1392" t="s">
        <v>809</v>
      </c>
      <c r="HGK97" s="1392" t="s">
        <v>809</v>
      </c>
      <c r="HGL97" s="1392" t="s">
        <v>809</v>
      </c>
      <c r="HGM97" s="1392" t="s">
        <v>809</v>
      </c>
      <c r="HGN97" s="1392" t="s">
        <v>809</v>
      </c>
      <c r="HGO97" s="1392" t="s">
        <v>809</v>
      </c>
      <c r="HGP97" s="1392" t="s">
        <v>809</v>
      </c>
      <c r="HGQ97" s="1392" t="s">
        <v>809</v>
      </c>
      <c r="HGR97" s="1392" t="s">
        <v>809</v>
      </c>
      <c r="HGS97" s="1392" t="s">
        <v>809</v>
      </c>
      <c r="HGT97" s="1392" t="s">
        <v>809</v>
      </c>
      <c r="HGU97" s="1392" t="s">
        <v>809</v>
      </c>
      <c r="HGV97" s="1392" t="s">
        <v>809</v>
      </c>
      <c r="HGW97" s="1392" t="s">
        <v>809</v>
      </c>
      <c r="HGX97" s="1392" t="s">
        <v>809</v>
      </c>
      <c r="HGY97" s="1392" t="s">
        <v>809</v>
      </c>
      <c r="HGZ97" s="1392" t="s">
        <v>809</v>
      </c>
      <c r="HHA97" s="1392" t="s">
        <v>809</v>
      </c>
      <c r="HHB97" s="1392" t="s">
        <v>809</v>
      </c>
      <c r="HHC97" s="1392" t="s">
        <v>809</v>
      </c>
      <c r="HHD97" s="1392" t="s">
        <v>809</v>
      </c>
      <c r="HHE97" s="1392" t="s">
        <v>809</v>
      </c>
      <c r="HHF97" s="1392" t="s">
        <v>809</v>
      </c>
      <c r="HHG97" s="1392" t="s">
        <v>809</v>
      </c>
      <c r="HHH97" s="1392" t="s">
        <v>809</v>
      </c>
      <c r="HHI97" s="1392" t="s">
        <v>809</v>
      </c>
      <c r="HHJ97" s="1392" t="s">
        <v>809</v>
      </c>
      <c r="HHK97" s="1392" t="s">
        <v>809</v>
      </c>
      <c r="HHL97" s="1392" t="s">
        <v>809</v>
      </c>
      <c r="HHM97" s="1392" t="s">
        <v>809</v>
      </c>
      <c r="HHN97" s="1392" t="s">
        <v>809</v>
      </c>
      <c r="HHO97" s="1392" t="s">
        <v>809</v>
      </c>
      <c r="HHP97" s="1392" t="s">
        <v>809</v>
      </c>
      <c r="HHQ97" s="1392" t="s">
        <v>809</v>
      </c>
      <c r="HHR97" s="1392" t="s">
        <v>809</v>
      </c>
      <c r="HHS97" s="1392" t="s">
        <v>809</v>
      </c>
      <c r="HHT97" s="1392" t="s">
        <v>809</v>
      </c>
      <c r="HHU97" s="1392" t="s">
        <v>809</v>
      </c>
      <c r="HHV97" s="1392" t="s">
        <v>809</v>
      </c>
      <c r="HHW97" s="1392" t="s">
        <v>809</v>
      </c>
      <c r="HHX97" s="1392" t="s">
        <v>809</v>
      </c>
      <c r="HHY97" s="1392" t="s">
        <v>809</v>
      </c>
      <c r="HHZ97" s="1392" t="s">
        <v>809</v>
      </c>
      <c r="HIA97" s="1392" t="s">
        <v>809</v>
      </c>
      <c r="HIB97" s="1392" t="s">
        <v>809</v>
      </c>
      <c r="HIC97" s="1392" t="s">
        <v>809</v>
      </c>
      <c r="HID97" s="1392" t="s">
        <v>809</v>
      </c>
      <c r="HIE97" s="1392" t="s">
        <v>809</v>
      </c>
      <c r="HIF97" s="1392" t="s">
        <v>809</v>
      </c>
      <c r="HIG97" s="1392" t="s">
        <v>809</v>
      </c>
      <c r="HIH97" s="1392" t="s">
        <v>809</v>
      </c>
      <c r="HII97" s="1392" t="s">
        <v>809</v>
      </c>
      <c r="HIJ97" s="1392" t="s">
        <v>809</v>
      </c>
      <c r="HIK97" s="1392" t="s">
        <v>809</v>
      </c>
      <c r="HIL97" s="1392" t="s">
        <v>809</v>
      </c>
      <c r="HIM97" s="1392" t="s">
        <v>809</v>
      </c>
      <c r="HIN97" s="1392" t="s">
        <v>809</v>
      </c>
      <c r="HIO97" s="1392" t="s">
        <v>809</v>
      </c>
      <c r="HIP97" s="1392" t="s">
        <v>809</v>
      </c>
      <c r="HIQ97" s="1392" t="s">
        <v>809</v>
      </c>
      <c r="HIR97" s="1392" t="s">
        <v>809</v>
      </c>
      <c r="HIS97" s="1392" t="s">
        <v>809</v>
      </c>
      <c r="HIT97" s="1392" t="s">
        <v>809</v>
      </c>
      <c r="HIU97" s="1392" t="s">
        <v>809</v>
      </c>
      <c r="HIV97" s="1392" t="s">
        <v>809</v>
      </c>
      <c r="HIW97" s="1392" t="s">
        <v>809</v>
      </c>
      <c r="HIX97" s="1392" t="s">
        <v>809</v>
      </c>
      <c r="HIY97" s="1392" t="s">
        <v>809</v>
      </c>
      <c r="HIZ97" s="1392" t="s">
        <v>809</v>
      </c>
      <c r="HJA97" s="1392" t="s">
        <v>809</v>
      </c>
      <c r="HJB97" s="1392" t="s">
        <v>809</v>
      </c>
      <c r="HJC97" s="1392" t="s">
        <v>809</v>
      </c>
      <c r="HJD97" s="1392" t="s">
        <v>809</v>
      </c>
      <c r="HJE97" s="1392" t="s">
        <v>809</v>
      </c>
      <c r="HJF97" s="1392" t="s">
        <v>809</v>
      </c>
      <c r="HJG97" s="1392" t="s">
        <v>809</v>
      </c>
      <c r="HJH97" s="1392" t="s">
        <v>809</v>
      </c>
      <c r="HJI97" s="1392" t="s">
        <v>809</v>
      </c>
      <c r="HJJ97" s="1392" t="s">
        <v>809</v>
      </c>
      <c r="HJK97" s="1392" t="s">
        <v>809</v>
      </c>
      <c r="HJL97" s="1392" t="s">
        <v>809</v>
      </c>
      <c r="HJM97" s="1392" t="s">
        <v>809</v>
      </c>
      <c r="HJN97" s="1392" t="s">
        <v>809</v>
      </c>
      <c r="HJO97" s="1392" t="s">
        <v>809</v>
      </c>
      <c r="HJP97" s="1392" t="s">
        <v>809</v>
      </c>
      <c r="HJQ97" s="1392" t="s">
        <v>809</v>
      </c>
      <c r="HJR97" s="1392" t="s">
        <v>809</v>
      </c>
      <c r="HJS97" s="1392" t="s">
        <v>809</v>
      </c>
      <c r="HJT97" s="1392" t="s">
        <v>809</v>
      </c>
      <c r="HJU97" s="1392" t="s">
        <v>809</v>
      </c>
      <c r="HJV97" s="1392" t="s">
        <v>809</v>
      </c>
      <c r="HJW97" s="1392" t="s">
        <v>809</v>
      </c>
      <c r="HJX97" s="1392" t="s">
        <v>809</v>
      </c>
      <c r="HJY97" s="1392" t="s">
        <v>809</v>
      </c>
      <c r="HJZ97" s="1392" t="s">
        <v>809</v>
      </c>
      <c r="HKA97" s="1392" t="s">
        <v>809</v>
      </c>
      <c r="HKB97" s="1392" t="s">
        <v>809</v>
      </c>
      <c r="HKC97" s="1392" t="s">
        <v>809</v>
      </c>
      <c r="HKD97" s="1392" t="s">
        <v>809</v>
      </c>
      <c r="HKE97" s="1392" t="s">
        <v>809</v>
      </c>
      <c r="HKF97" s="1392" t="s">
        <v>809</v>
      </c>
      <c r="HKG97" s="1392" t="s">
        <v>809</v>
      </c>
      <c r="HKH97" s="1392" t="s">
        <v>809</v>
      </c>
      <c r="HKI97" s="1392" t="s">
        <v>809</v>
      </c>
      <c r="HKJ97" s="1392" t="s">
        <v>809</v>
      </c>
      <c r="HKK97" s="1392" t="s">
        <v>809</v>
      </c>
      <c r="HKL97" s="1392" t="s">
        <v>809</v>
      </c>
      <c r="HKM97" s="1392" t="s">
        <v>809</v>
      </c>
      <c r="HKN97" s="1392" t="s">
        <v>809</v>
      </c>
      <c r="HKO97" s="1392" t="s">
        <v>809</v>
      </c>
      <c r="HKP97" s="1392" t="s">
        <v>809</v>
      </c>
      <c r="HKQ97" s="1392" t="s">
        <v>809</v>
      </c>
      <c r="HKR97" s="1392" t="s">
        <v>809</v>
      </c>
      <c r="HKS97" s="1392" t="s">
        <v>809</v>
      </c>
      <c r="HKT97" s="1392" t="s">
        <v>809</v>
      </c>
      <c r="HKU97" s="1392" t="s">
        <v>809</v>
      </c>
      <c r="HKV97" s="1392" t="s">
        <v>809</v>
      </c>
      <c r="HKW97" s="1392" t="s">
        <v>809</v>
      </c>
      <c r="HKX97" s="1392" t="s">
        <v>809</v>
      </c>
      <c r="HKY97" s="1392" t="s">
        <v>809</v>
      </c>
      <c r="HKZ97" s="1392" t="s">
        <v>809</v>
      </c>
      <c r="HLA97" s="1392" t="s">
        <v>809</v>
      </c>
      <c r="HLB97" s="1392" t="s">
        <v>809</v>
      </c>
      <c r="HLC97" s="1392" t="s">
        <v>809</v>
      </c>
      <c r="HLD97" s="1392" t="s">
        <v>809</v>
      </c>
      <c r="HLE97" s="1392" t="s">
        <v>809</v>
      </c>
      <c r="HLF97" s="1392" t="s">
        <v>809</v>
      </c>
      <c r="HLG97" s="1392" t="s">
        <v>809</v>
      </c>
      <c r="HLH97" s="1392" t="s">
        <v>809</v>
      </c>
      <c r="HLI97" s="1392" t="s">
        <v>809</v>
      </c>
      <c r="HLJ97" s="1392" t="s">
        <v>809</v>
      </c>
      <c r="HLK97" s="1392" t="s">
        <v>809</v>
      </c>
      <c r="HLL97" s="1392" t="s">
        <v>809</v>
      </c>
      <c r="HLM97" s="1392" t="s">
        <v>809</v>
      </c>
      <c r="HLN97" s="1392" t="s">
        <v>809</v>
      </c>
      <c r="HLO97" s="1392" t="s">
        <v>809</v>
      </c>
      <c r="HLP97" s="1392" t="s">
        <v>809</v>
      </c>
      <c r="HLQ97" s="1392" t="s">
        <v>809</v>
      </c>
      <c r="HLR97" s="1392" t="s">
        <v>809</v>
      </c>
      <c r="HLS97" s="1392" t="s">
        <v>809</v>
      </c>
      <c r="HLT97" s="1392" t="s">
        <v>809</v>
      </c>
      <c r="HLU97" s="1392" t="s">
        <v>809</v>
      </c>
      <c r="HLV97" s="1392" t="s">
        <v>809</v>
      </c>
      <c r="HLW97" s="1392" t="s">
        <v>809</v>
      </c>
      <c r="HLX97" s="1392" t="s">
        <v>809</v>
      </c>
      <c r="HLY97" s="1392" t="s">
        <v>809</v>
      </c>
      <c r="HLZ97" s="1392" t="s">
        <v>809</v>
      </c>
      <c r="HMA97" s="1392" t="s">
        <v>809</v>
      </c>
      <c r="HMB97" s="1392" t="s">
        <v>809</v>
      </c>
      <c r="HMC97" s="1392" t="s">
        <v>809</v>
      </c>
      <c r="HMD97" s="1392" t="s">
        <v>809</v>
      </c>
      <c r="HME97" s="1392" t="s">
        <v>809</v>
      </c>
      <c r="HMF97" s="1392" t="s">
        <v>809</v>
      </c>
      <c r="HMG97" s="1392" t="s">
        <v>809</v>
      </c>
      <c r="HMH97" s="1392" t="s">
        <v>809</v>
      </c>
      <c r="HMI97" s="1392" t="s">
        <v>809</v>
      </c>
      <c r="HMJ97" s="1392" t="s">
        <v>809</v>
      </c>
      <c r="HMK97" s="1392" t="s">
        <v>809</v>
      </c>
      <c r="HML97" s="1392" t="s">
        <v>809</v>
      </c>
      <c r="HMM97" s="1392" t="s">
        <v>809</v>
      </c>
      <c r="HMN97" s="1392" t="s">
        <v>809</v>
      </c>
      <c r="HMO97" s="1392" t="s">
        <v>809</v>
      </c>
      <c r="HMP97" s="1392" t="s">
        <v>809</v>
      </c>
      <c r="HMQ97" s="1392" t="s">
        <v>809</v>
      </c>
      <c r="HMR97" s="1392" t="s">
        <v>809</v>
      </c>
      <c r="HMS97" s="1392" t="s">
        <v>809</v>
      </c>
      <c r="HMT97" s="1392" t="s">
        <v>809</v>
      </c>
      <c r="HMU97" s="1392" t="s">
        <v>809</v>
      </c>
      <c r="HMV97" s="1392" t="s">
        <v>809</v>
      </c>
      <c r="HMW97" s="1392" t="s">
        <v>809</v>
      </c>
      <c r="HMX97" s="1392" t="s">
        <v>809</v>
      </c>
      <c r="HMY97" s="1392" t="s">
        <v>809</v>
      </c>
      <c r="HMZ97" s="1392" t="s">
        <v>809</v>
      </c>
      <c r="HNA97" s="1392" t="s">
        <v>809</v>
      </c>
      <c r="HNB97" s="1392" t="s">
        <v>809</v>
      </c>
      <c r="HNC97" s="1392" t="s">
        <v>809</v>
      </c>
      <c r="HND97" s="1392" t="s">
        <v>809</v>
      </c>
      <c r="HNE97" s="1392" t="s">
        <v>809</v>
      </c>
      <c r="HNF97" s="1392" t="s">
        <v>809</v>
      </c>
      <c r="HNG97" s="1392" t="s">
        <v>809</v>
      </c>
      <c r="HNH97" s="1392" t="s">
        <v>809</v>
      </c>
      <c r="HNI97" s="1392" t="s">
        <v>809</v>
      </c>
      <c r="HNJ97" s="1392" t="s">
        <v>809</v>
      </c>
      <c r="HNK97" s="1392" t="s">
        <v>809</v>
      </c>
      <c r="HNL97" s="1392" t="s">
        <v>809</v>
      </c>
      <c r="HNM97" s="1392" t="s">
        <v>809</v>
      </c>
      <c r="HNN97" s="1392" t="s">
        <v>809</v>
      </c>
      <c r="HNO97" s="1392" t="s">
        <v>809</v>
      </c>
      <c r="HNP97" s="1392" t="s">
        <v>809</v>
      </c>
      <c r="HNQ97" s="1392" t="s">
        <v>809</v>
      </c>
      <c r="HNR97" s="1392" t="s">
        <v>809</v>
      </c>
      <c r="HNS97" s="1392" t="s">
        <v>809</v>
      </c>
      <c r="HNT97" s="1392" t="s">
        <v>809</v>
      </c>
      <c r="HNU97" s="1392" t="s">
        <v>809</v>
      </c>
      <c r="HNV97" s="1392" t="s">
        <v>809</v>
      </c>
      <c r="HNW97" s="1392" t="s">
        <v>809</v>
      </c>
      <c r="HNX97" s="1392" t="s">
        <v>809</v>
      </c>
      <c r="HNY97" s="1392" t="s">
        <v>809</v>
      </c>
      <c r="HNZ97" s="1392" t="s">
        <v>809</v>
      </c>
      <c r="HOA97" s="1392" t="s">
        <v>809</v>
      </c>
      <c r="HOB97" s="1392" t="s">
        <v>809</v>
      </c>
      <c r="HOC97" s="1392" t="s">
        <v>809</v>
      </c>
      <c r="HOD97" s="1392" t="s">
        <v>809</v>
      </c>
      <c r="HOE97" s="1392" t="s">
        <v>809</v>
      </c>
      <c r="HOF97" s="1392" t="s">
        <v>809</v>
      </c>
      <c r="HOG97" s="1392" t="s">
        <v>809</v>
      </c>
      <c r="HOH97" s="1392" t="s">
        <v>809</v>
      </c>
      <c r="HOI97" s="1392" t="s">
        <v>809</v>
      </c>
      <c r="HOJ97" s="1392" t="s">
        <v>809</v>
      </c>
      <c r="HOK97" s="1392" t="s">
        <v>809</v>
      </c>
      <c r="HOL97" s="1392" t="s">
        <v>809</v>
      </c>
      <c r="HOM97" s="1392" t="s">
        <v>809</v>
      </c>
      <c r="HON97" s="1392" t="s">
        <v>809</v>
      </c>
      <c r="HOO97" s="1392" t="s">
        <v>809</v>
      </c>
      <c r="HOP97" s="1392" t="s">
        <v>809</v>
      </c>
      <c r="HOQ97" s="1392" t="s">
        <v>809</v>
      </c>
      <c r="HOR97" s="1392" t="s">
        <v>809</v>
      </c>
      <c r="HOS97" s="1392" t="s">
        <v>809</v>
      </c>
      <c r="HOT97" s="1392" t="s">
        <v>809</v>
      </c>
      <c r="HOU97" s="1392" t="s">
        <v>809</v>
      </c>
      <c r="HOV97" s="1392" t="s">
        <v>809</v>
      </c>
      <c r="HOW97" s="1392" t="s">
        <v>809</v>
      </c>
      <c r="HOX97" s="1392" t="s">
        <v>809</v>
      </c>
      <c r="HOY97" s="1392" t="s">
        <v>809</v>
      </c>
      <c r="HOZ97" s="1392" t="s">
        <v>809</v>
      </c>
      <c r="HPA97" s="1392" t="s">
        <v>809</v>
      </c>
      <c r="HPB97" s="1392" t="s">
        <v>809</v>
      </c>
      <c r="HPC97" s="1392" t="s">
        <v>809</v>
      </c>
      <c r="HPD97" s="1392" t="s">
        <v>809</v>
      </c>
      <c r="HPE97" s="1392" t="s">
        <v>809</v>
      </c>
      <c r="HPF97" s="1392" t="s">
        <v>809</v>
      </c>
      <c r="HPG97" s="1392" t="s">
        <v>809</v>
      </c>
      <c r="HPH97" s="1392" t="s">
        <v>809</v>
      </c>
      <c r="HPI97" s="1392" t="s">
        <v>809</v>
      </c>
      <c r="HPJ97" s="1392" t="s">
        <v>809</v>
      </c>
      <c r="HPK97" s="1392" t="s">
        <v>809</v>
      </c>
      <c r="HPL97" s="1392" t="s">
        <v>809</v>
      </c>
      <c r="HPM97" s="1392" t="s">
        <v>809</v>
      </c>
      <c r="HPN97" s="1392" t="s">
        <v>809</v>
      </c>
      <c r="HPO97" s="1392" t="s">
        <v>809</v>
      </c>
      <c r="HPP97" s="1392" t="s">
        <v>809</v>
      </c>
      <c r="HPQ97" s="1392" t="s">
        <v>809</v>
      </c>
      <c r="HPR97" s="1392" t="s">
        <v>809</v>
      </c>
      <c r="HPS97" s="1392" t="s">
        <v>809</v>
      </c>
      <c r="HPT97" s="1392" t="s">
        <v>809</v>
      </c>
      <c r="HPU97" s="1392" t="s">
        <v>809</v>
      </c>
      <c r="HPV97" s="1392" t="s">
        <v>809</v>
      </c>
      <c r="HPW97" s="1392" t="s">
        <v>809</v>
      </c>
      <c r="HPX97" s="1392" t="s">
        <v>809</v>
      </c>
      <c r="HPY97" s="1392" t="s">
        <v>809</v>
      </c>
      <c r="HPZ97" s="1392" t="s">
        <v>809</v>
      </c>
      <c r="HQA97" s="1392" t="s">
        <v>809</v>
      </c>
      <c r="HQB97" s="1392" t="s">
        <v>809</v>
      </c>
      <c r="HQC97" s="1392" t="s">
        <v>809</v>
      </c>
      <c r="HQD97" s="1392" t="s">
        <v>809</v>
      </c>
      <c r="HQE97" s="1392" t="s">
        <v>809</v>
      </c>
      <c r="HQF97" s="1392" t="s">
        <v>809</v>
      </c>
      <c r="HQG97" s="1392" t="s">
        <v>809</v>
      </c>
      <c r="HQH97" s="1392" t="s">
        <v>809</v>
      </c>
      <c r="HQI97" s="1392" t="s">
        <v>809</v>
      </c>
      <c r="HQJ97" s="1392" t="s">
        <v>809</v>
      </c>
      <c r="HQK97" s="1392" t="s">
        <v>809</v>
      </c>
      <c r="HQL97" s="1392" t="s">
        <v>809</v>
      </c>
      <c r="HQM97" s="1392" t="s">
        <v>809</v>
      </c>
      <c r="HQN97" s="1392" t="s">
        <v>809</v>
      </c>
      <c r="HQO97" s="1392" t="s">
        <v>809</v>
      </c>
      <c r="HQP97" s="1392" t="s">
        <v>809</v>
      </c>
      <c r="HQQ97" s="1392" t="s">
        <v>809</v>
      </c>
      <c r="HQR97" s="1392" t="s">
        <v>809</v>
      </c>
      <c r="HQS97" s="1392" t="s">
        <v>809</v>
      </c>
      <c r="HQT97" s="1392" t="s">
        <v>809</v>
      </c>
      <c r="HQU97" s="1392" t="s">
        <v>809</v>
      </c>
      <c r="HQV97" s="1392" t="s">
        <v>809</v>
      </c>
      <c r="HQW97" s="1392" t="s">
        <v>809</v>
      </c>
      <c r="HQX97" s="1392" t="s">
        <v>809</v>
      </c>
      <c r="HQY97" s="1392" t="s">
        <v>809</v>
      </c>
      <c r="HQZ97" s="1392" t="s">
        <v>809</v>
      </c>
      <c r="HRA97" s="1392" t="s">
        <v>809</v>
      </c>
      <c r="HRB97" s="1392" t="s">
        <v>809</v>
      </c>
      <c r="HRC97" s="1392" t="s">
        <v>809</v>
      </c>
      <c r="HRD97" s="1392" t="s">
        <v>809</v>
      </c>
      <c r="HRE97" s="1392" t="s">
        <v>809</v>
      </c>
      <c r="HRF97" s="1392" t="s">
        <v>809</v>
      </c>
      <c r="HRG97" s="1392" t="s">
        <v>809</v>
      </c>
      <c r="HRH97" s="1392" t="s">
        <v>809</v>
      </c>
      <c r="HRI97" s="1392" t="s">
        <v>809</v>
      </c>
      <c r="HRJ97" s="1392" t="s">
        <v>809</v>
      </c>
      <c r="HRK97" s="1392" t="s">
        <v>809</v>
      </c>
      <c r="HRL97" s="1392" t="s">
        <v>809</v>
      </c>
      <c r="HRM97" s="1392" t="s">
        <v>809</v>
      </c>
      <c r="HRN97" s="1392" t="s">
        <v>809</v>
      </c>
      <c r="HRO97" s="1392" t="s">
        <v>809</v>
      </c>
      <c r="HRP97" s="1392" t="s">
        <v>809</v>
      </c>
      <c r="HRQ97" s="1392" t="s">
        <v>809</v>
      </c>
      <c r="HRR97" s="1392" t="s">
        <v>809</v>
      </c>
      <c r="HRS97" s="1392" t="s">
        <v>809</v>
      </c>
      <c r="HRT97" s="1392" t="s">
        <v>809</v>
      </c>
      <c r="HRU97" s="1392" t="s">
        <v>809</v>
      </c>
      <c r="HRV97" s="1392" t="s">
        <v>809</v>
      </c>
      <c r="HRW97" s="1392" t="s">
        <v>809</v>
      </c>
      <c r="HRX97" s="1392" t="s">
        <v>809</v>
      </c>
      <c r="HRY97" s="1392" t="s">
        <v>809</v>
      </c>
      <c r="HRZ97" s="1392" t="s">
        <v>809</v>
      </c>
      <c r="HSA97" s="1392" t="s">
        <v>809</v>
      </c>
      <c r="HSB97" s="1392" t="s">
        <v>809</v>
      </c>
      <c r="HSC97" s="1392" t="s">
        <v>809</v>
      </c>
      <c r="HSD97" s="1392" t="s">
        <v>809</v>
      </c>
      <c r="HSE97" s="1392" t="s">
        <v>809</v>
      </c>
      <c r="HSF97" s="1392" t="s">
        <v>809</v>
      </c>
      <c r="HSG97" s="1392" t="s">
        <v>809</v>
      </c>
      <c r="HSH97" s="1392" t="s">
        <v>809</v>
      </c>
      <c r="HSI97" s="1392" t="s">
        <v>809</v>
      </c>
      <c r="HSJ97" s="1392" t="s">
        <v>809</v>
      </c>
      <c r="HSK97" s="1392" t="s">
        <v>809</v>
      </c>
      <c r="HSL97" s="1392" t="s">
        <v>809</v>
      </c>
      <c r="HSM97" s="1392" t="s">
        <v>809</v>
      </c>
      <c r="HSN97" s="1392" t="s">
        <v>809</v>
      </c>
      <c r="HSO97" s="1392" t="s">
        <v>809</v>
      </c>
      <c r="HSP97" s="1392" t="s">
        <v>809</v>
      </c>
      <c r="HSQ97" s="1392" t="s">
        <v>809</v>
      </c>
      <c r="HSR97" s="1392" t="s">
        <v>809</v>
      </c>
      <c r="HSS97" s="1392" t="s">
        <v>809</v>
      </c>
      <c r="HST97" s="1392" t="s">
        <v>809</v>
      </c>
      <c r="HSU97" s="1392" t="s">
        <v>809</v>
      </c>
      <c r="HSV97" s="1392" t="s">
        <v>809</v>
      </c>
      <c r="HSW97" s="1392" t="s">
        <v>809</v>
      </c>
      <c r="HSX97" s="1392" t="s">
        <v>809</v>
      </c>
      <c r="HSY97" s="1392" t="s">
        <v>809</v>
      </c>
      <c r="HSZ97" s="1392" t="s">
        <v>809</v>
      </c>
      <c r="HTA97" s="1392" t="s">
        <v>809</v>
      </c>
      <c r="HTB97" s="1392" t="s">
        <v>809</v>
      </c>
      <c r="HTC97" s="1392" t="s">
        <v>809</v>
      </c>
      <c r="HTD97" s="1392" t="s">
        <v>809</v>
      </c>
      <c r="HTE97" s="1392" t="s">
        <v>809</v>
      </c>
      <c r="HTF97" s="1392" t="s">
        <v>809</v>
      </c>
      <c r="HTG97" s="1392" t="s">
        <v>809</v>
      </c>
      <c r="HTH97" s="1392" t="s">
        <v>809</v>
      </c>
      <c r="HTI97" s="1392" t="s">
        <v>809</v>
      </c>
      <c r="HTJ97" s="1392" t="s">
        <v>809</v>
      </c>
      <c r="HTK97" s="1392" t="s">
        <v>809</v>
      </c>
      <c r="HTL97" s="1392" t="s">
        <v>809</v>
      </c>
      <c r="HTM97" s="1392" t="s">
        <v>809</v>
      </c>
      <c r="HTN97" s="1392" t="s">
        <v>809</v>
      </c>
      <c r="HTO97" s="1392" t="s">
        <v>809</v>
      </c>
      <c r="HTP97" s="1392" t="s">
        <v>809</v>
      </c>
      <c r="HTQ97" s="1392" t="s">
        <v>809</v>
      </c>
      <c r="HTR97" s="1392" t="s">
        <v>809</v>
      </c>
      <c r="HTS97" s="1392" t="s">
        <v>809</v>
      </c>
      <c r="HTT97" s="1392" t="s">
        <v>809</v>
      </c>
      <c r="HTU97" s="1392" t="s">
        <v>809</v>
      </c>
      <c r="HTV97" s="1392" t="s">
        <v>809</v>
      </c>
      <c r="HTW97" s="1392" t="s">
        <v>809</v>
      </c>
      <c r="HTX97" s="1392" t="s">
        <v>809</v>
      </c>
      <c r="HTY97" s="1392" t="s">
        <v>809</v>
      </c>
      <c r="HTZ97" s="1392" t="s">
        <v>809</v>
      </c>
      <c r="HUA97" s="1392" t="s">
        <v>809</v>
      </c>
      <c r="HUB97" s="1392" t="s">
        <v>809</v>
      </c>
      <c r="HUC97" s="1392" t="s">
        <v>809</v>
      </c>
      <c r="HUD97" s="1392" t="s">
        <v>809</v>
      </c>
      <c r="HUE97" s="1392" t="s">
        <v>809</v>
      </c>
      <c r="HUF97" s="1392" t="s">
        <v>809</v>
      </c>
      <c r="HUG97" s="1392" t="s">
        <v>809</v>
      </c>
      <c r="HUH97" s="1392" t="s">
        <v>809</v>
      </c>
      <c r="HUI97" s="1392" t="s">
        <v>809</v>
      </c>
      <c r="HUJ97" s="1392" t="s">
        <v>809</v>
      </c>
      <c r="HUK97" s="1392" t="s">
        <v>809</v>
      </c>
      <c r="HUL97" s="1392" t="s">
        <v>809</v>
      </c>
      <c r="HUM97" s="1392" t="s">
        <v>809</v>
      </c>
      <c r="HUN97" s="1392" t="s">
        <v>809</v>
      </c>
      <c r="HUO97" s="1392" t="s">
        <v>809</v>
      </c>
      <c r="HUP97" s="1392" t="s">
        <v>809</v>
      </c>
      <c r="HUQ97" s="1392" t="s">
        <v>809</v>
      </c>
      <c r="HUR97" s="1392" t="s">
        <v>809</v>
      </c>
      <c r="HUS97" s="1392" t="s">
        <v>809</v>
      </c>
      <c r="HUT97" s="1392" t="s">
        <v>809</v>
      </c>
      <c r="HUU97" s="1392" t="s">
        <v>809</v>
      </c>
      <c r="HUV97" s="1392" t="s">
        <v>809</v>
      </c>
      <c r="HUW97" s="1392" t="s">
        <v>809</v>
      </c>
      <c r="HUX97" s="1392" t="s">
        <v>809</v>
      </c>
      <c r="HUY97" s="1392" t="s">
        <v>809</v>
      </c>
      <c r="HUZ97" s="1392" t="s">
        <v>809</v>
      </c>
      <c r="HVA97" s="1392" t="s">
        <v>809</v>
      </c>
      <c r="HVB97" s="1392" t="s">
        <v>809</v>
      </c>
      <c r="HVC97" s="1392" t="s">
        <v>809</v>
      </c>
      <c r="HVD97" s="1392" t="s">
        <v>809</v>
      </c>
      <c r="HVE97" s="1392" t="s">
        <v>809</v>
      </c>
      <c r="HVF97" s="1392" t="s">
        <v>809</v>
      </c>
      <c r="HVG97" s="1392" t="s">
        <v>809</v>
      </c>
      <c r="HVH97" s="1392" t="s">
        <v>809</v>
      </c>
      <c r="HVI97" s="1392" t="s">
        <v>809</v>
      </c>
      <c r="HVJ97" s="1392" t="s">
        <v>809</v>
      </c>
      <c r="HVK97" s="1392" t="s">
        <v>809</v>
      </c>
      <c r="HVL97" s="1392" t="s">
        <v>809</v>
      </c>
      <c r="HVM97" s="1392" t="s">
        <v>809</v>
      </c>
      <c r="HVN97" s="1392" t="s">
        <v>809</v>
      </c>
      <c r="HVO97" s="1392" t="s">
        <v>809</v>
      </c>
      <c r="HVP97" s="1392" t="s">
        <v>809</v>
      </c>
      <c r="HVQ97" s="1392" t="s">
        <v>809</v>
      </c>
      <c r="HVR97" s="1392" t="s">
        <v>809</v>
      </c>
      <c r="HVS97" s="1392" t="s">
        <v>809</v>
      </c>
      <c r="HVT97" s="1392" t="s">
        <v>809</v>
      </c>
      <c r="HVU97" s="1392" t="s">
        <v>809</v>
      </c>
      <c r="HVV97" s="1392" t="s">
        <v>809</v>
      </c>
      <c r="HVW97" s="1392" t="s">
        <v>809</v>
      </c>
      <c r="HVX97" s="1392" t="s">
        <v>809</v>
      </c>
      <c r="HVY97" s="1392" t="s">
        <v>809</v>
      </c>
      <c r="HVZ97" s="1392" t="s">
        <v>809</v>
      </c>
      <c r="HWA97" s="1392" t="s">
        <v>809</v>
      </c>
      <c r="HWB97" s="1392" t="s">
        <v>809</v>
      </c>
      <c r="HWC97" s="1392" t="s">
        <v>809</v>
      </c>
      <c r="HWD97" s="1392" t="s">
        <v>809</v>
      </c>
      <c r="HWE97" s="1392" t="s">
        <v>809</v>
      </c>
      <c r="HWF97" s="1392" t="s">
        <v>809</v>
      </c>
      <c r="HWG97" s="1392" t="s">
        <v>809</v>
      </c>
      <c r="HWH97" s="1392" t="s">
        <v>809</v>
      </c>
      <c r="HWI97" s="1392" t="s">
        <v>809</v>
      </c>
      <c r="HWJ97" s="1392" t="s">
        <v>809</v>
      </c>
      <c r="HWK97" s="1392" t="s">
        <v>809</v>
      </c>
      <c r="HWL97" s="1392" t="s">
        <v>809</v>
      </c>
      <c r="HWM97" s="1392" t="s">
        <v>809</v>
      </c>
      <c r="HWN97" s="1392" t="s">
        <v>809</v>
      </c>
      <c r="HWO97" s="1392" t="s">
        <v>809</v>
      </c>
      <c r="HWP97" s="1392" t="s">
        <v>809</v>
      </c>
      <c r="HWQ97" s="1392" t="s">
        <v>809</v>
      </c>
      <c r="HWR97" s="1392" t="s">
        <v>809</v>
      </c>
      <c r="HWS97" s="1392" t="s">
        <v>809</v>
      </c>
      <c r="HWT97" s="1392" t="s">
        <v>809</v>
      </c>
      <c r="HWU97" s="1392" t="s">
        <v>809</v>
      </c>
      <c r="HWV97" s="1392" t="s">
        <v>809</v>
      </c>
      <c r="HWW97" s="1392" t="s">
        <v>809</v>
      </c>
      <c r="HWX97" s="1392" t="s">
        <v>809</v>
      </c>
      <c r="HWY97" s="1392" t="s">
        <v>809</v>
      </c>
      <c r="HWZ97" s="1392" t="s">
        <v>809</v>
      </c>
      <c r="HXA97" s="1392" t="s">
        <v>809</v>
      </c>
      <c r="HXB97" s="1392" t="s">
        <v>809</v>
      </c>
      <c r="HXC97" s="1392" t="s">
        <v>809</v>
      </c>
      <c r="HXD97" s="1392" t="s">
        <v>809</v>
      </c>
      <c r="HXE97" s="1392" t="s">
        <v>809</v>
      </c>
      <c r="HXF97" s="1392" t="s">
        <v>809</v>
      </c>
      <c r="HXG97" s="1392" t="s">
        <v>809</v>
      </c>
      <c r="HXH97" s="1392" t="s">
        <v>809</v>
      </c>
      <c r="HXI97" s="1392" t="s">
        <v>809</v>
      </c>
      <c r="HXJ97" s="1392" t="s">
        <v>809</v>
      </c>
      <c r="HXK97" s="1392" t="s">
        <v>809</v>
      </c>
      <c r="HXL97" s="1392" t="s">
        <v>809</v>
      </c>
      <c r="HXM97" s="1392" t="s">
        <v>809</v>
      </c>
      <c r="HXN97" s="1392" t="s">
        <v>809</v>
      </c>
      <c r="HXO97" s="1392" t="s">
        <v>809</v>
      </c>
      <c r="HXP97" s="1392" t="s">
        <v>809</v>
      </c>
      <c r="HXQ97" s="1392" t="s">
        <v>809</v>
      </c>
      <c r="HXR97" s="1392" t="s">
        <v>809</v>
      </c>
      <c r="HXS97" s="1392" t="s">
        <v>809</v>
      </c>
      <c r="HXT97" s="1392" t="s">
        <v>809</v>
      </c>
      <c r="HXU97" s="1392" t="s">
        <v>809</v>
      </c>
      <c r="HXV97" s="1392" t="s">
        <v>809</v>
      </c>
      <c r="HXW97" s="1392" t="s">
        <v>809</v>
      </c>
      <c r="HXX97" s="1392" t="s">
        <v>809</v>
      </c>
      <c r="HXY97" s="1392" t="s">
        <v>809</v>
      </c>
      <c r="HXZ97" s="1392" t="s">
        <v>809</v>
      </c>
      <c r="HYA97" s="1392" t="s">
        <v>809</v>
      </c>
      <c r="HYB97" s="1392" t="s">
        <v>809</v>
      </c>
      <c r="HYC97" s="1392" t="s">
        <v>809</v>
      </c>
      <c r="HYD97" s="1392" t="s">
        <v>809</v>
      </c>
      <c r="HYE97" s="1392" t="s">
        <v>809</v>
      </c>
      <c r="HYF97" s="1392" t="s">
        <v>809</v>
      </c>
      <c r="HYG97" s="1392" t="s">
        <v>809</v>
      </c>
      <c r="HYH97" s="1392" t="s">
        <v>809</v>
      </c>
      <c r="HYI97" s="1392" t="s">
        <v>809</v>
      </c>
      <c r="HYJ97" s="1392" t="s">
        <v>809</v>
      </c>
      <c r="HYK97" s="1392" t="s">
        <v>809</v>
      </c>
      <c r="HYL97" s="1392" t="s">
        <v>809</v>
      </c>
      <c r="HYM97" s="1392" t="s">
        <v>809</v>
      </c>
      <c r="HYN97" s="1392" t="s">
        <v>809</v>
      </c>
      <c r="HYO97" s="1392" t="s">
        <v>809</v>
      </c>
      <c r="HYP97" s="1392" t="s">
        <v>809</v>
      </c>
      <c r="HYQ97" s="1392" t="s">
        <v>809</v>
      </c>
      <c r="HYR97" s="1392" t="s">
        <v>809</v>
      </c>
      <c r="HYS97" s="1392" t="s">
        <v>809</v>
      </c>
      <c r="HYT97" s="1392" t="s">
        <v>809</v>
      </c>
      <c r="HYU97" s="1392" t="s">
        <v>809</v>
      </c>
      <c r="HYV97" s="1392" t="s">
        <v>809</v>
      </c>
      <c r="HYW97" s="1392" t="s">
        <v>809</v>
      </c>
      <c r="HYX97" s="1392" t="s">
        <v>809</v>
      </c>
      <c r="HYY97" s="1392" t="s">
        <v>809</v>
      </c>
      <c r="HYZ97" s="1392" t="s">
        <v>809</v>
      </c>
      <c r="HZA97" s="1392" t="s">
        <v>809</v>
      </c>
      <c r="HZB97" s="1392" t="s">
        <v>809</v>
      </c>
      <c r="HZC97" s="1392" t="s">
        <v>809</v>
      </c>
      <c r="HZD97" s="1392" t="s">
        <v>809</v>
      </c>
      <c r="HZE97" s="1392" t="s">
        <v>809</v>
      </c>
      <c r="HZF97" s="1392" t="s">
        <v>809</v>
      </c>
      <c r="HZG97" s="1392" t="s">
        <v>809</v>
      </c>
      <c r="HZH97" s="1392" t="s">
        <v>809</v>
      </c>
      <c r="HZI97" s="1392" t="s">
        <v>809</v>
      </c>
      <c r="HZJ97" s="1392" t="s">
        <v>809</v>
      </c>
      <c r="HZK97" s="1392" t="s">
        <v>809</v>
      </c>
      <c r="HZL97" s="1392" t="s">
        <v>809</v>
      </c>
      <c r="HZM97" s="1392" t="s">
        <v>809</v>
      </c>
      <c r="HZN97" s="1392" t="s">
        <v>809</v>
      </c>
      <c r="HZO97" s="1392" t="s">
        <v>809</v>
      </c>
      <c r="HZP97" s="1392" t="s">
        <v>809</v>
      </c>
      <c r="HZQ97" s="1392" t="s">
        <v>809</v>
      </c>
      <c r="HZR97" s="1392" t="s">
        <v>809</v>
      </c>
      <c r="HZS97" s="1392" t="s">
        <v>809</v>
      </c>
      <c r="HZT97" s="1392" t="s">
        <v>809</v>
      </c>
      <c r="HZU97" s="1392" t="s">
        <v>809</v>
      </c>
      <c r="HZV97" s="1392" t="s">
        <v>809</v>
      </c>
      <c r="HZW97" s="1392" t="s">
        <v>809</v>
      </c>
      <c r="HZX97" s="1392" t="s">
        <v>809</v>
      </c>
      <c r="HZY97" s="1392" t="s">
        <v>809</v>
      </c>
      <c r="HZZ97" s="1392" t="s">
        <v>809</v>
      </c>
      <c r="IAA97" s="1392" t="s">
        <v>809</v>
      </c>
      <c r="IAB97" s="1392" t="s">
        <v>809</v>
      </c>
      <c r="IAC97" s="1392" t="s">
        <v>809</v>
      </c>
      <c r="IAD97" s="1392" t="s">
        <v>809</v>
      </c>
      <c r="IAE97" s="1392" t="s">
        <v>809</v>
      </c>
      <c r="IAF97" s="1392" t="s">
        <v>809</v>
      </c>
      <c r="IAG97" s="1392" t="s">
        <v>809</v>
      </c>
      <c r="IAH97" s="1392" t="s">
        <v>809</v>
      </c>
      <c r="IAI97" s="1392" t="s">
        <v>809</v>
      </c>
      <c r="IAJ97" s="1392" t="s">
        <v>809</v>
      </c>
      <c r="IAK97" s="1392" t="s">
        <v>809</v>
      </c>
      <c r="IAL97" s="1392" t="s">
        <v>809</v>
      </c>
      <c r="IAM97" s="1392" t="s">
        <v>809</v>
      </c>
      <c r="IAN97" s="1392" t="s">
        <v>809</v>
      </c>
      <c r="IAO97" s="1392" t="s">
        <v>809</v>
      </c>
      <c r="IAP97" s="1392" t="s">
        <v>809</v>
      </c>
      <c r="IAQ97" s="1392" t="s">
        <v>809</v>
      </c>
      <c r="IAR97" s="1392" t="s">
        <v>809</v>
      </c>
      <c r="IAS97" s="1392" t="s">
        <v>809</v>
      </c>
      <c r="IAT97" s="1392" t="s">
        <v>809</v>
      </c>
      <c r="IAU97" s="1392" t="s">
        <v>809</v>
      </c>
      <c r="IAV97" s="1392" t="s">
        <v>809</v>
      </c>
      <c r="IAW97" s="1392" t="s">
        <v>809</v>
      </c>
      <c r="IAX97" s="1392" t="s">
        <v>809</v>
      </c>
      <c r="IAY97" s="1392" t="s">
        <v>809</v>
      </c>
      <c r="IAZ97" s="1392" t="s">
        <v>809</v>
      </c>
      <c r="IBA97" s="1392" t="s">
        <v>809</v>
      </c>
      <c r="IBB97" s="1392" t="s">
        <v>809</v>
      </c>
      <c r="IBC97" s="1392" t="s">
        <v>809</v>
      </c>
      <c r="IBD97" s="1392" t="s">
        <v>809</v>
      </c>
      <c r="IBE97" s="1392" t="s">
        <v>809</v>
      </c>
      <c r="IBF97" s="1392" t="s">
        <v>809</v>
      </c>
      <c r="IBG97" s="1392" t="s">
        <v>809</v>
      </c>
      <c r="IBH97" s="1392" t="s">
        <v>809</v>
      </c>
      <c r="IBI97" s="1392" t="s">
        <v>809</v>
      </c>
      <c r="IBJ97" s="1392" t="s">
        <v>809</v>
      </c>
      <c r="IBK97" s="1392" t="s">
        <v>809</v>
      </c>
      <c r="IBL97" s="1392" t="s">
        <v>809</v>
      </c>
      <c r="IBM97" s="1392" t="s">
        <v>809</v>
      </c>
      <c r="IBN97" s="1392" t="s">
        <v>809</v>
      </c>
      <c r="IBO97" s="1392" t="s">
        <v>809</v>
      </c>
      <c r="IBP97" s="1392" t="s">
        <v>809</v>
      </c>
      <c r="IBQ97" s="1392" t="s">
        <v>809</v>
      </c>
      <c r="IBR97" s="1392" t="s">
        <v>809</v>
      </c>
      <c r="IBS97" s="1392" t="s">
        <v>809</v>
      </c>
      <c r="IBT97" s="1392" t="s">
        <v>809</v>
      </c>
      <c r="IBU97" s="1392" t="s">
        <v>809</v>
      </c>
      <c r="IBV97" s="1392" t="s">
        <v>809</v>
      </c>
      <c r="IBW97" s="1392" t="s">
        <v>809</v>
      </c>
      <c r="IBX97" s="1392" t="s">
        <v>809</v>
      </c>
      <c r="IBY97" s="1392" t="s">
        <v>809</v>
      </c>
      <c r="IBZ97" s="1392" t="s">
        <v>809</v>
      </c>
      <c r="ICA97" s="1392" t="s">
        <v>809</v>
      </c>
      <c r="ICB97" s="1392" t="s">
        <v>809</v>
      </c>
      <c r="ICC97" s="1392" t="s">
        <v>809</v>
      </c>
      <c r="ICD97" s="1392" t="s">
        <v>809</v>
      </c>
      <c r="ICE97" s="1392" t="s">
        <v>809</v>
      </c>
      <c r="ICF97" s="1392" t="s">
        <v>809</v>
      </c>
      <c r="ICG97" s="1392" t="s">
        <v>809</v>
      </c>
      <c r="ICH97" s="1392" t="s">
        <v>809</v>
      </c>
      <c r="ICI97" s="1392" t="s">
        <v>809</v>
      </c>
      <c r="ICJ97" s="1392" t="s">
        <v>809</v>
      </c>
      <c r="ICK97" s="1392" t="s">
        <v>809</v>
      </c>
      <c r="ICL97" s="1392" t="s">
        <v>809</v>
      </c>
      <c r="ICM97" s="1392" t="s">
        <v>809</v>
      </c>
      <c r="ICN97" s="1392" t="s">
        <v>809</v>
      </c>
      <c r="ICO97" s="1392" t="s">
        <v>809</v>
      </c>
      <c r="ICP97" s="1392" t="s">
        <v>809</v>
      </c>
      <c r="ICQ97" s="1392" t="s">
        <v>809</v>
      </c>
      <c r="ICR97" s="1392" t="s">
        <v>809</v>
      </c>
      <c r="ICS97" s="1392" t="s">
        <v>809</v>
      </c>
      <c r="ICT97" s="1392" t="s">
        <v>809</v>
      </c>
      <c r="ICU97" s="1392" t="s">
        <v>809</v>
      </c>
      <c r="ICV97" s="1392" t="s">
        <v>809</v>
      </c>
      <c r="ICW97" s="1392" t="s">
        <v>809</v>
      </c>
      <c r="ICX97" s="1392" t="s">
        <v>809</v>
      </c>
      <c r="ICY97" s="1392" t="s">
        <v>809</v>
      </c>
      <c r="ICZ97" s="1392" t="s">
        <v>809</v>
      </c>
      <c r="IDA97" s="1392" t="s">
        <v>809</v>
      </c>
      <c r="IDB97" s="1392" t="s">
        <v>809</v>
      </c>
      <c r="IDC97" s="1392" t="s">
        <v>809</v>
      </c>
      <c r="IDD97" s="1392" t="s">
        <v>809</v>
      </c>
      <c r="IDE97" s="1392" t="s">
        <v>809</v>
      </c>
      <c r="IDF97" s="1392" t="s">
        <v>809</v>
      </c>
      <c r="IDG97" s="1392" t="s">
        <v>809</v>
      </c>
      <c r="IDH97" s="1392" t="s">
        <v>809</v>
      </c>
      <c r="IDI97" s="1392" t="s">
        <v>809</v>
      </c>
      <c r="IDJ97" s="1392" t="s">
        <v>809</v>
      </c>
      <c r="IDK97" s="1392" t="s">
        <v>809</v>
      </c>
      <c r="IDL97" s="1392" t="s">
        <v>809</v>
      </c>
      <c r="IDM97" s="1392" t="s">
        <v>809</v>
      </c>
      <c r="IDN97" s="1392" t="s">
        <v>809</v>
      </c>
      <c r="IDO97" s="1392" t="s">
        <v>809</v>
      </c>
      <c r="IDP97" s="1392" t="s">
        <v>809</v>
      </c>
      <c r="IDQ97" s="1392" t="s">
        <v>809</v>
      </c>
      <c r="IDR97" s="1392" t="s">
        <v>809</v>
      </c>
      <c r="IDS97" s="1392" t="s">
        <v>809</v>
      </c>
      <c r="IDT97" s="1392" t="s">
        <v>809</v>
      </c>
      <c r="IDU97" s="1392" t="s">
        <v>809</v>
      </c>
      <c r="IDV97" s="1392" t="s">
        <v>809</v>
      </c>
      <c r="IDW97" s="1392" t="s">
        <v>809</v>
      </c>
      <c r="IDX97" s="1392" t="s">
        <v>809</v>
      </c>
      <c r="IDY97" s="1392" t="s">
        <v>809</v>
      </c>
      <c r="IDZ97" s="1392" t="s">
        <v>809</v>
      </c>
      <c r="IEA97" s="1392" t="s">
        <v>809</v>
      </c>
      <c r="IEB97" s="1392" t="s">
        <v>809</v>
      </c>
      <c r="IEC97" s="1392" t="s">
        <v>809</v>
      </c>
      <c r="IED97" s="1392" t="s">
        <v>809</v>
      </c>
      <c r="IEE97" s="1392" t="s">
        <v>809</v>
      </c>
      <c r="IEF97" s="1392" t="s">
        <v>809</v>
      </c>
      <c r="IEG97" s="1392" t="s">
        <v>809</v>
      </c>
      <c r="IEH97" s="1392" t="s">
        <v>809</v>
      </c>
      <c r="IEI97" s="1392" t="s">
        <v>809</v>
      </c>
      <c r="IEJ97" s="1392" t="s">
        <v>809</v>
      </c>
      <c r="IEK97" s="1392" t="s">
        <v>809</v>
      </c>
      <c r="IEL97" s="1392" t="s">
        <v>809</v>
      </c>
      <c r="IEM97" s="1392" t="s">
        <v>809</v>
      </c>
      <c r="IEN97" s="1392" t="s">
        <v>809</v>
      </c>
      <c r="IEO97" s="1392" t="s">
        <v>809</v>
      </c>
      <c r="IEP97" s="1392" t="s">
        <v>809</v>
      </c>
      <c r="IEQ97" s="1392" t="s">
        <v>809</v>
      </c>
      <c r="IER97" s="1392" t="s">
        <v>809</v>
      </c>
      <c r="IES97" s="1392" t="s">
        <v>809</v>
      </c>
      <c r="IET97" s="1392" t="s">
        <v>809</v>
      </c>
      <c r="IEU97" s="1392" t="s">
        <v>809</v>
      </c>
      <c r="IEV97" s="1392" t="s">
        <v>809</v>
      </c>
      <c r="IEW97" s="1392" t="s">
        <v>809</v>
      </c>
      <c r="IEX97" s="1392" t="s">
        <v>809</v>
      </c>
      <c r="IEY97" s="1392" t="s">
        <v>809</v>
      </c>
      <c r="IEZ97" s="1392" t="s">
        <v>809</v>
      </c>
      <c r="IFA97" s="1392" t="s">
        <v>809</v>
      </c>
      <c r="IFB97" s="1392" t="s">
        <v>809</v>
      </c>
      <c r="IFC97" s="1392" t="s">
        <v>809</v>
      </c>
      <c r="IFD97" s="1392" t="s">
        <v>809</v>
      </c>
      <c r="IFE97" s="1392" t="s">
        <v>809</v>
      </c>
      <c r="IFF97" s="1392" t="s">
        <v>809</v>
      </c>
      <c r="IFG97" s="1392" t="s">
        <v>809</v>
      </c>
      <c r="IFH97" s="1392" t="s">
        <v>809</v>
      </c>
      <c r="IFI97" s="1392" t="s">
        <v>809</v>
      </c>
      <c r="IFJ97" s="1392" t="s">
        <v>809</v>
      </c>
      <c r="IFK97" s="1392" t="s">
        <v>809</v>
      </c>
      <c r="IFL97" s="1392" t="s">
        <v>809</v>
      </c>
      <c r="IFM97" s="1392" t="s">
        <v>809</v>
      </c>
      <c r="IFN97" s="1392" t="s">
        <v>809</v>
      </c>
      <c r="IFO97" s="1392" t="s">
        <v>809</v>
      </c>
      <c r="IFP97" s="1392" t="s">
        <v>809</v>
      </c>
      <c r="IFQ97" s="1392" t="s">
        <v>809</v>
      </c>
      <c r="IFR97" s="1392" t="s">
        <v>809</v>
      </c>
      <c r="IFS97" s="1392" t="s">
        <v>809</v>
      </c>
      <c r="IFT97" s="1392" t="s">
        <v>809</v>
      </c>
      <c r="IFU97" s="1392" t="s">
        <v>809</v>
      </c>
      <c r="IFV97" s="1392" t="s">
        <v>809</v>
      </c>
      <c r="IFW97" s="1392" t="s">
        <v>809</v>
      </c>
      <c r="IFX97" s="1392" t="s">
        <v>809</v>
      </c>
      <c r="IFY97" s="1392" t="s">
        <v>809</v>
      </c>
      <c r="IFZ97" s="1392" t="s">
        <v>809</v>
      </c>
      <c r="IGA97" s="1392" t="s">
        <v>809</v>
      </c>
      <c r="IGB97" s="1392" t="s">
        <v>809</v>
      </c>
      <c r="IGC97" s="1392" t="s">
        <v>809</v>
      </c>
      <c r="IGD97" s="1392" t="s">
        <v>809</v>
      </c>
      <c r="IGE97" s="1392" t="s">
        <v>809</v>
      </c>
      <c r="IGF97" s="1392" t="s">
        <v>809</v>
      </c>
      <c r="IGG97" s="1392" t="s">
        <v>809</v>
      </c>
      <c r="IGH97" s="1392" t="s">
        <v>809</v>
      </c>
      <c r="IGI97" s="1392" t="s">
        <v>809</v>
      </c>
      <c r="IGJ97" s="1392" t="s">
        <v>809</v>
      </c>
      <c r="IGK97" s="1392" t="s">
        <v>809</v>
      </c>
      <c r="IGL97" s="1392" t="s">
        <v>809</v>
      </c>
      <c r="IGM97" s="1392" t="s">
        <v>809</v>
      </c>
      <c r="IGN97" s="1392" t="s">
        <v>809</v>
      </c>
      <c r="IGO97" s="1392" t="s">
        <v>809</v>
      </c>
      <c r="IGP97" s="1392" t="s">
        <v>809</v>
      </c>
      <c r="IGQ97" s="1392" t="s">
        <v>809</v>
      </c>
      <c r="IGR97" s="1392" t="s">
        <v>809</v>
      </c>
      <c r="IGS97" s="1392" t="s">
        <v>809</v>
      </c>
      <c r="IGT97" s="1392" t="s">
        <v>809</v>
      </c>
      <c r="IGU97" s="1392" t="s">
        <v>809</v>
      </c>
      <c r="IGV97" s="1392" t="s">
        <v>809</v>
      </c>
      <c r="IGW97" s="1392" t="s">
        <v>809</v>
      </c>
      <c r="IGX97" s="1392" t="s">
        <v>809</v>
      </c>
      <c r="IGY97" s="1392" t="s">
        <v>809</v>
      </c>
      <c r="IGZ97" s="1392" t="s">
        <v>809</v>
      </c>
      <c r="IHA97" s="1392" t="s">
        <v>809</v>
      </c>
      <c r="IHB97" s="1392" t="s">
        <v>809</v>
      </c>
      <c r="IHC97" s="1392" t="s">
        <v>809</v>
      </c>
      <c r="IHD97" s="1392" t="s">
        <v>809</v>
      </c>
      <c r="IHE97" s="1392" t="s">
        <v>809</v>
      </c>
      <c r="IHF97" s="1392" t="s">
        <v>809</v>
      </c>
      <c r="IHG97" s="1392" t="s">
        <v>809</v>
      </c>
      <c r="IHH97" s="1392" t="s">
        <v>809</v>
      </c>
      <c r="IHI97" s="1392" t="s">
        <v>809</v>
      </c>
      <c r="IHJ97" s="1392" t="s">
        <v>809</v>
      </c>
      <c r="IHK97" s="1392" t="s">
        <v>809</v>
      </c>
      <c r="IHL97" s="1392" t="s">
        <v>809</v>
      </c>
      <c r="IHM97" s="1392" t="s">
        <v>809</v>
      </c>
      <c r="IHN97" s="1392" t="s">
        <v>809</v>
      </c>
      <c r="IHO97" s="1392" t="s">
        <v>809</v>
      </c>
      <c r="IHP97" s="1392" t="s">
        <v>809</v>
      </c>
      <c r="IHQ97" s="1392" t="s">
        <v>809</v>
      </c>
      <c r="IHR97" s="1392" t="s">
        <v>809</v>
      </c>
      <c r="IHS97" s="1392" t="s">
        <v>809</v>
      </c>
      <c r="IHT97" s="1392" t="s">
        <v>809</v>
      </c>
      <c r="IHU97" s="1392" t="s">
        <v>809</v>
      </c>
      <c r="IHV97" s="1392" t="s">
        <v>809</v>
      </c>
      <c r="IHW97" s="1392" t="s">
        <v>809</v>
      </c>
      <c r="IHX97" s="1392" t="s">
        <v>809</v>
      </c>
      <c r="IHY97" s="1392" t="s">
        <v>809</v>
      </c>
      <c r="IHZ97" s="1392" t="s">
        <v>809</v>
      </c>
      <c r="IIA97" s="1392" t="s">
        <v>809</v>
      </c>
      <c r="IIB97" s="1392" t="s">
        <v>809</v>
      </c>
      <c r="IIC97" s="1392" t="s">
        <v>809</v>
      </c>
      <c r="IID97" s="1392" t="s">
        <v>809</v>
      </c>
      <c r="IIE97" s="1392" t="s">
        <v>809</v>
      </c>
      <c r="IIF97" s="1392" t="s">
        <v>809</v>
      </c>
      <c r="IIG97" s="1392" t="s">
        <v>809</v>
      </c>
      <c r="IIH97" s="1392" t="s">
        <v>809</v>
      </c>
      <c r="III97" s="1392" t="s">
        <v>809</v>
      </c>
      <c r="IIJ97" s="1392" t="s">
        <v>809</v>
      </c>
      <c r="IIK97" s="1392" t="s">
        <v>809</v>
      </c>
      <c r="IIL97" s="1392" t="s">
        <v>809</v>
      </c>
      <c r="IIM97" s="1392" t="s">
        <v>809</v>
      </c>
      <c r="IIN97" s="1392" t="s">
        <v>809</v>
      </c>
      <c r="IIO97" s="1392" t="s">
        <v>809</v>
      </c>
      <c r="IIP97" s="1392" t="s">
        <v>809</v>
      </c>
      <c r="IIQ97" s="1392" t="s">
        <v>809</v>
      </c>
      <c r="IIR97" s="1392" t="s">
        <v>809</v>
      </c>
      <c r="IIS97" s="1392" t="s">
        <v>809</v>
      </c>
      <c r="IIT97" s="1392" t="s">
        <v>809</v>
      </c>
      <c r="IIU97" s="1392" t="s">
        <v>809</v>
      </c>
      <c r="IIV97" s="1392" t="s">
        <v>809</v>
      </c>
      <c r="IIW97" s="1392" t="s">
        <v>809</v>
      </c>
      <c r="IIX97" s="1392" t="s">
        <v>809</v>
      </c>
      <c r="IIY97" s="1392" t="s">
        <v>809</v>
      </c>
      <c r="IIZ97" s="1392" t="s">
        <v>809</v>
      </c>
      <c r="IJA97" s="1392" t="s">
        <v>809</v>
      </c>
      <c r="IJB97" s="1392" t="s">
        <v>809</v>
      </c>
      <c r="IJC97" s="1392" t="s">
        <v>809</v>
      </c>
      <c r="IJD97" s="1392" t="s">
        <v>809</v>
      </c>
      <c r="IJE97" s="1392" t="s">
        <v>809</v>
      </c>
      <c r="IJF97" s="1392" t="s">
        <v>809</v>
      </c>
      <c r="IJG97" s="1392" t="s">
        <v>809</v>
      </c>
      <c r="IJH97" s="1392" t="s">
        <v>809</v>
      </c>
      <c r="IJI97" s="1392" t="s">
        <v>809</v>
      </c>
      <c r="IJJ97" s="1392" t="s">
        <v>809</v>
      </c>
      <c r="IJK97" s="1392" t="s">
        <v>809</v>
      </c>
      <c r="IJL97" s="1392" t="s">
        <v>809</v>
      </c>
      <c r="IJM97" s="1392" t="s">
        <v>809</v>
      </c>
      <c r="IJN97" s="1392" t="s">
        <v>809</v>
      </c>
      <c r="IJO97" s="1392" t="s">
        <v>809</v>
      </c>
      <c r="IJP97" s="1392" t="s">
        <v>809</v>
      </c>
      <c r="IJQ97" s="1392" t="s">
        <v>809</v>
      </c>
      <c r="IJR97" s="1392" t="s">
        <v>809</v>
      </c>
      <c r="IJS97" s="1392" t="s">
        <v>809</v>
      </c>
      <c r="IJT97" s="1392" t="s">
        <v>809</v>
      </c>
      <c r="IJU97" s="1392" t="s">
        <v>809</v>
      </c>
      <c r="IJV97" s="1392" t="s">
        <v>809</v>
      </c>
      <c r="IJW97" s="1392" t="s">
        <v>809</v>
      </c>
      <c r="IJX97" s="1392" t="s">
        <v>809</v>
      </c>
      <c r="IJY97" s="1392" t="s">
        <v>809</v>
      </c>
      <c r="IJZ97" s="1392" t="s">
        <v>809</v>
      </c>
      <c r="IKA97" s="1392" t="s">
        <v>809</v>
      </c>
      <c r="IKB97" s="1392" t="s">
        <v>809</v>
      </c>
      <c r="IKC97" s="1392" t="s">
        <v>809</v>
      </c>
      <c r="IKD97" s="1392" t="s">
        <v>809</v>
      </c>
      <c r="IKE97" s="1392" t="s">
        <v>809</v>
      </c>
      <c r="IKF97" s="1392" t="s">
        <v>809</v>
      </c>
      <c r="IKG97" s="1392" t="s">
        <v>809</v>
      </c>
      <c r="IKH97" s="1392" t="s">
        <v>809</v>
      </c>
      <c r="IKI97" s="1392" t="s">
        <v>809</v>
      </c>
      <c r="IKJ97" s="1392" t="s">
        <v>809</v>
      </c>
      <c r="IKK97" s="1392" t="s">
        <v>809</v>
      </c>
      <c r="IKL97" s="1392" t="s">
        <v>809</v>
      </c>
      <c r="IKM97" s="1392" t="s">
        <v>809</v>
      </c>
      <c r="IKN97" s="1392" t="s">
        <v>809</v>
      </c>
      <c r="IKO97" s="1392" t="s">
        <v>809</v>
      </c>
      <c r="IKP97" s="1392" t="s">
        <v>809</v>
      </c>
      <c r="IKQ97" s="1392" t="s">
        <v>809</v>
      </c>
      <c r="IKR97" s="1392" t="s">
        <v>809</v>
      </c>
      <c r="IKS97" s="1392" t="s">
        <v>809</v>
      </c>
      <c r="IKT97" s="1392" t="s">
        <v>809</v>
      </c>
      <c r="IKU97" s="1392" t="s">
        <v>809</v>
      </c>
      <c r="IKV97" s="1392" t="s">
        <v>809</v>
      </c>
      <c r="IKW97" s="1392" t="s">
        <v>809</v>
      </c>
      <c r="IKX97" s="1392" t="s">
        <v>809</v>
      </c>
      <c r="IKY97" s="1392" t="s">
        <v>809</v>
      </c>
      <c r="IKZ97" s="1392" t="s">
        <v>809</v>
      </c>
      <c r="ILA97" s="1392" t="s">
        <v>809</v>
      </c>
      <c r="ILB97" s="1392" t="s">
        <v>809</v>
      </c>
      <c r="ILC97" s="1392" t="s">
        <v>809</v>
      </c>
      <c r="ILD97" s="1392" t="s">
        <v>809</v>
      </c>
      <c r="ILE97" s="1392" t="s">
        <v>809</v>
      </c>
      <c r="ILF97" s="1392" t="s">
        <v>809</v>
      </c>
      <c r="ILG97" s="1392" t="s">
        <v>809</v>
      </c>
      <c r="ILH97" s="1392" t="s">
        <v>809</v>
      </c>
      <c r="ILI97" s="1392" t="s">
        <v>809</v>
      </c>
      <c r="ILJ97" s="1392" t="s">
        <v>809</v>
      </c>
      <c r="ILK97" s="1392" t="s">
        <v>809</v>
      </c>
      <c r="ILL97" s="1392" t="s">
        <v>809</v>
      </c>
      <c r="ILM97" s="1392" t="s">
        <v>809</v>
      </c>
      <c r="ILN97" s="1392" t="s">
        <v>809</v>
      </c>
      <c r="ILO97" s="1392" t="s">
        <v>809</v>
      </c>
      <c r="ILP97" s="1392" t="s">
        <v>809</v>
      </c>
      <c r="ILQ97" s="1392" t="s">
        <v>809</v>
      </c>
      <c r="ILR97" s="1392" t="s">
        <v>809</v>
      </c>
      <c r="ILS97" s="1392" t="s">
        <v>809</v>
      </c>
      <c r="ILT97" s="1392" t="s">
        <v>809</v>
      </c>
      <c r="ILU97" s="1392" t="s">
        <v>809</v>
      </c>
      <c r="ILV97" s="1392" t="s">
        <v>809</v>
      </c>
      <c r="ILW97" s="1392" t="s">
        <v>809</v>
      </c>
      <c r="ILX97" s="1392" t="s">
        <v>809</v>
      </c>
      <c r="ILY97" s="1392" t="s">
        <v>809</v>
      </c>
      <c r="ILZ97" s="1392" t="s">
        <v>809</v>
      </c>
      <c r="IMA97" s="1392" t="s">
        <v>809</v>
      </c>
      <c r="IMB97" s="1392" t="s">
        <v>809</v>
      </c>
      <c r="IMC97" s="1392" t="s">
        <v>809</v>
      </c>
      <c r="IMD97" s="1392" t="s">
        <v>809</v>
      </c>
      <c r="IME97" s="1392" t="s">
        <v>809</v>
      </c>
      <c r="IMF97" s="1392" t="s">
        <v>809</v>
      </c>
      <c r="IMG97" s="1392" t="s">
        <v>809</v>
      </c>
      <c r="IMH97" s="1392" t="s">
        <v>809</v>
      </c>
      <c r="IMI97" s="1392" t="s">
        <v>809</v>
      </c>
      <c r="IMJ97" s="1392" t="s">
        <v>809</v>
      </c>
      <c r="IMK97" s="1392" t="s">
        <v>809</v>
      </c>
      <c r="IML97" s="1392" t="s">
        <v>809</v>
      </c>
      <c r="IMM97" s="1392" t="s">
        <v>809</v>
      </c>
      <c r="IMN97" s="1392" t="s">
        <v>809</v>
      </c>
      <c r="IMO97" s="1392" t="s">
        <v>809</v>
      </c>
      <c r="IMP97" s="1392" t="s">
        <v>809</v>
      </c>
      <c r="IMQ97" s="1392" t="s">
        <v>809</v>
      </c>
      <c r="IMR97" s="1392" t="s">
        <v>809</v>
      </c>
      <c r="IMS97" s="1392" t="s">
        <v>809</v>
      </c>
      <c r="IMT97" s="1392" t="s">
        <v>809</v>
      </c>
      <c r="IMU97" s="1392" t="s">
        <v>809</v>
      </c>
      <c r="IMV97" s="1392" t="s">
        <v>809</v>
      </c>
      <c r="IMW97" s="1392" t="s">
        <v>809</v>
      </c>
      <c r="IMX97" s="1392" t="s">
        <v>809</v>
      </c>
      <c r="IMY97" s="1392" t="s">
        <v>809</v>
      </c>
      <c r="IMZ97" s="1392" t="s">
        <v>809</v>
      </c>
      <c r="INA97" s="1392" t="s">
        <v>809</v>
      </c>
      <c r="INB97" s="1392" t="s">
        <v>809</v>
      </c>
      <c r="INC97" s="1392" t="s">
        <v>809</v>
      </c>
      <c r="IND97" s="1392" t="s">
        <v>809</v>
      </c>
      <c r="INE97" s="1392" t="s">
        <v>809</v>
      </c>
      <c r="INF97" s="1392" t="s">
        <v>809</v>
      </c>
      <c r="ING97" s="1392" t="s">
        <v>809</v>
      </c>
      <c r="INH97" s="1392" t="s">
        <v>809</v>
      </c>
      <c r="INI97" s="1392" t="s">
        <v>809</v>
      </c>
      <c r="INJ97" s="1392" t="s">
        <v>809</v>
      </c>
      <c r="INK97" s="1392" t="s">
        <v>809</v>
      </c>
      <c r="INL97" s="1392" t="s">
        <v>809</v>
      </c>
      <c r="INM97" s="1392" t="s">
        <v>809</v>
      </c>
      <c r="INN97" s="1392" t="s">
        <v>809</v>
      </c>
      <c r="INO97" s="1392" t="s">
        <v>809</v>
      </c>
      <c r="INP97" s="1392" t="s">
        <v>809</v>
      </c>
      <c r="INQ97" s="1392" t="s">
        <v>809</v>
      </c>
      <c r="INR97" s="1392" t="s">
        <v>809</v>
      </c>
      <c r="INS97" s="1392" t="s">
        <v>809</v>
      </c>
      <c r="INT97" s="1392" t="s">
        <v>809</v>
      </c>
      <c r="INU97" s="1392" t="s">
        <v>809</v>
      </c>
      <c r="INV97" s="1392" t="s">
        <v>809</v>
      </c>
      <c r="INW97" s="1392" t="s">
        <v>809</v>
      </c>
      <c r="INX97" s="1392" t="s">
        <v>809</v>
      </c>
      <c r="INY97" s="1392" t="s">
        <v>809</v>
      </c>
      <c r="INZ97" s="1392" t="s">
        <v>809</v>
      </c>
      <c r="IOA97" s="1392" t="s">
        <v>809</v>
      </c>
      <c r="IOB97" s="1392" t="s">
        <v>809</v>
      </c>
      <c r="IOC97" s="1392" t="s">
        <v>809</v>
      </c>
      <c r="IOD97" s="1392" t="s">
        <v>809</v>
      </c>
      <c r="IOE97" s="1392" t="s">
        <v>809</v>
      </c>
      <c r="IOF97" s="1392" t="s">
        <v>809</v>
      </c>
      <c r="IOG97" s="1392" t="s">
        <v>809</v>
      </c>
      <c r="IOH97" s="1392" t="s">
        <v>809</v>
      </c>
      <c r="IOI97" s="1392" t="s">
        <v>809</v>
      </c>
      <c r="IOJ97" s="1392" t="s">
        <v>809</v>
      </c>
      <c r="IOK97" s="1392" t="s">
        <v>809</v>
      </c>
      <c r="IOL97" s="1392" t="s">
        <v>809</v>
      </c>
      <c r="IOM97" s="1392" t="s">
        <v>809</v>
      </c>
      <c r="ION97" s="1392" t="s">
        <v>809</v>
      </c>
      <c r="IOO97" s="1392" t="s">
        <v>809</v>
      </c>
      <c r="IOP97" s="1392" t="s">
        <v>809</v>
      </c>
      <c r="IOQ97" s="1392" t="s">
        <v>809</v>
      </c>
      <c r="IOR97" s="1392" t="s">
        <v>809</v>
      </c>
      <c r="IOS97" s="1392" t="s">
        <v>809</v>
      </c>
      <c r="IOT97" s="1392" t="s">
        <v>809</v>
      </c>
      <c r="IOU97" s="1392" t="s">
        <v>809</v>
      </c>
      <c r="IOV97" s="1392" t="s">
        <v>809</v>
      </c>
      <c r="IOW97" s="1392" t="s">
        <v>809</v>
      </c>
      <c r="IOX97" s="1392" t="s">
        <v>809</v>
      </c>
      <c r="IOY97" s="1392" t="s">
        <v>809</v>
      </c>
      <c r="IOZ97" s="1392" t="s">
        <v>809</v>
      </c>
      <c r="IPA97" s="1392" t="s">
        <v>809</v>
      </c>
      <c r="IPB97" s="1392" t="s">
        <v>809</v>
      </c>
      <c r="IPC97" s="1392" t="s">
        <v>809</v>
      </c>
      <c r="IPD97" s="1392" t="s">
        <v>809</v>
      </c>
      <c r="IPE97" s="1392" t="s">
        <v>809</v>
      </c>
      <c r="IPF97" s="1392" t="s">
        <v>809</v>
      </c>
      <c r="IPG97" s="1392" t="s">
        <v>809</v>
      </c>
      <c r="IPH97" s="1392" t="s">
        <v>809</v>
      </c>
      <c r="IPI97" s="1392" t="s">
        <v>809</v>
      </c>
      <c r="IPJ97" s="1392" t="s">
        <v>809</v>
      </c>
      <c r="IPK97" s="1392" t="s">
        <v>809</v>
      </c>
      <c r="IPL97" s="1392" t="s">
        <v>809</v>
      </c>
      <c r="IPM97" s="1392" t="s">
        <v>809</v>
      </c>
      <c r="IPN97" s="1392" t="s">
        <v>809</v>
      </c>
      <c r="IPO97" s="1392" t="s">
        <v>809</v>
      </c>
      <c r="IPP97" s="1392" t="s">
        <v>809</v>
      </c>
      <c r="IPQ97" s="1392" t="s">
        <v>809</v>
      </c>
      <c r="IPR97" s="1392" t="s">
        <v>809</v>
      </c>
      <c r="IPS97" s="1392" t="s">
        <v>809</v>
      </c>
      <c r="IPT97" s="1392" t="s">
        <v>809</v>
      </c>
      <c r="IPU97" s="1392" t="s">
        <v>809</v>
      </c>
      <c r="IPV97" s="1392" t="s">
        <v>809</v>
      </c>
      <c r="IPW97" s="1392" t="s">
        <v>809</v>
      </c>
      <c r="IPX97" s="1392" t="s">
        <v>809</v>
      </c>
      <c r="IPY97" s="1392" t="s">
        <v>809</v>
      </c>
      <c r="IPZ97" s="1392" t="s">
        <v>809</v>
      </c>
      <c r="IQA97" s="1392" t="s">
        <v>809</v>
      </c>
      <c r="IQB97" s="1392" t="s">
        <v>809</v>
      </c>
      <c r="IQC97" s="1392" t="s">
        <v>809</v>
      </c>
      <c r="IQD97" s="1392" t="s">
        <v>809</v>
      </c>
      <c r="IQE97" s="1392" t="s">
        <v>809</v>
      </c>
      <c r="IQF97" s="1392" t="s">
        <v>809</v>
      </c>
      <c r="IQG97" s="1392" t="s">
        <v>809</v>
      </c>
      <c r="IQH97" s="1392" t="s">
        <v>809</v>
      </c>
      <c r="IQI97" s="1392" t="s">
        <v>809</v>
      </c>
      <c r="IQJ97" s="1392" t="s">
        <v>809</v>
      </c>
      <c r="IQK97" s="1392" t="s">
        <v>809</v>
      </c>
      <c r="IQL97" s="1392" t="s">
        <v>809</v>
      </c>
      <c r="IQM97" s="1392" t="s">
        <v>809</v>
      </c>
      <c r="IQN97" s="1392" t="s">
        <v>809</v>
      </c>
      <c r="IQO97" s="1392" t="s">
        <v>809</v>
      </c>
      <c r="IQP97" s="1392" t="s">
        <v>809</v>
      </c>
      <c r="IQQ97" s="1392" t="s">
        <v>809</v>
      </c>
      <c r="IQR97" s="1392" t="s">
        <v>809</v>
      </c>
      <c r="IQS97" s="1392" t="s">
        <v>809</v>
      </c>
      <c r="IQT97" s="1392" t="s">
        <v>809</v>
      </c>
      <c r="IQU97" s="1392" t="s">
        <v>809</v>
      </c>
      <c r="IQV97" s="1392" t="s">
        <v>809</v>
      </c>
      <c r="IQW97" s="1392" t="s">
        <v>809</v>
      </c>
      <c r="IQX97" s="1392" t="s">
        <v>809</v>
      </c>
      <c r="IQY97" s="1392" t="s">
        <v>809</v>
      </c>
      <c r="IQZ97" s="1392" t="s">
        <v>809</v>
      </c>
      <c r="IRA97" s="1392" t="s">
        <v>809</v>
      </c>
      <c r="IRB97" s="1392" t="s">
        <v>809</v>
      </c>
      <c r="IRC97" s="1392" t="s">
        <v>809</v>
      </c>
      <c r="IRD97" s="1392" t="s">
        <v>809</v>
      </c>
      <c r="IRE97" s="1392" t="s">
        <v>809</v>
      </c>
      <c r="IRF97" s="1392" t="s">
        <v>809</v>
      </c>
      <c r="IRG97" s="1392" t="s">
        <v>809</v>
      </c>
      <c r="IRH97" s="1392" t="s">
        <v>809</v>
      </c>
      <c r="IRI97" s="1392" t="s">
        <v>809</v>
      </c>
      <c r="IRJ97" s="1392" t="s">
        <v>809</v>
      </c>
      <c r="IRK97" s="1392" t="s">
        <v>809</v>
      </c>
      <c r="IRL97" s="1392" t="s">
        <v>809</v>
      </c>
      <c r="IRM97" s="1392" t="s">
        <v>809</v>
      </c>
      <c r="IRN97" s="1392" t="s">
        <v>809</v>
      </c>
      <c r="IRO97" s="1392" t="s">
        <v>809</v>
      </c>
      <c r="IRP97" s="1392" t="s">
        <v>809</v>
      </c>
      <c r="IRQ97" s="1392" t="s">
        <v>809</v>
      </c>
      <c r="IRR97" s="1392" t="s">
        <v>809</v>
      </c>
      <c r="IRS97" s="1392" t="s">
        <v>809</v>
      </c>
      <c r="IRT97" s="1392" t="s">
        <v>809</v>
      </c>
      <c r="IRU97" s="1392" t="s">
        <v>809</v>
      </c>
      <c r="IRV97" s="1392" t="s">
        <v>809</v>
      </c>
      <c r="IRW97" s="1392" t="s">
        <v>809</v>
      </c>
      <c r="IRX97" s="1392" t="s">
        <v>809</v>
      </c>
      <c r="IRY97" s="1392" t="s">
        <v>809</v>
      </c>
      <c r="IRZ97" s="1392" t="s">
        <v>809</v>
      </c>
      <c r="ISA97" s="1392" t="s">
        <v>809</v>
      </c>
      <c r="ISB97" s="1392" t="s">
        <v>809</v>
      </c>
      <c r="ISC97" s="1392" t="s">
        <v>809</v>
      </c>
      <c r="ISD97" s="1392" t="s">
        <v>809</v>
      </c>
      <c r="ISE97" s="1392" t="s">
        <v>809</v>
      </c>
      <c r="ISF97" s="1392" t="s">
        <v>809</v>
      </c>
      <c r="ISG97" s="1392" t="s">
        <v>809</v>
      </c>
      <c r="ISH97" s="1392" t="s">
        <v>809</v>
      </c>
      <c r="ISI97" s="1392" t="s">
        <v>809</v>
      </c>
      <c r="ISJ97" s="1392" t="s">
        <v>809</v>
      </c>
      <c r="ISK97" s="1392" t="s">
        <v>809</v>
      </c>
      <c r="ISL97" s="1392" t="s">
        <v>809</v>
      </c>
      <c r="ISM97" s="1392" t="s">
        <v>809</v>
      </c>
      <c r="ISN97" s="1392" t="s">
        <v>809</v>
      </c>
      <c r="ISO97" s="1392" t="s">
        <v>809</v>
      </c>
      <c r="ISP97" s="1392" t="s">
        <v>809</v>
      </c>
      <c r="ISQ97" s="1392" t="s">
        <v>809</v>
      </c>
      <c r="ISR97" s="1392" t="s">
        <v>809</v>
      </c>
      <c r="ISS97" s="1392" t="s">
        <v>809</v>
      </c>
      <c r="IST97" s="1392" t="s">
        <v>809</v>
      </c>
      <c r="ISU97" s="1392" t="s">
        <v>809</v>
      </c>
      <c r="ISV97" s="1392" t="s">
        <v>809</v>
      </c>
      <c r="ISW97" s="1392" t="s">
        <v>809</v>
      </c>
      <c r="ISX97" s="1392" t="s">
        <v>809</v>
      </c>
      <c r="ISY97" s="1392" t="s">
        <v>809</v>
      </c>
      <c r="ISZ97" s="1392" t="s">
        <v>809</v>
      </c>
      <c r="ITA97" s="1392" t="s">
        <v>809</v>
      </c>
      <c r="ITB97" s="1392" t="s">
        <v>809</v>
      </c>
      <c r="ITC97" s="1392" t="s">
        <v>809</v>
      </c>
      <c r="ITD97" s="1392" t="s">
        <v>809</v>
      </c>
      <c r="ITE97" s="1392" t="s">
        <v>809</v>
      </c>
      <c r="ITF97" s="1392" t="s">
        <v>809</v>
      </c>
      <c r="ITG97" s="1392" t="s">
        <v>809</v>
      </c>
      <c r="ITH97" s="1392" t="s">
        <v>809</v>
      </c>
      <c r="ITI97" s="1392" t="s">
        <v>809</v>
      </c>
      <c r="ITJ97" s="1392" t="s">
        <v>809</v>
      </c>
      <c r="ITK97" s="1392" t="s">
        <v>809</v>
      </c>
      <c r="ITL97" s="1392" t="s">
        <v>809</v>
      </c>
      <c r="ITM97" s="1392" t="s">
        <v>809</v>
      </c>
      <c r="ITN97" s="1392" t="s">
        <v>809</v>
      </c>
      <c r="ITO97" s="1392" t="s">
        <v>809</v>
      </c>
      <c r="ITP97" s="1392" t="s">
        <v>809</v>
      </c>
      <c r="ITQ97" s="1392" t="s">
        <v>809</v>
      </c>
      <c r="ITR97" s="1392" t="s">
        <v>809</v>
      </c>
      <c r="ITS97" s="1392" t="s">
        <v>809</v>
      </c>
      <c r="ITT97" s="1392" t="s">
        <v>809</v>
      </c>
      <c r="ITU97" s="1392" t="s">
        <v>809</v>
      </c>
      <c r="ITV97" s="1392" t="s">
        <v>809</v>
      </c>
      <c r="ITW97" s="1392" t="s">
        <v>809</v>
      </c>
      <c r="ITX97" s="1392" t="s">
        <v>809</v>
      </c>
      <c r="ITY97" s="1392" t="s">
        <v>809</v>
      </c>
      <c r="ITZ97" s="1392" t="s">
        <v>809</v>
      </c>
      <c r="IUA97" s="1392" t="s">
        <v>809</v>
      </c>
      <c r="IUB97" s="1392" t="s">
        <v>809</v>
      </c>
      <c r="IUC97" s="1392" t="s">
        <v>809</v>
      </c>
      <c r="IUD97" s="1392" t="s">
        <v>809</v>
      </c>
      <c r="IUE97" s="1392" t="s">
        <v>809</v>
      </c>
      <c r="IUF97" s="1392" t="s">
        <v>809</v>
      </c>
      <c r="IUG97" s="1392" t="s">
        <v>809</v>
      </c>
      <c r="IUH97" s="1392" t="s">
        <v>809</v>
      </c>
      <c r="IUI97" s="1392" t="s">
        <v>809</v>
      </c>
      <c r="IUJ97" s="1392" t="s">
        <v>809</v>
      </c>
      <c r="IUK97" s="1392" t="s">
        <v>809</v>
      </c>
      <c r="IUL97" s="1392" t="s">
        <v>809</v>
      </c>
      <c r="IUM97" s="1392" t="s">
        <v>809</v>
      </c>
      <c r="IUN97" s="1392" t="s">
        <v>809</v>
      </c>
      <c r="IUO97" s="1392" t="s">
        <v>809</v>
      </c>
      <c r="IUP97" s="1392" t="s">
        <v>809</v>
      </c>
      <c r="IUQ97" s="1392" t="s">
        <v>809</v>
      </c>
      <c r="IUR97" s="1392" t="s">
        <v>809</v>
      </c>
      <c r="IUS97" s="1392" t="s">
        <v>809</v>
      </c>
      <c r="IUT97" s="1392" t="s">
        <v>809</v>
      </c>
      <c r="IUU97" s="1392" t="s">
        <v>809</v>
      </c>
      <c r="IUV97" s="1392" t="s">
        <v>809</v>
      </c>
      <c r="IUW97" s="1392" t="s">
        <v>809</v>
      </c>
      <c r="IUX97" s="1392" t="s">
        <v>809</v>
      </c>
      <c r="IUY97" s="1392" t="s">
        <v>809</v>
      </c>
      <c r="IUZ97" s="1392" t="s">
        <v>809</v>
      </c>
      <c r="IVA97" s="1392" t="s">
        <v>809</v>
      </c>
      <c r="IVB97" s="1392" t="s">
        <v>809</v>
      </c>
      <c r="IVC97" s="1392" t="s">
        <v>809</v>
      </c>
      <c r="IVD97" s="1392" t="s">
        <v>809</v>
      </c>
      <c r="IVE97" s="1392" t="s">
        <v>809</v>
      </c>
      <c r="IVF97" s="1392" t="s">
        <v>809</v>
      </c>
      <c r="IVG97" s="1392" t="s">
        <v>809</v>
      </c>
      <c r="IVH97" s="1392" t="s">
        <v>809</v>
      </c>
      <c r="IVI97" s="1392" t="s">
        <v>809</v>
      </c>
      <c r="IVJ97" s="1392" t="s">
        <v>809</v>
      </c>
      <c r="IVK97" s="1392" t="s">
        <v>809</v>
      </c>
      <c r="IVL97" s="1392" t="s">
        <v>809</v>
      </c>
      <c r="IVM97" s="1392" t="s">
        <v>809</v>
      </c>
      <c r="IVN97" s="1392" t="s">
        <v>809</v>
      </c>
      <c r="IVO97" s="1392" t="s">
        <v>809</v>
      </c>
      <c r="IVP97" s="1392" t="s">
        <v>809</v>
      </c>
      <c r="IVQ97" s="1392" t="s">
        <v>809</v>
      </c>
      <c r="IVR97" s="1392" t="s">
        <v>809</v>
      </c>
      <c r="IVS97" s="1392" t="s">
        <v>809</v>
      </c>
      <c r="IVT97" s="1392" t="s">
        <v>809</v>
      </c>
      <c r="IVU97" s="1392" t="s">
        <v>809</v>
      </c>
      <c r="IVV97" s="1392" t="s">
        <v>809</v>
      </c>
      <c r="IVW97" s="1392" t="s">
        <v>809</v>
      </c>
      <c r="IVX97" s="1392" t="s">
        <v>809</v>
      </c>
      <c r="IVY97" s="1392" t="s">
        <v>809</v>
      </c>
      <c r="IVZ97" s="1392" t="s">
        <v>809</v>
      </c>
      <c r="IWA97" s="1392" t="s">
        <v>809</v>
      </c>
      <c r="IWB97" s="1392" t="s">
        <v>809</v>
      </c>
      <c r="IWC97" s="1392" t="s">
        <v>809</v>
      </c>
      <c r="IWD97" s="1392" t="s">
        <v>809</v>
      </c>
      <c r="IWE97" s="1392" t="s">
        <v>809</v>
      </c>
      <c r="IWF97" s="1392" t="s">
        <v>809</v>
      </c>
      <c r="IWG97" s="1392" t="s">
        <v>809</v>
      </c>
      <c r="IWH97" s="1392" t="s">
        <v>809</v>
      </c>
      <c r="IWI97" s="1392" t="s">
        <v>809</v>
      </c>
      <c r="IWJ97" s="1392" t="s">
        <v>809</v>
      </c>
      <c r="IWK97" s="1392" t="s">
        <v>809</v>
      </c>
      <c r="IWL97" s="1392" t="s">
        <v>809</v>
      </c>
      <c r="IWM97" s="1392" t="s">
        <v>809</v>
      </c>
      <c r="IWN97" s="1392" t="s">
        <v>809</v>
      </c>
      <c r="IWO97" s="1392" t="s">
        <v>809</v>
      </c>
      <c r="IWP97" s="1392" t="s">
        <v>809</v>
      </c>
      <c r="IWQ97" s="1392" t="s">
        <v>809</v>
      </c>
      <c r="IWR97" s="1392" t="s">
        <v>809</v>
      </c>
      <c r="IWS97" s="1392" t="s">
        <v>809</v>
      </c>
      <c r="IWT97" s="1392" t="s">
        <v>809</v>
      </c>
      <c r="IWU97" s="1392" t="s">
        <v>809</v>
      </c>
      <c r="IWV97" s="1392" t="s">
        <v>809</v>
      </c>
      <c r="IWW97" s="1392" t="s">
        <v>809</v>
      </c>
      <c r="IWX97" s="1392" t="s">
        <v>809</v>
      </c>
      <c r="IWY97" s="1392" t="s">
        <v>809</v>
      </c>
      <c r="IWZ97" s="1392" t="s">
        <v>809</v>
      </c>
      <c r="IXA97" s="1392" t="s">
        <v>809</v>
      </c>
      <c r="IXB97" s="1392" t="s">
        <v>809</v>
      </c>
      <c r="IXC97" s="1392" t="s">
        <v>809</v>
      </c>
      <c r="IXD97" s="1392" t="s">
        <v>809</v>
      </c>
      <c r="IXE97" s="1392" t="s">
        <v>809</v>
      </c>
      <c r="IXF97" s="1392" t="s">
        <v>809</v>
      </c>
      <c r="IXG97" s="1392" t="s">
        <v>809</v>
      </c>
      <c r="IXH97" s="1392" t="s">
        <v>809</v>
      </c>
      <c r="IXI97" s="1392" t="s">
        <v>809</v>
      </c>
      <c r="IXJ97" s="1392" t="s">
        <v>809</v>
      </c>
      <c r="IXK97" s="1392" t="s">
        <v>809</v>
      </c>
      <c r="IXL97" s="1392" t="s">
        <v>809</v>
      </c>
      <c r="IXM97" s="1392" t="s">
        <v>809</v>
      </c>
      <c r="IXN97" s="1392" t="s">
        <v>809</v>
      </c>
      <c r="IXO97" s="1392" t="s">
        <v>809</v>
      </c>
      <c r="IXP97" s="1392" t="s">
        <v>809</v>
      </c>
      <c r="IXQ97" s="1392" t="s">
        <v>809</v>
      </c>
      <c r="IXR97" s="1392" t="s">
        <v>809</v>
      </c>
      <c r="IXS97" s="1392" t="s">
        <v>809</v>
      </c>
      <c r="IXT97" s="1392" t="s">
        <v>809</v>
      </c>
      <c r="IXU97" s="1392" t="s">
        <v>809</v>
      </c>
      <c r="IXV97" s="1392" t="s">
        <v>809</v>
      </c>
      <c r="IXW97" s="1392" t="s">
        <v>809</v>
      </c>
      <c r="IXX97" s="1392" t="s">
        <v>809</v>
      </c>
      <c r="IXY97" s="1392" t="s">
        <v>809</v>
      </c>
      <c r="IXZ97" s="1392" t="s">
        <v>809</v>
      </c>
      <c r="IYA97" s="1392" t="s">
        <v>809</v>
      </c>
      <c r="IYB97" s="1392" t="s">
        <v>809</v>
      </c>
      <c r="IYC97" s="1392" t="s">
        <v>809</v>
      </c>
      <c r="IYD97" s="1392" t="s">
        <v>809</v>
      </c>
      <c r="IYE97" s="1392" t="s">
        <v>809</v>
      </c>
      <c r="IYF97" s="1392" t="s">
        <v>809</v>
      </c>
      <c r="IYG97" s="1392" t="s">
        <v>809</v>
      </c>
      <c r="IYH97" s="1392" t="s">
        <v>809</v>
      </c>
      <c r="IYI97" s="1392" t="s">
        <v>809</v>
      </c>
      <c r="IYJ97" s="1392" t="s">
        <v>809</v>
      </c>
      <c r="IYK97" s="1392" t="s">
        <v>809</v>
      </c>
      <c r="IYL97" s="1392" t="s">
        <v>809</v>
      </c>
      <c r="IYM97" s="1392" t="s">
        <v>809</v>
      </c>
      <c r="IYN97" s="1392" t="s">
        <v>809</v>
      </c>
      <c r="IYO97" s="1392" t="s">
        <v>809</v>
      </c>
      <c r="IYP97" s="1392" t="s">
        <v>809</v>
      </c>
      <c r="IYQ97" s="1392" t="s">
        <v>809</v>
      </c>
      <c r="IYR97" s="1392" t="s">
        <v>809</v>
      </c>
      <c r="IYS97" s="1392" t="s">
        <v>809</v>
      </c>
      <c r="IYT97" s="1392" t="s">
        <v>809</v>
      </c>
      <c r="IYU97" s="1392" t="s">
        <v>809</v>
      </c>
      <c r="IYV97" s="1392" t="s">
        <v>809</v>
      </c>
      <c r="IYW97" s="1392" t="s">
        <v>809</v>
      </c>
      <c r="IYX97" s="1392" t="s">
        <v>809</v>
      </c>
      <c r="IYY97" s="1392" t="s">
        <v>809</v>
      </c>
      <c r="IYZ97" s="1392" t="s">
        <v>809</v>
      </c>
      <c r="IZA97" s="1392" t="s">
        <v>809</v>
      </c>
      <c r="IZB97" s="1392" t="s">
        <v>809</v>
      </c>
      <c r="IZC97" s="1392" t="s">
        <v>809</v>
      </c>
      <c r="IZD97" s="1392" t="s">
        <v>809</v>
      </c>
      <c r="IZE97" s="1392" t="s">
        <v>809</v>
      </c>
      <c r="IZF97" s="1392" t="s">
        <v>809</v>
      </c>
      <c r="IZG97" s="1392" t="s">
        <v>809</v>
      </c>
      <c r="IZH97" s="1392" t="s">
        <v>809</v>
      </c>
      <c r="IZI97" s="1392" t="s">
        <v>809</v>
      </c>
      <c r="IZJ97" s="1392" t="s">
        <v>809</v>
      </c>
      <c r="IZK97" s="1392" t="s">
        <v>809</v>
      </c>
      <c r="IZL97" s="1392" t="s">
        <v>809</v>
      </c>
      <c r="IZM97" s="1392" t="s">
        <v>809</v>
      </c>
      <c r="IZN97" s="1392" t="s">
        <v>809</v>
      </c>
      <c r="IZO97" s="1392" t="s">
        <v>809</v>
      </c>
      <c r="IZP97" s="1392" t="s">
        <v>809</v>
      </c>
      <c r="IZQ97" s="1392" t="s">
        <v>809</v>
      </c>
      <c r="IZR97" s="1392" t="s">
        <v>809</v>
      </c>
      <c r="IZS97" s="1392" t="s">
        <v>809</v>
      </c>
      <c r="IZT97" s="1392" t="s">
        <v>809</v>
      </c>
      <c r="IZU97" s="1392" t="s">
        <v>809</v>
      </c>
      <c r="IZV97" s="1392" t="s">
        <v>809</v>
      </c>
      <c r="IZW97" s="1392" t="s">
        <v>809</v>
      </c>
      <c r="IZX97" s="1392" t="s">
        <v>809</v>
      </c>
      <c r="IZY97" s="1392" t="s">
        <v>809</v>
      </c>
      <c r="IZZ97" s="1392" t="s">
        <v>809</v>
      </c>
      <c r="JAA97" s="1392" t="s">
        <v>809</v>
      </c>
      <c r="JAB97" s="1392" t="s">
        <v>809</v>
      </c>
      <c r="JAC97" s="1392" t="s">
        <v>809</v>
      </c>
      <c r="JAD97" s="1392" t="s">
        <v>809</v>
      </c>
      <c r="JAE97" s="1392" t="s">
        <v>809</v>
      </c>
      <c r="JAF97" s="1392" t="s">
        <v>809</v>
      </c>
      <c r="JAG97" s="1392" t="s">
        <v>809</v>
      </c>
      <c r="JAH97" s="1392" t="s">
        <v>809</v>
      </c>
      <c r="JAI97" s="1392" t="s">
        <v>809</v>
      </c>
      <c r="JAJ97" s="1392" t="s">
        <v>809</v>
      </c>
      <c r="JAK97" s="1392" t="s">
        <v>809</v>
      </c>
      <c r="JAL97" s="1392" t="s">
        <v>809</v>
      </c>
      <c r="JAM97" s="1392" t="s">
        <v>809</v>
      </c>
      <c r="JAN97" s="1392" t="s">
        <v>809</v>
      </c>
      <c r="JAO97" s="1392" t="s">
        <v>809</v>
      </c>
      <c r="JAP97" s="1392" t="s">
        <v>809</v>
      </c>
      <c r="JAQ97" s="1392" t="s">
        <v>809</v>
      </c>
      <c r="JAR97" s="1392" t="s">
        <v>809</v>
      </c>
      <c r="JAS97" s="1392" t="s">
        <v>809</v>
      </c>
      <c r="JAT97" s="1392" t="s">
        <v>809</v>
      </c>
      <c r="JAU97" s="1392" t="s">
        <v>809</v>
      </c>
      <c r="JAV97" s="1392" t="s">
        <v>809</v>
      </c>
      <c r="JAW97" s="1392" t="s">
        <v>809</v>
      </c>
      <c r="JAX97" s="1392" t="s">
        <v>809</v>
      </c>
      <c r="JAY97" s="1392" t="s">
        <v>809</v>
      </c>
      <c r="JAZ97" s="1392" t="s">
        <v>809</v>
      </c>
      <c r="JBA97" s="1392" t="s">
        <v>809</v>
      </c>
      <c r="JBB97" s="1392" t="s">
        <v>809</v>
      </c>
      <c r="JBC97" s="1392" t="s">
        <v>809</v>
      </c>
      <c r="JBD97" s="1392" t="s">
        <v>809</v>
      </c>
      <c r="JBE97" s="1392" t="s">
        <v>809</v>
      </c>
      <c r="JBF97" s="1392" t="s">
        <v>809</v>
      </c>
      <c r="JBG97" s="1392" t="s">
        <v>809</v>
      </c>
      <c r="JBH97" s="1392" t="s">
        <v>809</v>
      </c>
      <c r="JBI97" s="1392" t="s">
        <v>809</v>
      </c>
      <c r="JBJ97" s="1392" t="s">
        <v>809</v>
      </c>
      <c r="JBK97" s="1392" t="s">
        <v>809</v>
      </c>
      <c r="JBL97" s="1392" t="s">
        <v>809</v>
      </c>
      <c r="JBM97" s="1392" t="s">
        <v>809</v>
      </c>
      <c r="JBN97" s="1392" t="s">
        <v>809</v>
      </c>
      <c r="JBO97" s="1392" t="s">
        <v>809</v>
      </c>
      <c r="JBP97" s="1392" t="s">
        <v>809</v>
      </c>
      <c r="JBQ97" s="1392" t="s">
        <v>809</v>
      </c>
      <c r="JBR97" s="1392" t="s">
        <v>809</v>
      </c>
      <c r="JBS97" s="1392" t="s">
        <v>809</v>
      </c>
      <c r="JBT97" s="1392" t="s">
        <v>809</v>
      </c>
      <c r="JBU97" s="1392" t="s">
        <v>809</v>
      </c>
      <c r="JBV97" s="1392" t="s">
        <v>809</v>
      </c>
      <c r="JBW97" s="1392" t="s">
        <v>809</v>
      </c>
      <c r="JBX97" s="1392" t="s">
        <v>809</v>
      </c>
      <c r="JBY97" s="1392" t="s">
        <v>809</v>
      </c>
      <c r="JBZ97" s="1392" t="s">
        <v>809</v>
      </c>
      <c r="JCA97" s="1392" t="s">
        <v>809</v>
      </c>
      <c r="JCB97" s="1392" t="s">
        <v>809</v>
      </c>
      <c r="JCC97" s="1392" t="s">
        <v>809</v>
      </c>
      <c r="JCD97" s="1392" t="s">
        <v>809</v>
      </c>
      <c r="JCE97" s="1392" t="s">
        <v>809</v>
      </c>
      <c r="JCF97" s="1392" t="s">
        <v>809</v>
      </c>
      <c r="JCG97" s="1392" t="s">
        <v>809</v>
      </c>
      <c r="JCH97" s="1392" t="s">
        <v>809</v>
      </c>
      <c r="JCI97" s="1392" t="s">
        <v>809</v>
      </c>
      <c r="JCJ97" s="1392" t="s">
        <v>809</v>
      </c>
      <c r="JCK97" s="1392" t="s">
        <v>809</v>
      </c>
      <c r="JCL97" s="1392" t="s">
        <v>809</v>
      </c>
      <c r="JCM97" s="1392" t="s">
        <v>809</v>
      </c>
      <c r="JCN97" s="1392" t="s">
        <v>809</v>
      </c>
      <c r="JCO97" s="1392" t="s">
        <v>809</v>
      </c>
      <c r="JCP97" s="1392" t="s">
        <v>809</v>
      </c>
      <c r="JCQ97" s="1392" t="s">
        <v>809</v>
      </c>
      <c r="JCR97" s="1392" t="s">
        <v>809</v>
      </c>
      <c r="JCS97" s="1392" t="s">
        <v>809</v>
      </c>
      <c r="JCT97" s="1392" t="s">
        <v>809</v>
      </c>
      <c r="JCU97" s="1392" t="s">
        <v>809</v>
      </c>
      <c r="JCV97" s="1392" t="s">
        <v>809</v>
      </c>
      <c r="JCW97" s="1392" t="s">
        <v>809</v>
      </c>
      <c r="JCX97" s="1392" t="s">
        <v>809</v>
      </c>
      <c r="JCY97" s="1392" t="s">
        <v>809</v>
      </c>
      <c r="JCZ97" s="1392" t="s">
        <v>809</v>
      </c>
      <c r="JDA97" s="1392" t="s">
        <v>809</v>
      </c>
      <c r="JDB97" s="1392" t="s">
        <v>809</v>
      </c>
      <c r="JDC97" s="1392" t="s">
        <v>809</v>
      </c>
      <c r="JDD97" s="1392" t="s">
        <v>809</v>
      </c>
      <c r="JDE97" s="1392" t="s">
        <v>809</v>
      </c>
      <c r="JDF97" s="1392" t="s">
        <v>809</v>
      </c>
      <c r="JDG97" s="1392" t="s">
        <v>809</v>
      </c>
      <c r="JDH97" s="1392" t="s">
        <v>809</v>
      </c>
      <c r="JDI97" s="1392" t="s">
        <v>809</v>
      </c>
      <c r="JDJ97" s="1392" t="s">
        <v>809</v>
      </c>
      <c r="JDK97" s="1392" t="s">
        <v>809</v>
      </c>
      <c r="JDL97" s="1392" t="s">
        <v>809</v>
      </c>
      <c r="JDM97" s="1392" t="s">
        <v>809</v>
      </c>
      <c r="JDN97" s="1392" t="s">
        <v>809</v>
      </c>
      <c r="JDO97" s="1392" t="s">
        <v>809</v>
      </c>
      <c r="JDP97" s="1392" t="s">
        <v>809</v>
      </c>
      <c r="JDQ97" s="1392" t="s">
        <v>809</v>
      </c>
      <c r="JDR97" s="1392" t="s">
        <v>809</v>
      </c>
      <c r="JDS97" s="1392" t="s">
        <v>809</v>
      </c>
      <c r="JDT97" s="1392" t="s">
        <v>809</v>
      </c>
      <c r="JDU97" s="1392" t="s">
        <v>809</v>
      </c>
      <c r="JDV97" s="1392" t="s">
        <v>809</v>
      </c>
      <c r="JDW97" s="1392" t="s">
        <v>809</v>
      </c>
      <c r="JDX97" s="1392" t="s">
        <v>809</v>
      </c>
      <c r="JDY97" s="1392" t="s">
        <v>809</v>
      </c>
      <c r="JDZ97" s="1392" t="s">
        <v>809</v>
      </c>
      <c r="JEA97" s="1392" t="s">
        <v>809</v>
      </c>
      <c r="JEB97" s="1392" t="s">
        <v>809</v>
      </c>
      <c r="JEC97" s="1392" t="s">
        <v>809</v>
      </c>
      <c r="JED97" s="1392" t="s">
        <v>809</v>
      </c>
      <c r="JEE97" s="1392" t="s">
        <v>809</v>
      </c>
      <c r="JEF97" s="1392" t="s">
        <v>809</v>
      </c>
      <c r="JEG97" s="1392" t="s">
        <v>809</v>
      </c>
      <c r="JEH97" s="1392" t="s">
        <v>809</v>
      </c>
      <c r="JEI97" s="1392" t="s">
        <v>809</v>
      </c>
      <c r="JEJ97" s="1392" t="s">
        <v>809</v>
      </c>
      <c r="JEK97" s="1392" t="s">
        <v>809</v>
      </c>
      <c r="JEL97" s="1392" t="s">
        <v>809</v>
      </c>
      <c r="JEM97" s="1392" t="s">
        <v>809</v>
      </c>
      <c r="JEN97" s="1392" t="s">
        <v>809</v>
      </c>
      <c r="JEO97" s="1392" t="s">
        <v>809</v>
      </c>
      <c r="JEP97" s="1392" t="s">
        <v>809</v>
      </c>
      <c r="JEQ97" s="1392" t="s">
        <v>809</v>
      </c>
      <c r="JER97" s="1392" t="s">
        <v>809</v>
      </c>
      <c r="JES97" s="1392" t="s">
        <v>809</v>
      </c>
      <c r="JET97" s="1392" t="s">
        <v>809</v>
      </c>
      <c r="JEU97" s="1392" t="s">
        <v>809</v>
      </c>
      <c r="JEV97" s="1392" t="s">
        <v>809</v>
      </c>
      <c r="JEW97" s="1392" t="s">
        <v>809</v>
      </c>
      <c r="JEX97" s="1392" t="s">
        <v>809</v>
      </c>
      <c r="JEY97" s="1392" t="s">
        <v>809</v>
      </c>
      <c r="JEZ97" s="1392" t="s">
        <v>809</v>
      </c>
      <c r="JFA97" s="1392" t="s">
        <v>809</v>
      </c>
      <c r="JFB97" s="1392" t="s">
        <v>809</v>
      </c>
      <c r="JFC97" s="1392" t="s">
        <v>809</v>
      </c>
      <c r="JFD97" s="1392" t="s">
        <v>809</v>
      </c>
      <c r="JFE97" s="1392" t="s">
        <v>809</v>
      </c>
      <c r="JFF97" s="1392" t="s">
        <v>809</v>
      </c>
      <c r="JFG97" s="1392" t="s">
        <v>809</v>
      </c>
      <c r="JFH97" s="1392" t="s">
        <v>809</v>
      </c>
      <c r="JFI97" s="1392" t="s">
        <v>809</v>
      </c>
      <c r="JFJ97" s="1392" t="s">
        <v>809</v>
      </c>
      <c r="JFK97" s="1392" t="s">
        <v>809</v>
      </c>
      <c r="JFL97" s="1392" t="s">
        <v>809</v>
      </c>
      <c r="JFM97" s="1392" t="s">
        <v>809</v>
      </c>
      <c r="JFN97" s="1392" t="s">
        <v>809</v>
      </c>
      <c r="JFO97" s="1392" t="s">
        <v>809</v>
      </c>
      <c r="JFP97" s="1392" t="s">
        <v>809</v>
      </c>
      <c r="JFQ97" s="1392" t="s">
        <v>809</v>
      </c>
      <c r="JFR97" s="1392" t="s">
        <v>809</v>
      </c>
      <c r="JFS97" s="1392" t="s">
        <v>809</v>
      </c>
      <c r="JFT97" s="1392" t="s">
        <v>809</v>
      </c>
      <c r="JFU97" s="1392" t="s">
        <v>809</v>
      </c>
      <c r="JFV97" s="1392" t="s">
        <v>809</v>
      </c>
      <c r="JFW97" s="1392" t="s">
        <v>809</v>
      </c>
      <c r="JFX97" s="1392" t="s">
        <v>809</v>
      </c>
      <c r="JFY97" s="1392" t="s">
        <v>809</v>
      </c>
      <c r="JFZ97" s="1392" t="s">
        <v>809</v>
      </c>
      <c r="JGA97" s="1392" t="s">
        <v>809</v>
      </c>
      <c r="JGB97" s="1392" t="s">
        <v>809</v>
      </c>
      <c r="JGC97" s="1392" t="s">
        <v>809</v>
      </c>
      <c r="JGD97" s="1392" t="s">
        <v>809</v>
      </c>
      <c r="JGE97" s="1392" t="s">
        <v>809</v>
      </c>
      <c r="JGF97" s="1392" t="s">
        <v>809</v>
      </c>
      <c r="JGG97" s="1392" t="s">
        <v>809</v>
      </c>
      <c r="JGH97" s="1392" t="s">
        <v>809</v>
      </c>
      <c r="JGI97" s="1392" t="s">
        <v>809</v>
      </c>
      <c r="JGJ97" s="1392" t="s">
        <v>809</v>
      </c>
      <c r="JGK97" s="1392" t="s">
        <v>809</v>
      </c>
      <c r="JGL97" s="1392" t="s">
        <v>809</v>
      </c>
      <c r="JGM97" s="1392" t="s">
        <v>809</v>
      </c>
      <c r="JGN97" s="1392" t="s">
        <v>809</v>
      </c>
      <c r="JGO97" s="1392" t="s">
        <v>809</v>
      </c>
      <c r="JGP97" s="1392" t="s">
        <v>809</v>
      </c>
      <c r="JGQ97" s="1392" t="s">
        <v>809</v>
      </c>
      <c r="JGR97" s="1392" t="s">
        <v>809</v>
      </c>
      <c r="JGS97" s="1392" t="s">
        <v>809</v>
      </c>
      <c r="JGT97" s="1392" t="s">
        <v>809</v>
      </c>
      <c r="JGU97" s="1392" t="s">
        <v>809</v>
      </c>
      <c r="JGV97" s="1392" t="s">
        <v>809</v>
      </c>
      <c r="JGW97" s="1392" t="s">
        <v>809</v>
      </c>
      <c r="JGX97" s="1392" t="s">
        <v>809</v>
      </c>
      <c r="JGY97" s="1392" t="s">
        <v>809</v>
      </c>
      <c r="JGZ97" s="1392" t="s">
        <v>809</v>
      </c>
      <c r="JHA97" s="1392" t="s">
        <v>809</v>
      </c>
      <c r="JHB97" s="1392" t="s">
        <v>809</v>
      </c>
      <c r="JHC97" s="1392" t="s">
        <v>809</v>
      </c>
      <c r="JHD97" s="1392" t="s">
        <v>809</v>
      </c>
      <c r="JHE97" s="1392" t="s">
        <v>809</v>
      </c>
      <c r="JHF97" s="1392" t="s">
        <v>809</v>
      </c>
      <c r="JHG97" s="1392" t="s">
        <v>809</v>
      </c>
      <c r="JHH97" s="1392" t="s">
        <v>809</v>
      </c>
      <c r="JHI97" s="1392" t="s">
        <v>809</v>
      </c>
      <c r="JHJ97" s="1392" t="s">
        <v>809</v>
      </c>
      <c r="JHK97" s="1392" t="s">
        <v>809</v>
      </c>
      <c r="JHL97" s="1392" t="s">
        <v>809</v>
      </c>
      <c r="JHM97" s="1392" t="s">
        <v>809</v>
      </c>
      <c r="JHN97" s="1392" t="s">
        <v>809</v>
      </c>
      <c r="JHO97" s="1392" t="s">
        <v>809</v>
      </c>
      <c r="JHP97" s="1392" t="s">
        <v>809</v>
      </c>
      <c r="JHQ97" s="1392" t="s">
        <v>809</v>
      </c>
      <c r="JHR97" s="1392" t="s">
        <v>809</v>
      </c>
      <c r="JHS97" s="1392" t="s">
        <v>809</v>
      </c>
      <c r="JHT97" s="1392" t="s">
        <v>809</v>
      </c>
      <c r="JHU97" s="1392" t="s">
        <v>809</v>
      </c>
      <c r="JHV97" s="1392" t="s">
        <v>809</v>
      </c>
      <c r="JHW97" s="1392" t="s">
        <v>809</v>
      </c>
      <c r="JHX97" s="1392" t="s">
        <v>809</v>
      </c>
      <c r="JHY97" s="1392" t="s">
        <v>809</v>
      </c>
      <c r="JHZ97" s="1392" t="s">
        <v>809</v>
      </c>
      <c r="JIA97" s="1392" t="s">
        <v>809</v>
      </c>
      <c r="JIB97" s="1392" t="s">
        <v>809</v>
      </c>
      <c r="JIC97" s="1392" t="s">
        <v>809</v>
      </c>
      <c r="JID97" s="1392" t="s">
        <v>809</v>
      </c>
      <c r="JIE97" s="1392" t="s">
        <v>809</v>
      </c>
      <c r="JIF97" s="1392" t="s">
        <v>809</v>
      </c>
      <c r="JIG97" s="1392" t="s">
        <v>809</v>
      </c>
      <c r="JIH97" s="1392" t="s">
        <v>809</v>
      </c>
      <c r="JII97" s="1392" t="s">
        <v>809</v>
      </c>
      <c r="JIJ97" s="1392" t="s">
        <v>809</v>
      </c>
      <c r="JIK97" s="1392" t="s">
        <v>809</v>
      </c>
      <c r="JIL97" s="1392" t="s">
        <v>809</v>
      </c>
      <c r="JIM97" s="1392" t="s">
        <v>809</v>
      </c>
      <c r="JIN97" s="1392" t="s">
        <v>809</v>
      </c>
      <c r="JIO97" s="1392" t="s">
        <v>809</v>
      </c>
      <c r="JIP97" s="1392" t="s">
        <v>809</v>
      </c>
      <c r="JIQ97" s="1392" t="s">
        <v>809</v>
      </c>
      <c r="JIR97" s="1392" t="s">
        <v>809</v>
      </c>
      <c r="JIS97" s="1392" t="s">
        <v>809</v>
      </c>
      <c r="JIT97" s="1392" t="s">
        <v>809</v>
      </c>
      <c r="JIU97" s="1392" t="s">
        <v>809</v>
      </c>
      <c r="JIV97" s="1392" t="s">
        <v>809</v>
      </c>
      <c r="JIW97" s="1392" t="s">
        <v>809</v>
      </c>
      <c r="JIX97" s="1392" t="s">
        <v>809</v>
      </c>
      <c r="JIY97" s="1392" t="s">
        <v>809</v>
      </c>
      <c r="JIZ97" s="1392" t="s">
        <v>809</v>
      </c>
      <c r="JJA97" s="1392" t="s">
        <v>809</v>
      </c>
      <c r="JJB97" s="1392" t="s">
        <v>809</v>
      </c>
      <c r="JJC97" s="1392" t="s">
        <v>809</v>
      </c>
      <c r="JJD97" s="1392" t="s">
        <v>809</v>
      </c>
      <c r="JJE97" s="1392" t="s">
        <v>809</v>
      </c>
      <c r="JJF97" s="1392" t="s">
        <v>809</v>
      </c>
      <c r="JJG97" s="1392" t="s">
        <v>809</v>
      </c>
      <c r="JJH97" s="1392" t="s">
        <v>809</v>
      </c>
      <c r="JJI97" s="1392" t="s">
        <v>809</v>
      </c>
      <c r="JJJ97" s="1392" t="s">
        <v>809</v>
      </c>
      <c r="JJK97" s="1392" t="s">
        <v>809</v>
      </c>
      <c r="JJL97" s="1392" t="s">
        <v>809</v>
      </c>
      <c r="JJM97" s="1392" t="s">
        <v>809</v>
      </c>
      <c r="JJN97" s="1392" t="s">
        <v>809</v>
      </c>
      <c r="JJO97" s="1392" t="s">
        <v>809</v>
      </c>
      <c r="JJP97" s="1392" t="s">
        <v>809</v>
      </c>
      <c r="JJQ97" s="1392" t="s">
        <v>809</v>
      </c>
      <c r="JJR97" s="1392" t="s">
        <v>809</v>
      </c>
      <c r="JJS97" s="1392" t="s">
        <v>809</v>
      </c>
      <c r="JJT97" s="1392" t="s">
        <v>809</v>
      </c>
      <c r="JJU97" s="1392" t="s">
        <v>809</v>
      </c>
      <c r="JJV97" s="1392" t="s">
        <v>809</v>
      </c>
      <c r="JJW97" s="1392" t="s">
        <v>809</v>
      </c>
      <c r="JJX97" s="1392" t="s">
        <v>809</v>
      </c>
      <c r="JJY97" s="1392" t="s">
        <v>809</v>
      </c>
      <c r="JJZ97" s="1392" t="s">
        <v>809</v>
      </c>
      <c r="JKA97" s="1392" t="s">
        <v>809</v>
      </c>
      <c r="JKB97" s="1392" t="s">
        <v>809</v>
      </c>
      <c r="JKC97" s="1392" t="s">
        <v>809</v>
      </c>
      <c r="JKD97" s="1392" t="s">
        <v>809</v>
      </c>
      <c r="JKE97" s="1392" t="s">
        <v>809</v>
      </c>
      <c r="JKF97" s="1392" t="s">
        <v>809</v>
      </c>
      <c r="JKG97" s="1392" t="s">
        <v>809</v>
      </c>
      <c r="JKH97" s="1392" t="s">
        <v>809</v>
      </c>
      <c r="JKI97" s="1392" t="s">
        <v>809</v>
      </c>
      <c r="JKJ97" s="1392" t="s">
        <v>809</v>
      </c>
      <c r="JKK97" s="1392" t="s">
        <v>809</v>
      </c>
      <c r="JKL97" s="1392" t="s">
        <v>809</v>
      </c>
      <c r="JKM97" s="1392" t="s">
        <v>809</v>
      </c>
      <c r="JKN97" s="1392" t="s">
        <v>809</v>
      </c>
      <c r="JKO97" s="1392" t="s">
        <v>809</v>
      </c>
      <c r="JKP97" s="1392" t="s">
        <v>809</v>
      </c>
      <c r="JKQ97" s="1392" t="s">
        <v>809</v>
      </c>
      <c r="JKR97" s="1392" t="s">
        <v>809</v>
      </c>
      <c r="JKS97" s="1392" t="s">
        <v>809</v>
      </c>
      <c r="JKT97" s="1392" t="s">
        <v>809</v>
      </c>
      <c r="JKU97" s="1392" t="s">
        <v>809</v>
      </c>
      <c r="JKV97" s="1392" t="s">
        <v>809</v>
      </c>
      <c r="JKW97" s="1392" t="s">
        <v>809</v>
      </c>
      <c r="JKX97" s="1392" t="s">
        <v>809</v>
      </c>
      <c r="JKY97" s="1392" t="s">
        <v>809</v>
      </c>
      <c r="JKZ97" s="1392" t="s">
        <v>809</v>
      </c>
      <c r="JLA97" s="1392" t="s">
        <v>809</v>
      </c>
      <c r="JLB97" s="1392" t="s">
        <v>809</v>
      </c>
      <c r="JLC97" s="1392" t="s">
        <v>809</v>
      </c>
      <c r="JLD97" s="1392" t="s">
        <v>809</v>
      </c>
      <c r="JLE97" s="1392" t="s">
        <v>809</v>
      </c>
      <c r="JLF97" s="1392" t="s">
        <v>809</v>
      </c>
      <c r="JLG97" s="1392" t="s">
        <v>809</v>
      </c>
      <c r="JLH97" s="1392" t="s">
        <v>809</v>
      </c>
      <c r="JLI97" s="1392" t="s">
        <v>809</v>
      </c>
      <c r="JLJ97" s="1392" t="s">
        <v>809</v>
      </c>
      <c r="JLK97" s="1392" t="s">
        <v>809</v>
      </c>
      <c r="JLL97" s="1392" t="s">
        <v>809</v>
      </c>
      <c r="JLM97" s="1392" t="s">
        <v>809</v>
      </c>
      <c r="JLN97" s="1392" t="s">
        <v>809</v>
      </c>
      <c r="JLO97" s="1392" t="s">
        <v>809</v>
      </c>
      <c r="JLP97" s="1392" t="s">
        <v>809</v>
      </c>
      <c r="JLQ97" s="1392" t="s">
        <v>809</v>
      </c>
      <c r="JLR97" s="1392" t="s">
        <v>809</v>
      </c>
      <c r="JLS97" s="1392" t="s">
        <v>809</v>
      </c>
      <c r="JLT97" s="1392" t="s">
        <v>809</v>
      </c>
      <c r="JLU97" s="1392" t="s">
        <v>809</v>
      </c>
      <c r="JLV97" s="1392" t="s">
        <v>809</v>
      </c>
      <c r="JLW97" s="1392" t="s">
        <v>809</v>
      </c>
      <c r="JLX97" s="1392" t="s">
        <v>809</v>
      </c>
      <c r="JLY97" s="1392" t="s">
        <v>809</v>
      </c>
      <c r="JLZ97" s="1392" t="s">
        <v>809</v>
      </c>
      <c r="JMA97" s="1392" t="s">
        <v>809</v>
      </c>
      <c r="JMB97" s="1392" t="s">
        <v>809</v>
      </c>
      <c r="JMC97" s="1392" t="s">
        <v>809</v>
      </c>
      <c r="JMD97" s="1392" t="s">
        <v>809</v>
      </c>
      <c r="JME97" s="1392" t="s">
        <v>809</v>
      </c>
      <c r="JMF97" s="1392" t="s">
        <v>809</v>
      </c>
      <c r="JMG97" s="1392" t="s">
        <v>809</v>
      </c>
      <c r="JMH97" s="1392" t="s">
        <v>809</v>
      </c>
      <c r="JMI97" s="1392" t="s">
        <v>809</v>
      </c>
      <c r="JMJ97" s="1392" t="s">
        <v>809</v>
      </c>
      <c r="JMK97" s="1392" t="s">
        <v>809</v>
      </c>
      <c r="JML97" s="1392" t="s">
        <v>809</v>
      </c>
      <c r="JMM97" s="1392" t="s">
        <v>809</v>
      </c>
      <c r="JMN97" s="1392" t="s">
        <v>809</v>
      </c>
      <c r="JMO97" s="1392" t="s">
        <v>809</v>
      </c>
      <c r="JMP97" s="1392" t="s">
        <v>809</v>
      </c>
      <c r="JMQ97" s="1392" t="s">
        <v>809</v>
      </c>
      <c r="JMR97" s="1392" t="s">
        <v>809</v>
      </c>
      <c r="JMS97" s="1392" t="s">
        <v>809</v>
      </c>
      <c r="JMT97" s="1392" t="s">
        <v>809</v>
      </c>
      <c r="JMU97" s="1392" t="s">
        <v>809</v>
      </c>
      <c r="JMV97" s="1392" t="s">
        <v>809</v>
      </c>
      <c r="JMW97" s="1392" t="s">
        <v>809</v>
      </c>
      <c r="JMX97" s="1392" t="s">
        <v>809</v>
      </c>
      <c r="JMY97" s="1392" t="s">
        <v>809</v>
      </c>
      <c r="JMZ97" s="1392" t="s">
        <v>809</v>
      </c>
      <c r="JNA97" s="1392" t="s">
        <v>809</v>
      </c>
      <c r="JNB97" s="1392" t="s">
        <v>809</v>
      </c>
      <c r="JNC97" s="1392" t="s">
        <v>809</v>
      </c>
      <c r="JND97" s="1392" t="s">
        <v>809</v>
      </c>
      <c r="JNE97" s="1392" t="s">
        <v>809</v>
      </c>
      <c r="JNF97" s="1392" t="s">
        <v>809</v>
      </c>
      <c r="JNG97" s="1392" t="s">
        <v>809</v>
      </c>
      <c r="JNH97" s="1392" t="s">
        <v>809</v>
      </c>
      <c r="JNI97" s="1392" t="s">
        <v>809</v>
      </c>
      <c r="JNJ97" s="1392" t="s">
        <v>809</v>
      </c>
      <c r="JNK97" s="1392" t="s">
        <v>809</v>
      </c>
      <c r="JNL97" s="1392" t="s">
        <v>809</v>
      </c>
      <c r="JNM97" s="1392" t="s">
        <v>809</v>
      </c>
      <c r="JNN97" s="1392" t="s">
        <v>809</v>
      </c>
      <c r="JNO97" s="1392" t="s">
        <v>809</v>
      </c>
      <c r="JNP97" s="1392" t="s">
        <v>809</v>
      </c>
      <c r="JNQ97" s="1392" t="s">
        <v>809</v>
      </c>
      <c r="JNR97" s="1392" t="s">
        <v>809</v>
      </c>
      <c r="JNS97" s="1392" t="s">
        <v>809</v>
      </c>
      <c r="JNT97" s="1392" t="s">
        <v>809</v>
      </c>
      <c r="JNU97" s="1392" t="s">
        <v>809</v>
      </c>
      <c r="JNV97" s="1392" t="s">
        <v>809</v>
      </c>
      <c r="JNW97" s="1392" t="s">
        <v>809</v>
      </c>
      <c r="JNX97" s="1392" t="s">
        <v>809</v>
      </c>
      <c r="JNY97" s="1392" t="s">
        <v>809</v>
      </c>
      <c r="JNZ97" s="1392" t="s">
        <v>809</v>
      </c>
      <c r="JOA97" s="1392" t="s">
        <v>809</v>
      </c>
      <c r="JOB97" s="1392" t="s">
        <v>809</v>
      </c>
      <c r="JOC97" s="1392" t="s">
        <v>809</v>
      </c>
      <c r="JOD97" s="1392" t="s">
        <v>809</v>
      </c>
      <c r="JOE97" s="1392" t="s">
        <v>809</v>
      </c>
      <c r="JOF97" s="1392" t="s">
        <v>809</v>
      </c>
      <c r="JOG97" s="1392" t="s">
        <v>809</v>
      </c>
      <c r="JOH97" s="1392" t="s">
        <v>809</v>
      </c>
      <c r="JOI97" s="1392" t="s">
        <v>809</v>
      </c>
      <c r="JOJ97" s="1392" t="s">
        <v>809</v>
      </c>
      <c r="JOK97" s="1392" t="s">
        <v>809</v>
      </c>
      <c r="JOL97" s="1392" t="s">
        <v>809</v>
      </c>
      <c r="JOM97" s="1392" t="s">
        <v>809</v>
      </c>
      <c r="JON97" s="1392" t="s">
        <v>809</v>
      </c>
      <c r="JOO97" s="1392" t="s">
        <v>809</v>
      </c>
      <c r="JOP97" s="1392" t="s">
        <v>809</v>
      </c>
      <c r="JOQ97" s="1392" t="s">
        <v>809</v>
      </c>
      <c r="JOR97" s="1392" t="s">
        <v>809</v>
      </c>
      <c r="JOS97" s="1392" t="s">
        <v>809</v>
      </c>
      <c r="JOT97" s="1392" t="s">
        <v>809</v>
      </c>
      <c r="JOU97" s="1392" t="s">
        <v>809</v>
      </c>
      <c r="JOV97" s="1392" t="s">
        <v>809</v>
      </c>
      <c r="JOW97" s="1392" t="s">
        <v>809</v>
      </c>
      <c r="JOX97" s="1392" t="s">
        <v>809</v>
      </c>
      <c r="JOY97" s="1392" t="s">
        <v>809</v>
      </c>
      <c r="JOZ97" s="1392" t="s">
        <v>809</v>
      </c>
      <c r="JPA97" s="1392" t="s">
        <v>809</v>
      </c>
      <c r="JPB97" s="1392" t="s">
        <v>809</v>
      </c>
      <c r="JPC97" s="1392" t="s">
        <v>809</v>
      </c>
      <c r="JPD97" s="1392" t="s">
        <v>809</v>
      </c>
      <c r="JPE97" s="1392" t="s">
        <v>809</v>
      </c>
      <c r="JPF97" s="1392" t="s">
        <v>809</v>
      </c>
      <c r="JPG97" s="1392" t="s">
        <v>809</v>
      </c>
      <c r="JPH97" s="1392" t="s">
        <v>809</v>
      </c>
      <c r="JPI97" s="1392" t="s">
        <v>809</v>
      </c>
      <c r="JPJ97" s="1392" t="s">
        <v>809</v>
      </c>
      <c r="JPK97" s="1392" t="s">
        <v>809</v>
      </c>
      <c r="JPL97" s="1392" t="s">
        <v>809</v>
      </c>
      <c r="JPM97" s="1392" t="s">
        <v>809</v>
      </c>
      <c r="JPN97" s="1392" t="s">
        <v>809</v>
      </c>
      <c r="JPO97" s="1392" t="s">
        <v>809</v>
      </c>
      <c r="JPP97" s="1392" t="s">
        <v>809</v>
      </c>
      <c r="JPQ97" s="1392" t="s">
        <v>809</v>
      </c>
      <c r="JPR97" s="1392" t="s">
        <v>809</v>
      </c>
      <c r="JPS97" s="1392" t="s">
        <v>809</v>
      </c>
      <c r="JPT97" s="1392" t="s">
        <v>809</v>
      </c>
      <c r="JPU97" s="1392" t="s">
        <v>809</v>
      </c>
      <c r="JPV97" s="1392" t="s">
        <v>809</v>
      </c>
      <c r="JPW97" s="1392" t="s">
        <v>809</v>
      </c>
      <c r="JPX97" s="1392" t="s">
        <v>809</v>
      </c>
      <c r="JPY97" s="1392" t="s">
        <v>809</v>
      </c>
      <c r="JPZ97" s="1392" t="s">
        <v>809</v>
      </c>
      <c r="JQA97" s="1392" t="s">
        <v>809</v>
      </c>
      <c r="JQB97" s="1392" t="s">
        <v>809</v>
      </c>
      <c r="JQC97" s="1392" t="s">
        <v>809</v>
      </c>
      <c r="JQD97" s="1392" t="s">
        <v>809</v>
      </c>
      <c r="JQE97" s="1392" t="s">
        <v>809</v>
      </c>
      <c r="JQF97" s="1392" t="s">
        <v>809</v>
      </c>
      <c r="JQG97" s="1392" t="s">
        <v>809</v>
      </c>
      <c r="JQH97" s="1392" t="s">
        <v>809</v>
      </c>
      <c r="JQI97" s="1392" t="s">
        <v>809</v>
      </c>
      <c r="JQJ97" s="1392" t="s">
        <v>809</v>
      </c>
      <c r="JQK97" s="1392" t="s">
        <v>809</v>
      </c>
      <c r="JQL97" s="1392" t="s">
        <v>809</v>
      </c>
      <c r="JQM97" s="1392" t="s">
        <v>809</v>
      </c>
      <c r="JQN97" s="1392" t="s">
        <v>809</v>
      </c>
      <c r="JQO97" s="1392" t="s">
        <v>809</v>
      </c>
      <c r="JQP97" s="1392" t="s">
        <v>809</v>
      </c>
      <c r="JQQ97" s="1392" t="s">
        <v>809</v>
      </c>
      <c r="JQR97" s="1392" t="s">
        <v>809</v>
      </c>
      <c r="JQS97" s="1392" t="s">
        <v>809</v>
      </c>
      <c r="JQT97" s="1392" t="s">
        <v>809</v>
      </c>
      <c r="JQU97" s="1392" t="s">
        <v>809</v>
      </c>
      <c r="JQV97" s="1392" t="s">
        <v>809</v>
      </c>
      <c r="JQW97" s="1392" t="s">
        <v>809</v>
      </c>
      <c r="JQX97" s="1392" t="s">
        <v>809</v>
      </c>
      <c r="JQY97" s="1392" t="s">
        <v>809</v>
      </c>
      <c r="JQZ97" s="1392" t="s">
        <v>809</v>
      </c>
      <c r="JRA97" s="1392" t="s">
        <v>809</v>
      </c>
      <c r="JRB97" s="1392" t="s">
        <v>809</v>
      </c>
      <c r="JRC97" s="1392" t="s">
        <v>809</v>
      </c>
      <c r="JRD97" s="1392" t="s">
        <v>809</v>
      </c>
      <c r="JRE97" s="1392" t="s">
        <v>809</v>
      </c>
      <c r="JRF97" s="1392" t="s">
        <v>809</v>
      </c>
      <c r="JRG97" s="1392" t="s">
        <v>809</v>
      </c>
      <c r="JRH97" s="1392" t="s">
        <v>809</v>
      </c>
      <c r="JRI97" s="1392" t="s">
        <v>809</v>
      </c>
      <c r="JRJ97" s="1392" t="s">
        <v>809</v>
      </c>
      <c r="JRK97" s="1392" t="s">
        <v>809</v>
      </c>
      <c r="JRL97" s="1392" t="s">
        <v>809</v>
      </c>
      <c r="JRM97" s="1392" t="s">
        <v>809</v>
      </c>
      <c r="JRN97" s="1392" t="s">
        <v>809</v>
      </c>
      <c r="JRO97" s="1392" t="s">
        <v>809</v>
      </c>
      <c r="JRP97" s="1392" t="s">
        <v>809</v>
      </c>
      <c r="JRQ97" s="1392" t="s">
        <v>809</v>
      </c>
      <c r="JRR97" s="1392" t="s">
        <v>809</v>
      </c>
      <c r="JRS97" s="1392" t="s">
        <v>809</v>
      </c>
      <c r="JRT97" s="1392" t="s">
        <v>809</v>
      </c>
      <c r="JRU97" s="1392" t="s">
        <v>809</v>
      </c>
      <c r="JRV97" s="1392" t="s">
        <v>809</v>
      </c>
      <c r="JRW97" s="1392" t="s">
        <v>809</v>
      </c>
      <c r="JRX97" s="1392" t="s">
        <v>809</v>
      </c>
      <c r="JRY97" s="1392" t="s">
        <v>809</v>
      </c>
      <c r="JRZ97" s="1392" t="s">
        <v>809</v>
      </c>
      <c r="JSA97" s="1392" t="s">
        <v>809</v>
      </c>
      <c r="JSB97" s="1392" t="s">
        <v>809</v>
      </c>
      <c r="JSC97" s="1392" t="s">
        <v>809</v>
      </c>
      <c r="JSD97" s="1392" t="s">
        <v>809</v>
      </c>
      <c r="JSE97" s="1392" t="s">
        <v>809</v>
      </c>
      <c r="JSF97" s="1392" t="s">
        <v>809</v>
      </c>
      <c r="JSG97" s="1392" t="s">
        <v>809</v>
      </c>
      <c r="JSH97" s="1392" t="s">
        <v>809</v>
      </c>
      <c r="JSI97" s="1392" t="s">
        <v>809</v>
      </c>
      <c r="JSJ97" s="1392" t="s">
        <v>809</v>
      </c>
      <c r="JSK97" s="1392" t="s">
        <v>809</v>
      </c>
      <c r="JSL97" s="1392" t="s">
        <v>809</v>
      </c>
      <c r="JSM97" s="1392" t="s">
        <v>809</v>
      </c>
      <c r="JSN97" s="1392" t="s">
        <v>809</v>
      </c>
      <c r="JSO97" s="1392" t="s">
        <v>809</v>
      </c>
      <c r="JSP97" s="1392" t="s">
        <v>809</v>
      </c>
      <c r="JSQ97" s="1392" t="s">
        <v>809</v>
      </c>
      <c r="JSR97" s="1392" t="s">
        <v>809</v>
      </c>
      <c r="JSS97" s="1392" t="s">
        <v>809</v>
      </c>
      <c r="JST97" s="1392" t="s">
        <v>809</v>
      </c>
      <c r="JSU97" s="1392" t="s">
        <v>809</v>
      </c>
      <c r="JSV97" s="1392" t="s">
        <v>809</v>
      </c>
      <c r="JSW97" s="1392" t="s">
        <v>809</v>
      </c>
      <c r="JSX97" s="1392" t="s">
        <v>809</v>
      </c>
      <c r="JSY97" s="1392" t="s">
        <v>809</v>
      </c>
      <c r="JSZ97" s="1392" t="s">
        <v>809</v>
      </c>
      <c r="JTA97" s="1392" t="s">
        <v>809</v>
      </c>
      <c r="JTB97" s="1392" t="s">
        <v>809</v>
      </c>
      <c r="JTC97" s="1392" t="s">
        <v>809</v>
      </c>
      <c r="JTD97" s="1392" t="s">
        <v>809</v>
      </c>
      <c r="JTE97" s="1392" t="s">
        <v>809</v>
      </c>
      <c r="JTF97" s="1392" t="s">
        <v>809</v>
      </c>
      <c r="JTG97" s="1392" t="s">
        <v>809</v>
      </c>
      <c r="JTH97" s="1392" t="s">
        <v>809</v>
      </c>
      <c r="JTI97" s="1392" t="s">
        <v>809</v>
      </c>
      <c r="JTJ97" s="1392" t="s">
        <v>809</v>
      </c>
      <c r="JTK97" s="1392" t="s">
        <v>809</v>
      </c>
      <c r="JTL97" s="1392" t="s">
        <v>809</v>
      </c>
      <c r="JTM97" s="1392" t="s">
        <v>809</v>
      </c>
      <c r="JTN97" s="1392" t="s">
        <v>809</v>
      </c>
      <c r="JTO97" s="1392" t="s">
        <v>809</v>
      </c>
      <c r="JTP97" s="1392" t="s">
        <v>809</v>
      </c>
      <c r="JTQ97" s="1392" t="s">
        <v>809</v>
      </c>
      <c r="JTR97" s="1392" t="s">
        <v>809</v>
      </c>
      <c r="JTS97" s="1392" t="s">
        <v>809</v>
      </c>
      <c r="JTT97" s="1392" t="s">
        <v>809</v>
      </c>
      <c r="JTU97" s="1392" t="s">
        <v>809</v>
      </c>
      <c r="JTV97" s="1392" t="s">
        <v>809</v>
      </c>
      <c r="JTW97" s="1392" t="s">
        <v>809</v>
      </c>
      <c r="JTX97" s="1392" t="s">
        <v>809</v>
      </c>
      <c r="JTY97" s="1392" t="s">
        <v>809</v>
      </c>
      <c r="JTZ97" s="1392" t="s">
        <v>809</v>
      </c>
      <c r="JUA97" s="1392" t="s">
        <v>809</v>
      </c>
      <c r="JUB97" s="1392" t="s">
        <v>809</v>
      </c>
      <c r="JUC97" s="1392" t="s">
        <v>809</v>
      </c>
      <c r="JUD97" s="1392" t="s">
        <v>809</v>
      </c>
      <c r="JUE97" s="1392" t="s">
        <v>809</v>
      </c>
      <c r="JUF97" s="1392" t="s">
        <v>809</v>
      </c>
      <c r="JUG97" s="1392" t="s">
        <v>809</v>
      </c>
      <c r="JUH97" s="1392" t="s">
        <v>809</v>
      </c>
      <c r="JUI97" s="1392" t="s">
        <v>809</v>
      </c>
      <c r="JUJ97" s="1392" t="s">
        <v>809</v>
      </c>
      <c r="JUK97" s="1392" t="s">
        <v>809</v>
      </c>
      <c r="JUL97" s="1392" t="s">
        <v>809</v>
      </c>
      <c r="JUM97" s="1392" t="s">
        <v>809</v>
      </c>
      <c r="JUN97" s="1392" t="s">
        <v>809</v>
      </c>
      <c r="JUO97" s="1392" t="s">
        <v>809</v>
      </c>
      <c r="JUP97" s="1392" t="s">
        <v>809</v>
      </c>
      <c r="JUQ97" s="1392" t="s">
        <v>809</v>
      </c>
      <c r="JUR97" s="1392" t="s">
        <v>809</v>
      </c>
      <c r="JUS97" s="1392" t="s">
        <v>809</v>
      </c>
      <c r="JUT97" s="1392" t="s">
        <v>809</v>
      </c>
      <c r="JUU97" s="1392" t="s">
        <v>809</v>
      </c>
      <c r="JUV97" s="1392" t="s">
        <v>809</v>
      </c>
      <c r="JUW97" s="1392" t="s">
        <v>809</v>
      </c>
      <c r="JUX97" s="1392" t="s">
        <v>809</v>
      </c>
      <c r="JUY97" s="1392" t="s">
        <v>809</v>
      </c>
      <c r="JUZ97" s="1392" t="s">
        <v>809</v>
      </c>
      <c r="JVA97" s="1392" t="s">
        <v>809</v>
      </c>
      <c r="JVB97" s="1392" t="s">
        <v>809</v>
      </c>
      <c r="JVC97" s="1392" t="s">
        <v>809</v>
      </c>
      <c r="JVD97" s="1392" t="s">
        <v>809</v>
      </c>
      <c r="JVE97" s="1392" t="s">
        <v>809</v>
      </c>
      <c r="JVF97" s="1392" t="s">
        <v>809</v>
      </c>
      <c r="JVG97" s="1392" t="s">
        <v>809</v>
      </c>
      <c r="JVH97" s="1392" t="s">
        <v>809</v>
      </c>
      <c r="JVI97" s="1392" t="s">
        <v>809</v>
      </c>
      <c r="JVJ97" s="1392" t="s">
        <v>809</v>
      </c>
      <c r="JVK97" s="1392" t="s">
        <v>809</v>
      </c>
      <c r="JVL97" s="1392" t="s">
        <v>809</v>
      </c>
      <c r="JVM97" s="1392" t="s">
        <v>809</v>
      </c>
      <c r="JVN97" s="1392" t="s">
        <v>809</v>
      </c>
      <c r="JVO97" s="1392" t="s">
        <v>809</v>
      </c>
      <c r="JVP97" s="1392" t="s">
        <v>809</v>
      </c>
      <c r="JVQ97" s="1392" t="s">
        <v>809</v>
      </c>
      <c r="JVR97" s="1392" t="s">
        <v>809</v>
      </c>
      <c r="JVS97" s="1392" t="s">
        <v>809</v>
      </c>
      <c r="JVT97" s="1392" t="s">
        <v>809</v>
      </c>
      <c r="JVU97" s="1392" t="s">
        <v>809</v>
      </c>
      <c r="JVV97" s="1392" t="s">
        <v>809</v>
      </c>
      <c r="JVW97" s="1392" t="s">
        <v>809</v>
      </c>
      <c r="JVX97" s="1392" t="s">
        <v>809</v>
      </c>
      <c r="JVY97" s="1392" t="s">
        <v>809</v>
      </c>
      <c r="JVZ97" s="1392" t="s">
        <v>809</v>
      </c>
      <c r="JWA97" s="1392" t="s">
        <v>809</v>
      </c>
      <c r="JWB97" s="1392" t="s">
        <v>809</v>
      </c>
      <c r="JWC97" s="1392" t="s">
        <v>809</v>
      </c>
      <c r="JWD97" s="1392" t="s">
        <v>809</v>
      </c>
      <c r="JWE97" s="1392" t="s">
        <v>809</v>
      </c>
      <c r="JWF97" s="1392" t="s">
        <v>809</v>
      </c>
      <c r="JWG97" s="1392" t="s">
        <v>809</v>
      </c>
      <c r="JWH97" s="1392" t="s">
        <v>809</v>
      </c>
      <c r="JWI97" s="1392" t="s">
        <v>809</v>
      </c>
      <c r="JWJ97" s="1392" t="s">
        <v>809</v>
      </c>
      <c r="JWK97" s="1392" t="s">
        <v>809</v>
      </c>
      <c r="JWL97" s="1392" t="s">
        <v>809</v>
      </c>
      <c r="JWM97" s="1392" t="s">
        <v>809</v>
      </c>
      <c r="JWN97" s="1392" t="s">
        <v>809</v>
      </c>
      <c r="JWO97" s="1392" t="s">
        <v>809</v>
      </c>
      <c r="JWP97" s="1392" t="s">
        <v>809</v>
      </c>
      <c r="JWQ97" s="1392" t="s">
        <v>809</v>
      </c>
      <c r="JWR97" s="1392" t="s">
        <v>809</v>
      </c>
      <c r="JWS97" s="1392" t="s">
        <v>809</v>
      </c>
      <c r="JWT97" s="1392" t="s">
        <v>809</v>
      </c>
      <c r="JWU97" s="1392" t="s">
        <v>809</v>
      </c>
      <c r="JWV97" s="1392" t="s">
        <v>809</v>
      </c>
      <c r="JWW97" s="1392" t="s">
        <v>809</v>
      </c>
      <c r="JWX97" s="1392" t="s">
        <v>809</v>
      </c>
      <c r="JWY97" s="1392" t="s">
        <v>809</v>
      </c>
      <c r="JWZ97" s="1392" t="s">
        <v>809</v>
      </c>
      <c r="JXA97" s="1392" t="s">
        <v>809</v>
      </c>
      <c r="JXB97" s="1392" t="s">
        <v>809</v>
      </c>
      <c r="JXC97" s="1392" t="s">
        <v>809</v>
      </c>
      <c r="JXD97" s="1392" t="s">
        <v>809</v>
      </c>
      <c r="JXE97" s="1392" t="s">
        <v>809</v>
      </c>
      <c r="JXF97" s="1392" t="s">
        <v>809</v>
      </c>
      <c r="JXG97" s="1392" t="s">
        <v>809</v>
      </c>
      <c r="JXH97" s="1392" t="s">
        <v>809</v>
      </c>
      <c r="JXI97" s="1392" t="s">
        <v>809</v>
      </c>
      <c r="JXJ97" s="1392" t="s">
        <v>809</v>
      </c>
      <c r="JXK97" s="1392" t="s">
        <v>809</v>
      </c>
      <c r="JXL97" s="1392" t="s">
        <v>809</v>
      </c>
      <c r="JXM97" s="1392" t="s">
        <v>809</v>
      </c>
      <c r="JXN97" s="1392" t="s">
        <v>809</v>
      </c>
      <c r="JXO97" s="1392" t="s">
        <v>809</v>
      </c>
      <c r="JXP97" s="1392" t="s">
        <v>809</v>
      </c>
      <c r="JXQ97" s="1392" t="s">
        <v>809</v>
      </c>
      <c r="JXR97" s="1392" t="s">
        <v>809</v>
      </c>
      <c r="JXS97" s="1392" t="s">
        <v>809</v>
      </c>
      <c r="JXT97" s="1392" t="s">
        <v>809</v>
      </c>
      <c r="JXU97" s="1392" t="s">
        <v>809</v>
      </c>
      <c r="JXV97" s="1392" t="s">
        <v>809</v>
      </c>
      <c r="JXW97" s="1392" t="s">
        <v>809</v>
      </c>
      <c r="JXX97" s="1392" t="s">
        <v>809</v>
      </c>
      <c r="JXY97" s="1392" t="s">
        <v>809</v>
      </c>
      <c r="JXZ97" s="1392" t="s">
        <v>809</v>
      </c>
      <c r="JYA97" s="1392" t="s">
        <v>809</v>
      </c>
      <c r="JYB97" s="1392" t="s">
        <v>809</v>
      </c>
      <c r="JYC97" s="1392" t="s">
        <v>809</v>
      </c>
      <c r="JYD97" s="1392" t="s">
        <v>809</v>
      </c>
      <c r="JYE97" s="1392" t="s">
        <v>809</v>
      </c>
      <c r="JYF97" s="1392" t="s">
        <v>809</v>
      </c>
      <c r="JYG97" s="1392" t="s">
        <v>809</v>
      </c>
      <c r="JYH97" s="1392" t="s">
        <v>809</v>
      </c>
      <c r="JYI97" s="1392" t="s">
        <v>809</v>
      </c>
      <c r="JYJ97" s="1392" t="s">
        <v>809</v>
      </c>
      <c r="JYK97" s="1392" t="s">
        <v>809</v>
      </c>
      <c r="JYL97" s="1392" t="s">
        <v>809</v>
      </c>
      <c r="JYM97" s="1392" t="s">
        <v>809</v>
      </c>
      <c r="JYN97" s="1392" t="s">
        <v>809</v>
      </c>
      <c r="JYO97" s="1392" t="s">
        <v>809</v>
      </c>
      <c r="JYP97" s="1392" t="s">
        <v>809</v>
      </c>
      <c r="JYQ97" s="1392" t="s">
        <v>809</v>
      </c>
      <c r="JYR97" s="1392" t="s">
        <v>809</v>
      </c>
      <c r="JYS97" s="1392" t="s">
        <v>809</v>
      </c>
      <c r="JYT97" s="1392" t="s">
        <v>809</v>
      </c>
      <c r="JYU97" s="1392" t="s">
        <v>809</v>
      </c>
      <c r="JYV97" s="1392" t="s">
        <v>809</v>
      </c>
      <c r="JYW97" s="1392" t="s">
        <v>809</v>
      </c>
      <c r="JYX97" s="1392" t="s">
        <v>809</v>
      </c>
      <c r="JYY97" s="1392" t="s">
        <v>809</v>
      </c>
      <c r="JYZ97" s="1392" t="s">
        <v>809</v>
      </c>
      <c r="JZA97" s="1392" t="s">
        <v>809</v>
      </c>
      <c r="JZB97" s="1392" t="s">
        <v>809</v>
      </c>
      <c r="JZC97" s="1392" t="s">
        <v>809</v>
      </c>
      <c r="JZD97" s="1392" t="s">
        <v>809</v>
      </c>
      <c r="JZE97" s="1392" t="s">
        <v>809</v>
      </c>
      <c r="JZF97" s="1392" t="s">
        <v>809</v>
      </c>
      <c r="JZG97" s="1392" t="s">
        <v>809</v>
      </c>
      <c r="JZH97" s="1392" t="s">
        <v>809</v>
      </c>
      <c r="JZI97" s="1392" t="s">
        <v>809</v>
      </c>
      <c r="JZJ97" s="1392" t="s">
        <v>809</v>
      </c>
      <c r="JZK97" s="1392" t="s">
        <v>809</v>
      </c>
      <c r="JZL97" s="1392" t="s">
        <v>809</v>
      </c>
      <c r="JZM97" s="1392" t="s">
        <v>809</v>
      </c>
      <c r="JZN97" s="1392" t="s">
        <v>809</v>
      </c>
      <c r="JZO97" s="1392" t="s">
        <v>809</v>
      </c>
      <c r="JZP97" s="1392" t="s">
        <v>809</v>
      </c>
      <c r="JZQ97" s="1392" t="s">
        <v>809</v>
      </c>
      <c r="JZR97" s="1392" t="s">
        <v>809</v>
      </c>
      <c r="JZS97" s="1392" t="s">
        <v>809</v>
      </c>
      <c r="JZT97" s="1392" t="s">
        <v>809</v>
      </c>
      <c r="JZU97" s="1392" t="s">
        <v>809</v>
      </c>
      <c r="JZV97" s="1392" t="s">
        <v>809</v>
      </c>
      <c r="JZW97" s="1392" t="s">
        <v>809</v>
      </c>
      <c r="JZX97" s="1392" t="s">
        <v>809</v>
      </c>
      <c r="JZY97" s="1392" t="s">
        <v>809</v>
      </c>
      <c r="JZZ97" s="1392" t="s">
        <v>809</v>
      </c>
      <c r="KAA97" s="1392" t="s">
        <v>809</v>
      </c>
      <c r="KAB97" s="1392" t="s">
        <v>809</v>
      </c>
      <c r="KAC97" s="1392" t="s">
        <v>809</v>
      </c>
      <c r="KAD97" s="1392" t="s">
        <v>809</v>
      </c>
      <c r="KAE97" s="1392" t="s">
        <v>809</v>
      </c>
      <c r="KAF97" s="1392" t="s">
        <v>809</v>
      </c>
      <c r="KAG97" s="1392" t="s">
        <v>809</v>
      </c>
      <c r="KAH97" s="1392" t="s">
        <v>809</v>
      </c>
      <c r="KAI97" s="1392" t="s">
        <v>809</v>
      </c>
      <c r="KAJ97" s="1392" t="s">
        <v>809</v>
      </c>
      <c r="KAK97" s="1392" t="s">
        <v>809</v>
      </c>
      <c r="KAL97" s="1392" t="s">
        <v>809</v>
      </c>
      <c r="KAM97" s="1392" t="s">
        <v>809</v>
      </c>
      <c r="KAN97" s="1392" t="s">
        <v>809</v>
      </c>
      <c r="KAO97" s="1392" t="s">
        <v>809</v>
      </c>
      <c r="KAP97" s="1392" t="s">
        <v>809</v>
      </c>
      <c r="KAQ97" s="1392" t="s">
        <v>809</v>
      </c>
      <c r="KAR97" s="1392" t="s">
        <v>809</v>
      </c>
      <c r="KAS97" s="1392" t="s">
        <v>809</v>
      </c>
      <c r="KAT97" s="1392" t="s">
        <v>809</v>
      </c>
      <c r="KAU97" s="1392" t="s">
        <v>809</v>
      </c>
      <c r="KAV97" s="1392" t="s">
        <v>809</v>
      </c>
      <c r="KAW97" s="1392" t="s">
        <v>809</v>
      </c>
      <c r="KAX97" s="1392" t="s">
        <v>809</v>
      </c>
      <c r="KAY97" s="1392" t="s">
        <v>809</v>
      </c>
      <c r="KAZ97" s="1392" t="s">
        <v>809</v>
      </c>
      <c r="KBA97" s="1392" t="s">
        <v>809</v>
      </c>
      <c r="KBB97" s="1392" t="s">
        <v>809</v>
      </c>
      <c r="KBC97" s="1392" t="s">
        <v>809</v>
      </c>
      <c r="KBD97" s="1392" t="s">
        <v>809</v>
      </c>
      <c r="KBE97" s="1392" t="s">
        <v>809</v>
      </c>
      <c r="KBF97" s="1392" t="s">
        <v>809</v>
      </c>
      <c r="KBG97" s="1392" t="s">
        <v>809</v>
      </c>
      <c r="KBH97" s="1392" t="s">
        <v>809</v>
      </c>
      <c r="KBI97" s="1392" t="s">
        <v>809</v>
      </c>
      <c r="KBJ97" s="1392" t="s">
        <v>809</v>
      </c>
      <c r="KBK97" s="1392" t="s">
        <v>809</v>
      </c>
      <c r="KBL97" s="1392" t="s">
        <v>809</v>
      </c>
      <c r="KBM97" s="1392" t="s">
        <v>809</v>
      </c>
      <c r="KBN97" s="1392" t="s">
        <v>809</v>
      </c>
      <c r="KBO97" s="1392" t="s">
        <v>809</v>
      </c>
      <c r="KBP97" s="1392" t="s">
        <v>809</v>
      </c>
      <c r="KBQ97" s="1392" t="s">
        <v>809</v>
      </c>
      <c r="KBR97" s="1392" t="s">
        <v>809</v>
      </c>
      <c r="KBS97" s="1392" t="s">
        <v>809</v>
      </c>
      <c r="KBT97" s="1392" t="s">
        <v>809</v>
      </c>
      <c r="KBU97" s="1392" t="s">
        <v>809</v>
      </c>
      <c r="KBV97" s="1392" t="s">
        <v>809</v>
      </c>
      <c r="KBW97" s="1392" t="s">
        <v>809</v>
      </c>
      <c r="KBX97" s="1392" t="s">
        <v>809</v>
      </c>
      <c r="KBY97" s="1392" t="s">
        <v>809</v>
      </c>
      <c r="KBZ97" s="1392" t="s">
        <v>809</v>
      </c>
      <c r="KCA97" s="1392" t="s">
        <v>809</v>
      </c>
      <c r="KCB97" s="1392" t="s">
        <v>809</v>
      </c>
      <c r="KCC97" s="1392" t="s">
        <v>809</v>
      </c>
      <c r="KCD97" s="1392" t="s">
        <v>809</v>
      </c>
      <c r="KCE97" s="1392" t="s">
        <v>809</v>
      </c>
      <c r="KCF97" s="1392" t="s">
        <v>809</v>
      </c>
      <c r="KCG97" s="1392" t="s">
        <v>809</v>
      </c>
      <c r="KCH97" s="1392" t="s">
        <v>809</v>
      </c>
      <c r="KCI97" s="1392" t="s">
        <v>809</v>
      </c>
      <c r="KCJ97" s="1392" t="s">
        <v>809</v>
      </c>
      <c r="KCK97" s="1392" t="s">
        <v>809</v>
      </c>
      <c r="KCL97" s="1392" t="s">
        <v>809</v>
      </c>
      <c r="KCM97" s="1392" t="s">
        <v>809</v>
      </c>
      <c r="KCN97" s="1392" t="s">
        <v>809</v>
      </c>
      <c r="KCO97" s="1392" t="s">
        <v>809</v>
      </c>
      <c r="KCP97" s="1392" t="s">
        <v>809</v>
      </c>
      <c r="KCQ97" s="1392" t="s">
        <v>809</v>
      </c>
      <c r="KCR97" s="1392" t="s">
        <v>809</v>
      </c>
      <c r="KCS97" s="1392" t="s">
        <v>809</v>
      </c>
      <c r="KCT97" s="1392" t="s">
        <v>809</v>
      </c>
      <c r="KCU97" s="1392" t="s">
        <v>809</v>
      </c>
      <c r="KCV97" s="1392" t="s">
        <v>809</v>
      </c>
      <c r="KCW97" s="1392" t="s">
        <v>809</v>
      </c>
      <c r="KCX97" s="1392" t="s">
        <v>809</v>
      </c>
      <c r="KCY97" s="1392" t="s">
        <v>809</v>
      </c>
      <c r="KCZ97" s="1392" t="s">
        <v>809</v>
      </c>
      <c r="KDA97" s="1392" t="s">
        <v>809</v>
      </c>
      <c r="KDB97" s="1392" t="s">
        <v>809</v>
      </c>
      <c r="KDC97" s="1392" t="s">
        <v>809</v>
      </c>
      <c r="KDD97" s="1392" t="s">
        <v>809</v>
      </c>
      <c r="KDE97" s="1392" t="s">
        <v>809</v>
      </c>
      <c r="KDF97" s="1392" t="s">
        <v>809</v>
      </c>
      <c r="KDG97" s="1392" t="s">
        <v>809</v>
      </c>
      <c r="KDH97" s="1392" t="s">
        <v>809</v>
      </c>
      <c r="KDI97" s="1392" t="s">
        <v>809</v>
      </c>
      <c r="KDJ97" s="1392" t="s">
        <v>809</v>
      </c>
      <c r="KDK97" s="1392" t="s">
        <v>809</v>
      </c>
      <c r="KDL97" s="1392" t="s">
        <v>809</v>
      </c>
      <c r="KDM97" s="1392" t="s">
        <v>809</v>
      </c>
      <c r="KDN97" s="1392" t="s">
        <v>809</v>
      </c>
      <c r="KDO97" s="1392" t="s">
        <v>809</v>
      </c>
      <c r="KDP97" s="1392" t="s">
        <v>809</v>
      </c>
      <c r="KDQ97" s="1392" t="s">
        <v>809</v>
      </c>
      <c r="KDR97" s="1392" t="s">
        <v>809</v>
      </c>
      <c r="KDS97" s="1392" t="s">
        <v>809</v>
      </c>
      <c r="KDT97" s="1392" t="s">
        <v>809</v>
      </c>
      <c r="KDU97" s="1392" t="s">
        <v>809</v>
      </c>
      <c r="KDV97" s="1392" t="s">
        <v>809</v>
      </c>
      <c r="KDW97" s="1392" t="s">
        <v>809</v>
      </c>
      <c r="KDX97" s="1392" t="s">
        <v>809</v>
      </c>
      <c r="KDY97" s="1392" t="s">
        <v>809</v>
      </c>
      <c r="KDZ97" s="1392" t="s">
        <v>809</v>
      </c>
      <c r="KEA97" s="1392" t="s">
        <v>809</v>
      </c>
      <c r="KEB97" s="1392" t="s">
        <v>809</v>
      </c>
      <c r="KEC97" s="1392" t="s">
        <v>809</v>
      </c>
      <c r="KED97" s="1392" t="s">
        <v>809</v>
      </c>
      <c r="KEE97" s="1392" t="s">
        <v>809</v>
      </c>
      <c r="KEF97" s="1392" t="s">
        <v>809</v>
      </c>
      <c r="KEG97" s="1392" t="s">
        <v>809</v>
      </c>
      <c r="KEH97" s="1392" t="s">
        <v>809</v>
      </c>
      <c r="KEI97" s="1392" t="s">
        <v>809</v>
      </c>
      <c r="KEJ97" s="1392" t="s">
        <v>809</v>
      </c>
      <c r="KEK97" s="1392" t="s">
        <v>809</v>
      </c>
      <c r="KEL97" s="1392" t="s">
        <v>809</v>
      </c>
      <c r="KEM97" s="1392" t="s">
        <v>809</v>
      </c>
      <c r="KEN97" s="1392" t="s">
        <v>809</v>
      </c>
      <c r="KEO97" s="1392" t="s">
        <v>809</v>
      </c>
      <c r="KEP97" s="1392" t="s">
        <v>809</v>
      </c>
      <c r="KEQ97" s="1392" t="s">
        <v>809</v>
      </c>
      <c r="KER97" s="1392" t="s">
        <v>809</v>
      </c>
      <c r="KES97" s="1392" t="s">
        <v>809</v>
      </c>
      <c r="KET97" s="1392" t="s">
        <v>809</v>
      </c>
      <c r="KEU97" s="1392" t="s">
        <v>809</v>
      </c>
      <c r="KEV97" s="1392" t="s">
        <v>809</v>
      </c>
      <c r="KEW97" s="1392" t="s">
        <v>809</v>
      </c>
      <c r="KEX97" s="1392" t="s">
        <v>809</v>
      </c>
      <c r="KEY97" s="1392" t="s">
        <v>809</v>
      </c>
      <c r="KEZ97" s="1392" t="s">
        <v>809</v>
      </c>
      <c r="KFA97" s="1392" t="s">
        <v>809</v>
      </c>
      <c r="KFB97" s="1392" t="s">
        <v>809</v>
      </c>
      <c r="KFC97" s="1392" t="s">
        <v>809</v>
      </c>
      <c r="KFD97" s="1392" t="s">
        <v>809</v>
      </c>
      <c r="KFE97" s="1392" t="s">
        <v>809</v>
      </c>
      <c r="KFF97" s="1392" t="s">
        <v>809</v>
      </c>
      <c r="KFG97" s="1392" t="s">
        <v>809</v>
      </c>
      <c r="KFH97" s="1392" t="s">
        <v>809</v>
      </c>
      <c r="KFI97" s="1392" t="s">
        <v>809</v>
      </c>
      <c r="KFJ97" s="1392" t="s">
        <v>809</v>
      </c>
      <c r="KFK97" s="1392" t="s">
        <v>809</v>
      </c>
      <c r="KFL97" s="1392" t="s">
        <v>809</v>
      </c>
      <c r="KFM97" s="1392" t="s">
        <v>809</v>
      </c>
      <c r="KFN97" s="1392" t="s">
        <v>809</v>
      </c>
      <c r="KFO97" s="1392" t="s">
        <v>809</v>
      </c>
      <c r="KFP97" s="1392" t="s">
        <v>809</v>
      </c>
      <c r="KFQ97" s="1392" t="s">
        <v>809</v>
      </c>
      <c r="KFR97" s="1392" t="s">
        <v>809</v>
      </c>
      <c r="KFS97" s="1392" t="s">
        <v>809</v>
      </c>
      <c r="KFT97" s="1392" t="s">
        <v>809</v>
      </c>
      <c r="KFU97" s="1392" t="s">
        <v>809</v>
      </c>
      <c r="KFV97" s="1392" t="s">
        <v>809</v>
      </c>
      <c r="KFW97" s="1392" t="s">
        <v>809</v>
      </c>
      <c r="KFX97" s="1392" t="s">
        <v>809</v>
      </c>
      <c r="KFY97" s="1392" t="s">
        <v>809</v>
      </c>
      <c r="KFZ97" s="1392" t="s">
        <v>809</v>
      </c>
      <c r="KGA97" s="1392" t="s">
        <v>809</v>
      </c>
      <c r="KGB97" s="1392" t="s">
        <v>809</v>
      </c>
      <c r="KGC97" s="1392" t="s">
        <v>809</v>
      </c>
      <c r="KGD97" s="1392" t="s">
        <v>809</v>
      </c>
      <c r="KGE97" s="1392" t="s">
        <v>809</v>
      </c>
      <c r="KGF97" s="1392" t="s">
        <v>809</v>
      </c>
      <c r="KGG97" s="1392" t="s">
        <v>809</v>
      </c>
      <c r="KGH97" s="1392" t="s">
        <v>809</v>
      </c>
      <c r="KGI97" s="1392" t="s">
        <v>809</v>
      </c>
      <c r="KGJ97" s="1392" t="s">
        <v>809</v>
      </c>
      <c r="KGK97" s="1392" t="s">
        <v>809</v>
      </c>
      <c r="KGL97" s="1392" t="s">
        <v>809</v>
      </c>
      <c r="KGM97" s="1392" t="s">
        <v>809</v>
      </c>
      <c r="KGN97" s="1392" t="s">
        <v>809</v>
      </c>
      <c r="KGO97" s="1392" t="s">
        <v>809</v>
      </c>
      <c r="KGP97" s="1392" t="s">
        <v>809</v>
      </c>
      <c r="KGQ97" s="1392" t="s">
        <v>809</v>
      </c>
      <c r="KGR97" s="1392" t="s">
        <v>809</v>
      </c>
      <c r="KGS97" s="1392" t="s">
        <v>809</v>
      </c>
      <c r="KGT97" s="1392" t="s">
        <v>809</v>
      </c>
      <c r="KGU97" s="1392" t="s">
        <v>809</v>
      </c>
      <c r="KGV97" s="1392" t="s">
        <v>809</v>
      </c>
      <c r="KGW97" s="1392" t="s">
        <v>809</v>
      </c>
      <c r="KGX97" s="1392" t="s">
        <v>809</v>
      </c>
      <c r="KGY97" s="1392" t="s">
        <v>809</v>
      </c>
      <c r="KGZ97" s="1392" t="s">
        <v>809</v>
      </c>
      <c r="KHA97" s="1392" t="s">
        <v>809</v>
      </c>
      <c r="KHB97" s="1392" t="s">
        <v>809</v>
      </c>
      <c r="KHC97" s="1392" t="s">
        <v>809</v>
      </c>
      <c r="KHD97" s="1392" t="s">
        <v>809</v>
      </c>
      <c r="KHE97" s="1392" t="s">
        <v>809</v>
      </c>
      <c r="KHF97" s="1392" t="s">
        <v>809</v>
      </c>
      <c r="KHG97" s="1392" t="s">
        <v>809</v>
      </c>
      <c r="KHH97" s="1392" t="s">
        <v>809</v>
      </c>
      <c r="KHI97" s="1392" t="s">
        <v>809</v>
      </c>
      <c r="KHJ97" s="1392" t="s">
        <v>809</v>
      </c>
      <c r="KHK97" s="1392" t="s">
        <v>809</v>
      </c>
      <c r="KHL97" s="1392" t="s">
        <v>809</v>
      </c>
      <c r="KHM97" s="1392" t="s">
        <v>809</v>
      </c>
      <c r="KHN97" s="1392" t="s">
        <v>809</v>
      </c>
      <c r="KHO97" s="1392" t="s">
        <v>809</v>
      </c>
      <c r="KHP97" s="1392" t="s">
        <v>809</v>
      </c>
      <c r="KHQ97" s="1392" t="s">
        <v>809</v>
      </c>
      <c r="KHR97" s="1392" t="s">
        <v>809</v>
      </c>
      <c r="KHS97" s="1392" t="s">
        <v>809</v>
      </c>
      <c r="KHT97" s="1392" t="s">
        <v>809</v>
      </c>
      <c r="KHU97" s="1392" t="s">
        <v>809</v>
      </c>
      <c r="KHV97" s="1392" t="s">
        <v>809</v>
      </c>
      <c r="KHW97" s="1392" t="s">
        <v>809</v>
      </c>
      <c r="KHX97" s="1392" t="s">
        <v>809</v>
      </c>
      <c r="KHY97" s="1392" t="s">
        <v>809</v>
      </c>
      <c r="KHZ97" s="1392" t="s">
        <v>809</v>
      </c>
      <c r="KIA97" s="1392" t="s">
        <v>809</v>
      </c>
      <c r="KIB97" s="1392" t="s">
        <v>809</v>
      </c>
      <c r="KIC97" s="1392" t="s">
        <v>809</v>
      </c>
      <c r="KID97" s="1392" t="s">
        <v>809</v>
      </c>
      <c r="KIE97" s="1392" t="s">
        <v>809</v>
      </c>
      <c r="KIF97" s="1392" t="s">
        <v>809</v>
      </c>
      <c r="KIG97" s="1392" t="s">
        <v>809</v>
      </c>
      <c r="KIH97" s="1392" t="s">
        <v>809</v>
      </c>
      <c r="KII97" s="1392" t="s">
        <v>809</v>
      </c>
      <c r="KIJ97" s="1392" t="s">
        <v>809</v>
      </c>
      <c r="KIK97" s="1392" t="s">
        <v>809</v>
      </c>
      <c r="KIL97" s="1392" t="s">
        <v>809</v>
      </c>
      <c r="KIM97" s="1392" t="s">
        <v>809</v>
      </c>
      <c r="KIN97" s="1392" t="s">
        <v>809</v>
      </c>
      <c r="KIO97" s="1392" t="s">
        <v>809</v>
      </c>
      <c r="KIP97" s="1392" t="s">
        <v>809</v>
      </c>
      <c r="KIQ97" s="1392" t="s">
        <v>809</v>
      </c>
      <c r="KIR97" s="1392" t="s">
        <v>809</v>
      </c>
      <c r="KIS97" s="1392" t="s">
        <v>809</v>
      </c>
      <c r="KIT97" s="1392" t="s">
        <v>809</v>
      </c>
      <c r="KIU97" s="1392" t="s">
        <v>809</v>
      </c>
      <c r="KIV97" s="1392" t="s">
        <v>809</v>
      </c>
      <c r="KIW97" s="1392" t="s">
        <v>809</v>
      </c>
      <c r="KIX97" s="1392" t="s">
        <v>809</v>
      </c>
      <c r="KIY97" s="1392" t="s">
        <v>809</v>
      </c>
      <c r="KIZ97" s="1392" t="s">
        <v>809</v>
      </c>
      <c r="KJA97" s="1392" t="s">
        <v>809</v>
      </c>
      <c r="KJB97" s="1392" t="s">
        <v>809</v>
      </c>
      <c r="KJC97" s="1392" t="s">
        <v>809</v>
      </c>
      <c r="KJD97" s="1392" t="s">
        <v>809</v>
      </c>
      <c r="KJE97" s="1392" t="s">
        <v>809</v>
      </c>
      <c r="KJF97" s="1392" t="s">
        <v>809</v>
      </c>
      <c r="KJG97" s="1392" t="s">
        <v>809</v>
      </c>
      <c r="KJH97" s="1392" t="s">
        <v>809</v>
      </c>
      <c r="KJI97" s="1392" t="s">
        <v>809</v>
      </c>
      <c r="KJJ97" s="1392" t="s">
        <v>809</v>
      </c>
      <c r="KJK97" s="1392" t="s">
        <v>809</v>
      </c>
      <c r="KJL97" s="1392" t="s">
        <v>809</v>
      </c>
      <c r="KJM97" s="1392" t="s">
        <v>809</v>
      </c>
      <c r="KJN97" s="1392" t="s">
        <v>809</v>
      </c>
      <c r="KJO97" s="1392" t="s">
        <v>809</v>
      </c>
      <c r="KJP97" s="1392" t="s">
        <v>809</v>
      </c>
      <c r="KJQ97" s="1392" t="s">
        <v>809</v>
      </c>
      <c r="KJR97" s="1392" t="s">
        <v>809</v>
      </c>
      <c r="KJS97" s="1392" t="s">
        <v>809</v>
      </c>
      <c r="KJT97" s="1392" t="s">
        <v>809</v>
      </c>
      <c r="KJU97" s="1392" t="s">
        <v>809</v>
      </c>
      <c r="KJV97" s="1392" t="s">
        <v>809</v>
      </c>
      <c r="KJW97" s="1392" t="s">
        <v>809</v>
      </c>
      <c r="KJX97" s="1392" t="s">
        <v>809</v>
      </c>
      <c r="KJY97" s="1392" t="s">
        <v>809</v>
      </c>
      <c r="KJZ97" s="1392" t="s">
        <v>809</v>
      </c>
      <c r="KKA97" s="1392" t="s">
        <v>809</v>
      </c>
      <c r="KKB97" s="1392" t="s">
        <v>809</v>
      </c>
      <c r="KKC97" s="1392" t="s">
        <v>809</v>
      </c>
      <c r="KKD97" s="1392" t="s">
        <v>809</v>
      </c>
      <c r="KKE97" s="1392" t="s">
        <v>809</v>
      </c>
      <c r="KKF97" s="1392" t="s">
        <v>809</v>
      </c>
      <c r="KKG97" s="1392" t="s">
        <v>809</v>
      </c>
      <c r="KKH97" s="1392" t="s">
        <v>809</v>
      </c>
      <c r="KKI97" s="1392" t="s">
        <v>809</v>
      </c>
      <c r="KKJ97" s="1392" t="s">
        <v>809</v>
      </c>
      <c r="KKK97" s="1392" t="s">
        <v>809</v>
      </c>
      <c r="KKL97" s="1392" t="s">
        <v>809</v>
      </c>
      <c r="KKM97" s="1392" t="s">
        <v>809</v>
      </c>
      <c r="KKN97" s="1392" t="s">
        <v>809</v>
      </c>
      <c r="KKO97" s="1392" t="s">
        <v>809</v>
      </c>
      <c r="KKP97" s="1392" t="s">
        <v>809</v>
      </c>
      <c r="KKQ97" s="1392" t="s">
        <v>809</v>
      </c>
      <c r="KKR97" s="1392" t="s">
        <v>809</v>
      </c>
      <c r="KKS97" s="1392" t="s">
        <v>809</v>
      </c>
      <c r="KKT97" s="1392" t="s">
        <v>809</v>
      </c>
      <c r="KKU97" s="1392" t="s">
        <v>809</v>
      </c>
      <c r="KKV97" s="1392" t="s">
        <v>809</v>
      </c>
      <c r="KKW97" s="1392" t="s">
        <v>809</v>
      </c>
      <c r="KKX97" s="1392" t="s">
        <v>809</v>
      </c>
      <c r="KKY97" s="1392" t="s">
        <v>809</v>
      </c>
      <c r="KKZ97" s="1392" t="s">
        <v>809</v>
      </c>
      <c r="KLA97" s="1392" t="s">
        <v>809</v>
      </c>
      <c r="KLB97" s="1392" t="s">
        <v>809</v>
      </c>
      <c r="KLC97" s="1392" t="s">
        <v>809</v>
      </c>
      <c r="KLD97" s="1392" t="s">
        <v>809</v>
      </c>
      <c r="KLE97" s="1392" t="s">
        <v>809</v>
      </c>
      <c r="KLF97" s="1392" t="s">
        <v>809</v>
      </c>
      <c r="KLG97" s="1392" t="s">
        <v>809</v>
      </c>
      <c r="KLH97" s="1392" t="s">
        <v>809</v>
      </c>
      <c r="KLI97" s="1392" t="s">
        <v>809</v>
      </c>
      <c r="KLJ97" s="1392" t="s">
        <v>809</v>
      </c>
      <c r="KLK97" s="1392" t="s">
        <v>809</v>
      </c>
      <c r="KLL97" s="1392" t="s">
        <v>809</v>
      </c>
      <c r="KLM97" s="1392" t="s">
        <v>809</v>
      </c>
      <c r="KLN97" s="1392" t="s">
        <v>809</v>
      </c>
      <c r="KLO97" s="1392" t="s">
        <v>809</v>
      </c>
      <c r="KLP97" s="1392" t="s">
        <v>809</v>
      </c>
      <c r="KLQ97" s="1392" t="s">
        <v>809</v>
      </c>
      <c r="KLR97" s="1392" t="s">
        <v>809</v>
      </c>
      <c r="KLS97" s="1392" t="s">
        <v>809</v>
      </c>
      <c r="KLT97" s="1392" t="s">
        <v>809</v>
      </c>
      <c r="KLU97" s="1392" t="s">
        <v>809</v>
      </c>
      <c r="KLV97" s="1392" t="s">
        <v>809</v>
      </c>
      <c r="KLW97" s="1392" t="s">
        <v>809</v>
      </c>
      <c r="KLX97" s="1392" t="s">
        <v>809</v>
      </c>
      <c r="KLY97" s="1392" t="s">
        <v>809</v>
      </c>
      <c r="KLZ97" s="1392" t="s">
        <v>809</v>
      </c>
      <c r="KMA97" s="1392" t="s">
        <v>809</v>
      </c>
      <c r="KMB97" s="1392" t="s">
        <v>809</v>
      </c>
      <c r="KMC97" s="1392" t="s">
        <v>809</v>
      </c>
      <c r="KMD97" s="1392" t="s">
        <v>809</v>
      </c>
      <c r="KME97" s="1392" t="s">
        <v>809</v>
      </c>
      <c r="KMF97" s="1392" t="s">
        <v>809</v>
      </c>
      <c r="KMG97" s="1392" t="s">
        <v>809</v>
      </c>
      <c r="KMH97" s="1392" t="s">
        <v>809</v>
      </c>
      <c r="KMI97" s="1392" t="s">
        <v>809</v>
      </c>
      <c r="KMJ97" s="1392" t="s">
        <v>809</v>
      </c>
      <c r="KMK97" s="1392" t="s">
        <v>809</v>
      </c>
      <c r="KML97" s="1392" t="s">
        <v>809</v>
      </c>
      <c r="KMM97" s="1392" t="s">
        <v>809</v>
      </c>
      <c r="KMN97" s="1392" t="s">
        <v>809</v>
      </c>
      <c r="KMO97" s="1392" t="s">
        <v>809</v>
      </c>
      <c r="KMP97" s="1392" t="s">
        <v>809</v>
      </c>
      <c r="KMQ97" s="1392" t="s">
        <v>809</v>
      </c>
      <c r="KMR97" s="1392" t="s">
        <v>809</v>
      </c>
      <c r="KMS97" s="1392" t="s">
        <v>809</v>
      </c>
      <c r="KMT97" s="1392" t="s">
        <v>809</v>
      </c>
      <c r="KMU97" s="1392" t="s">
        <v>809</v>
      </c>
      <c r="KMV97" s="1392" t="s">
        <v>809</v>
      </c>
      <c r="KMW97" s="1392" t="s">
        <v>809</v>
      </c>
      <c r="KMX97" s="1392" t="s">
        <v>809</v>
      </c>
      <c r="KMY97" s="1392" t="s">
        <v>809</v>
      </c>
      <c r="KMZ97" s="1392" t="s">
        <v>809</v>
      </c>
      <c r="KNA97" s="1392" t="s">
        <v>809</v>
      </c>
      <c r="KNB97" s="1392" t="s">
        <v>809</v>
      </c>
      <c r="KNC97" s="1392" t="s">
        <v>809</v>
      </c>
      <c r="KND97" s="1392" t="s">
        <v>809</v>
      </c>
      <c r="KNE97" s="1392" t="s">
        <v>809</v>
      </c>
      <c r="KNF97" s="1392" t="s">
        <v>809</v>
      </c>
      <c r="KNG97" s="1392" t="s">
        <v>809</v>
      </c>
      <c r="KNH97" s="1392" t="s">
        <v>809</v>
      </c>
      <c r="KNI97" s="1392" t="s">
        <v>809</v>
      </c>
      <c r="KNJ97" s="1392" t="s">
        <v>809</v>
      </c>
      <c r="KNK97" s="1392" t="s">
        <v>809</v>
      </c>
      <c r="KNL97" s="1392" t="s">
        <v>809</v>
      </c>
      <c r="KNM97" s="1392" t="s">
        <v>809</v>
      </c>
      <c r="KNN97" s="1392" t="s">
        <v>809</v>
      </c>
      <c r="KNO97" s="1392" t="s">
        <v>809</v>
      </c>
      <c r="KNP97" s="1392" t="s">
        <v>809</v>
      </c>
      <c r="KNQ97" s="1392" t="s">
        <v>809</v>
      </c>
      <c r="KNR97" s="1392" t="s">
        <v>809</v>
      </c>
      <c r="KNS97" s="1392" t="s">
        <v>809</v>
      </c>
      <c r="KNT97" s="1392" t="s">
        <v>809</v>
      </c>
      <c r="KNU97" s="1392" t="s">
        <v>809</v>
      </c>
      <c r="KNV97" s="1392" t="s">
        <v>809</v>
      </c>
      <c r="KNW97" s="1392" t="s">
        <v>809</v>
      </c>
      <c r="KNX97" s="1392" t="s">
        <v>809</v>
      </c>
      <c r="KNY97" s="1392" t="s">
        <v>809</v>
      </c>
      <c r="KNZ97" s="1392" t="s">
        <v>809</v>
      </c>
      <c r="KOA97" s="1392" t="s">
        <v>809</v>
      </c>
      <c r="KOB97" s="1392" t="s">
        <v>809</v>
      </c>
      <c r="KOC97" s="1392" t="s">
        <v>809</v>
      </c>
      <c r="KOD97" s="1392" t="s">
        <v>809</v>
      </c>
      <c r="KOE97" s="1392" t="s">
        <v>809</v>
      </c>
      <c r="KOF97" s="1392" t="s">
        <v>809</v>
      </c>
      <c r="KOG97" s="1392" t="s">
        <v>809</v>
      </c>
      <c r="KOH97" s="1392" t="s">
        <v>809</v>
      </c>
      <c r="KOI97" s="1392" t="s">
        <v>809</v>
      </c>
      <c r="KOJ97" s="1392" t="s">
        <v>809</v>
      </c>
      <c r="KOK97" s="1392" t="s">
        <v>809</v>
      </c>
      <c r="KOL97" s="1392" t="s">
        <v>809</v>
      </c>
      <c r="KOM97" s="1392" t="s">
        <v>809</v>
      </c>
      <c r="KON97" s="1392" t="s">
        <v>809</v>
      </c>
      <c r="KOO97" s="1392" t="s">
        <v>809</v>
      </c>
      <c r="KOP97" s="1392" t="s">
        <v>809</v>
      </c>
      <c r="KOQ97" s="1392" t="s">
        <v>809</v>
      </c>
      <c r="KOR97" s="1392" t="s">
        <v>809</v>
      </c>
      <c r="KOS97" s="1392" t="s">
        <v>809</v>
      </c>
      <c r="KOT97" s="1392" t="s">
        <v>809</v>
      </c>
      <c r="KOU97" s="1392" t="s">
        <v>809</v>
      </c>
      <c r="KOV97" s="1392" t="s">
        <v>809</v>
      </c>
      <c r="KOW97" s="1392" t="s">
        <v>809</v>
      </c>
      <c r="KOX97" s="1392" t="s">
        <v>809</v>
      </c>
      <c r="KOY97" s="1392" t="s">
        <v>809</v>
      </c>
      <c r="KOZ97" s="1392" t="s">
        <v>809</v>
      </c>
      <c r="KPA97" s="1392" t="s">
        <v>809</v>
      </c>
      <c r="KPB97" s="1392" t="s">
        <v>809</v>
      </c>
      <c r="KPC97" s="1392" t="s">
        <v>809</v>
      </c>
      <c r="KPD97" s="1392" t="s">
        <v>809</v>
      </c>
      <c r="KPE97" s="1392" t="s">
        <v>809</v>
      </c>
      <c r="KPF97" s="1392" t="s">
        <v>809</v>
      </c>
      <c r="KPG97" s="1392" t="s">
        <v>809</v>
      </c>
      <c r="KPH97" s="1392" t="s">
        <v>809</v>
      </c>
      <c r="KPI97" s="1392" t="s">
        <v>809</v>
      </c>
      <c r="KPJ97" s="1392" t="s">
        <v>809</v>
      </c>
      <c r="KPK97" s="1392" t="s">
        <v>809</v>
      </c>
      <c r="KPL97" s="1392" t="s">
        <v>809</v>
      </c>
      <c r="KPM97" s="1392" t="s">
        <v>809</v>
      </c>
      <c r="KPN97" s="1392" t="s">
        <v>809</v>
      </c>
      <c r="KPO97" s="1392" t="s">
        <v>809</v>
      </c>
      <c r="KPP97" s="1392" t="s">
        <v>809</v>
      </c>
      <c r="KPQ97" s="1392" t="s">
        <v>809</v>
      </c>
      <c r="KPR97" s="1392" t="s">
        <v>809</v>
      </c>
      <c r="KPS97" s="1392" t="s">
        <v>809</v>
      </c>
      <c r="KPT97" s="1392" t="s">
        <v>809</v>
      </c>
      <c r="KPU97" s="1392" t="s">
        <v>809</v>
      </c>
      <c r="KPV97" s="1392" t="s">
        <v>809</v>
      </c>
      <c r="KPW97" s="1392" t="s">
        <v>809</v>
      </c>
      <c r="KPX97" s="1392" t="s">
        <v>809</v>
      </c>
      <c r="KPY97" s="1392" t="s">
        <v>809</v>
      </c>
      <c r="KPZ97" s="1392" t="s">
        <v>809</v>
      </c>
      <c r="KQA97" s="1392" t="s">
        <v>809</v>
      </c>
      <c r="KQB97" s="1392" t="s">
        <v>809</v>
      </c>
      <c r="KQC97" s="1392" t="s">
        <v>809</v>
      </c>
      <c r="KQD97" s="1392" t="s">
        <v>809</v>
      </c>
      <c r="KQE97" s="1392" t="s">
        <v>809</v>
      </c>
      <c r="KQF97" s="1392" t="s">
        <v>809</v>
      </c>
      <c r="KQG97" s="1392" t="s">
        <v>809</v>
      </c>
      <c r="KQH97" s="1392" t="s">
        <v>809</v>
      </c>
      <c r="KQI97" s="1392" t="s">
        <v>809</v>
      </c>
      <c r="KQJ97" s="1392" t="s">
        <v>809</v>
      </c>
      <c r="KQK97" s="1392" t="s">
        <v>809</v>
      </c>
      <c r="KQL97" s="1392" t="s">
        <v>809</v>
      </c>
      <c r="KQM97" s="1392" t="s">
        <v>809</v>
      </c>
      <c r="KQN97" s="1392" t="s">
        <v>809</v>
      </c>
      <c r="KQO97" s="1392" t="s">
        <v>809</v>
      </c>
      <c r="KQP97" s="1392" t="s">
        <v>809</v>
      </c>
      <c r="KQQ97" s="1392" t="s">
        <v>809</v>
      </c>
      <c r="KQR97" s="1392" t="s">
        <v>809</v>
      </c>
      <c r="KQS97" s="1392" t="s">
        <v>809</v>
      </c>
      <c r="KQT97" s="1392" t="s">
        <v>809</v>
      </c>
      <c r="KQU97" s="1392" t="s">
        <v>809</v>
      </c>
      <c r="KQV97" s="1392" t="s">
        <v>809</v>
      </c>
      <c r="KQW97" s="1392" t="s">
        <v>809</v>
      </c>
      <c r="KQX97" s="1392" t="s">
        <v>809</v>
      </c>
      <c r="KQY97" s="1392" t="s">
        <v>809</v>
      </c>
      <c r="KQZ97" s="1392" t="s">
        <v>809</v>
      </c>
      <c r="KRA97" s="1392" t="s">
        <v>809</v>
      </c>
      <c r="KRB97" s="1392" t="s">
        <v>809</v>
      </c>
      <c r="KRC97" s="1392" t="s">
        <v>809</v>
      </c>
      <c r="KRD97" s="1392" t="s">
        <v>809</v>
      </c>
      <c r="KRE97" s="1392" t="s">
        <v>809</v>
      </c>
      <c r="KRF97" s="1392" t="s">
        <v>809</v>
      </c>
      <c r="KRG97" s="1392" t="s">
        <v>809</v>
      </c>
      <c r="KRH97" s="1392" t="s">
        <v>809</v>
      </c>
      <c r="KRI97" s="1392" t="s">
        <v>809</v>
      </c>
      <c r="KRJ97" s="1392" t="s">
        <v>809</v>
      </c>
      <c r="KRK97" s="1392" t="s">
        <v>809</v>
      </c>
      <c r="KRL97" s="1392" t="s">
        <v>809</v>
      </c>
      <c r="KRM97" s="1392" t="s">
        <v>809</v>
      </c>
      <c r="KRN97" s="1392" t="s">
        <v>809</v>
      </c>
      <c r="KRO97" s="1392" t="s">
        <v>809</v>
      </c>
      <c r="KRP97" s="1392" t="s">
        <v>809</v>
      </c>
      <c r="KRQ97" s="1392" t="s">
        <v>809</v>
      </c>
      <c r="KRR97" s="1392" t="s">
        <v>809</v>
      </c>
      <c r="KRS97" s="1392" t="s">
        <v>809</v>
      </c>
      <c r="KRT97" s="1392" t="s">
        <v>809</v>
      </c>
      <c r="KRU97" s="1392" t="s">
        <v>809</v>
      </c>
      <c r="KRV97" s="1392" t="s">
        <v>809</v>
      </c>
      <c r="KRW97" s="1392" t="s">
        <v>809</v>
      </c>
      <c r="KRX97" s="1392" t="s">
        <v>809</v>
      </c>
      <c r="KRY97" s="1392" t="s">
        <v>809</v>
      </c>
      <c r="KRZ97" s="1392" t="s">
        <v>809</v>
      </c>
      <c r="KSA97" s="1392" t="s">
        <v>809</v>
      </c>
      <c r="KSB97" s="1392" t="s">
        <v>809</v>
      </c>
      <c r="KSC97" s="1392" t="s">
        <v>809</v>
      </c>
      <c r="KSD97" s="1392" t="s">
        <v>809</v>
      </c>
      <c r="KSE97" s="1392" t="s">
        <v>809</v>
      </c>
      <c r="KSF97" s="1392" t="s">
        <v>809</v>
      </c>
      <c r="KSG97" s="1392" t="s">
        <v>809</v>
      </c>
      <c r="KSH97" s="1392" t="s">
        <v>809</v>
      </c>
      <c r="KSI97" s="1392" t="s">
        <v>809</v>
      </c>
      <c r="KSJ97" s="1392" t="s">
        <v>809</v>
      </c>
      <c r="KSK97" s="1392" t="s">
        <v>809</v>
      </c>
      <c r="KSL97" s="1392" t="s">
        <v>809</v>
      </c>
      <c r="KSM97" s="1392" t="s">
        <v>809</v>
      </c>
      <c r="KSN97" s="1392" t="s">
        <v>809</v>
      </c>
      <c r="KSO97" s="1392" t="s">
        <v>809</v>
      </c>
      <c r="KSP97" s="1392" t="s">
        <v>809</v>
      </c>
      <c r="KSQ97" s="1392" t="s">
        <v>809</v>
      </c>
      <c r="KSR97" s="1392" t="s">
        <v>809</v>
      </c>
      <c r="KSS97" s="1392" t="s">
        <v>809</v>
      </c>
      <c r="KST97" s="1392" t="s">
        <v>809</v>
      </c>
      <c r="KSU97" s="1392" t="s">
        <v>809</v>
      </c>
      <c r="KSV97" s="1392" t="s">
        <v>809</v>
      </c>
      <c r="KSW97" s="1392" t="s">
        <v>809</v>
      </c>
      <c r="KSX97" s="1392" t="s">
        <v>809</v>
      </c>
      <c r="KSY97" s="1392" t="s">
        <v>809</v>
      </c>
      <c r="KSZ97" s="1392" t="s">
        <v>809</v>
      </c>
      <c r="KTA97" s="1392" t="s">
        <v>809</v>
      </c>
      <c r="KTB97" s="1392" t="s">
        <v>809</v>
      </c>
      <c r="KTC97" s="1392" t="s">
        <v>809</v>
      </c>
      <c r="KTD97" s="1392" t="s">
        <v>809</v>
      </c>
      <c r="KTE97" s="1392" t="s">
        <v>809</v>
      </c>
      <c r="KTF97" s="1392" t="s">
        <v>809</v>
      </c>
      <c r="KTG97" s="1392" t="s">
        <v>809</v>
      </c>
      <c r="KTH97" s="1392" t="s">
        <v>809</v>
      </c>
      <c r="KTI97" s="1392" t="s">
        <v>809</v>
      </c>
      <c r="KTJ97" s="1392" t="s">
        <v>809</v>
      </c>
      <c r="KTK97" s="1392" t="s">
        <v>809</v>
      </c>
      <c r="KTL97" s="1392" t="s">
        <v>809</v>
      </c>
      <c r="KTM97" s="1392" t="s">
        <v>809</v>
      </c>
      <c r="KTN97" s="1392" t="s">
        <v>809</v>
      </c>
      <c r="KTO97" s="1392" t="s">
        <v>809</v>
      </c>
      <c r="KTP97" s="1392" t="s">
        <v>809</v>
      </c>
      <c r="KTQ97" s="1392" t="s">
        <v>809</v>
      </c>
      <c r="KTR97" s="1392" t="s">
        <v>809</v>
      </c>
      <c r="KTS97" s="1392" t="s">
        <v>809</v>
      </c>
      <c r="KTT97" s="1392" t="s">
        <v>809</v>
      </c>
      <c r="KTU97" s="1392" t="s">
        <v>809</v>
      </c>
      <c r="KTV97" s="1392" t="s">
        <v>809</v>
      </c>
      <c r="KTW97" s="1392" t="s">
        <v>809</v>
      </c>
      <c r="KTX97" s="1392" t="s">
        <v>809</v>
      </c>
      <c r="KTY97" s="1392" t="s">
        <v>809</v>
      </c>
      <c r="KTZ97" s="1392" t="s">
        <v>809</v>
      </c>
      <c r="KUA97" s="1392" t="s">
        <v>809</v>
      </c>
      <c r="KUB97" s="1392" t="s">
        <v>809</v>
      </c>
      <c r="KUC97" s="1392" t="s">
        <v>809</v>
      </c>
      <c r="KUD97" s="1392" t="s">
        <v>809</v>
      </c>
      <c r="KUE97" s="1392" t="s">
        <v>809</v>
      </c>
      <c r="KUF97" s="1392" t="s">
        <v>809</v>
      </c>
      <c r="KUG97" s="1392" t="s">
        <v>809</v>
      </c>
      <c r="KUH97" s="1392" t="s">
        <v>809</v>
      </c>
      <c r="KUI97" s="1392" t="s">
        <v>809</v>
      </c>
      <c r="KUJ97" s="1392" t="s">
        <v>809</v>
      </c>
      <c r="KUK97" s="1392" t="s">
        <v>809</v>
      </c>
      <c r="KUL97" s="1392" t="s">
        <v>809</v>
      </c>
      <c r="KUM97" s="1392" t="s">
        <v>809</v>
      </c>
      <c r="KUN97" s="1392" t="s">
        <v>809</v>
      </c>
      <c r="KUO97" s="1392" t="s">
        <v>809</v>
      </c>
      <c r="KUP97" s="1392" t="s">
        <v>809</v>
      </c>
      <c r="KUQ97" s="1392" t="s">
        <v>809</v>
      </c>
      <c r="KUR97" s="1392" t="s">
        <v>809</v>
      </c>
      <c r="KUS97" s="1392" t="s">
        <v>809</v>
      </c>
      <c r="KUT97" s="1392" t="s">
        <v>809</v>
      </c>
      <c r="KUU97" s="1392" t="s">
        <v>809</v>
      </c>
      <c r="KUV97" s="1392" t="s">
        <v>809</v>
      </c>
      <c r="KUW97" s="1392" t="s">
        <v>809</v>
      </c>
      <c r="KUX97" s="1392" t="s">
        <v>809</v>
      </c>
      <c r="KUY97" s="1392" t="s">
        <v>809</v>
      </c>
      <c r="KUZ97" s="1392" t="s">
        <v>809</v>
      </c>
      <c r="KVA97" s="1392" t="s">
        <v>809</v>
      </c>
      <c r="KVB97" s="1392" t="s">
        <v>809</v>
      </c>
      <c r="KVC97" s="1392" t="s">
        <v>809</v>
      </c>
      <c r="KVD97" s="1392" t="s">
        <v>809</v>
      </c>
      <c r="KVE97" s="1392" t="s">
        <v>809</v>
      </c>
      <c r="KVF97" s="1392" t="s">
        <v>809</v>
      </c>
      <c r="KVG97" s="1392" t="s">
        <v>809</v>
      </c>
      <c r="KVH97" s="1392" t="s">
        <v>809</v>
      </c>
      <c r="KVI97" s="1392" t="s">
        <v>809</v>
      </c>
      <c r="KVJ97" s="1392" t="s">
        <v>809</v>
      </c>
      <c r="KVK97" s="1392" t="s">
        <v>809</v>
      </c>
      <c r="KVL97" s="1392" t="s">
        <v>809</v>
      </c>
      <c r="KVM97" s="1392" t="s">
        <v>809</v>
      </c>
      <c r="KVN97" s="1392" t="s">
        <v>809</v>
      </c>
      <c r="KVO97" s="1392" t="s">
        <v>809</v>
      </c>
      <c r="KVP97" s="1392" t="s">
        <v>809</v>
      </c>
      <c r="KVQ97" s="1392" t="s">
        <v>809</v>
      </c>
      <c r="KVR97" s="1392" t="s">
        <v>809</v>
      </c>
      <c r="KVS97" s="1392" t="s">
        <v>809</v>
      </c>
      <c r="KVT97" s="1392" t="s">
        <v>809</v>
      </c>
      <c r="KVU97" s="1392" t="s">
        <v>809</v>
      </c>
      <c r="KVV97" s="1392" t="s">
        <v>809</v>
      </c>
      <c r="KVW97" s="1392" t="s">
        <v>809</v>
      </c>
      <c r="KVX97" s="1392" t="s">
        <v>809</v>
      </c>
      <c r="KVY97" s="1392" t="s">
        <v>809</v>
      </c>
      <c r="KVZ97" s="1392" t="s">
        <v>809</v>
      </c>
      <c r="KWA97" s="1392" t="s">
        <v>809</v>
      </c>
      <c r="KWB97" s="1392" t="s">
        <v>809</v>
      </c>
      <c r="KWC97" s="1392" t="s">
        <v>809</v>
      </c>
      <c r="KWD97" s="1392" t="s">
        <v>809</v>
      </c>
      <c r="KWE97" s="1392" t="s">
        <v>809</v>
      </c>
      <c r="KWF97" s="1392" t="s">
        <v>809</v>
      </c>
      <c r="KWG97" s="1392" t="s">
        <v>809</v>
      </c>
      <c r="KWH97" s="1392" t="s">
        <v>809</v>
      </c>
      <c r="KWI97" s="1392" t="s">
        <v>809</v>
      </c>
      <c r="KWJ97" s="1392" t="s">
        <v>809</v>
      </c>
      <c r="KWK97" s="1392" t="s">
        <v>809</v>
      </c>
      <c r="KWL97" s="1392" t="s">
        <v>809</v>
      </c>
      <c r="KWM97" s="1392" t="s">
        <v>809</v>
      </c>
      <c r="KWN97" s="1392" t="s">
        <v>809</v>
      </c>
      <c r="KWO97" s="1392" t="s">
        <v>809</v>
      </c>
      <c r="KWP97" s="1392" t="s">
        <v>809</v>
      </c>
      <c r="KWQ97" s="1392" t="s">
        <v>809</v>
      </c>
      <c r="KWR97" s="1392" t="s">
        <v>809</v>
      </c>
      <c r="KWS97" s="1392" t="s">
        <v>809</v>
      </c>
      <c r="KWT97" s="1392" t="s">
        <v>809</v>
      </c>
      <c r="KWU97" s="1392" t="s">
        <v>809</v>
      </c>
      <c r="KWV97" s="1392" t="s">
        <v>809</v>
      </c>
      <c r="KWW97" s="1392" t="s">
        <v>809</v>
      </c>
      <c r="KWX97" s="1392" t="s">
        <v>809</v>
      </c>
      <c r="KWY97" s="1392" t="s">
        <v>809</v>
      </c>
      <c r="KWZ97" s="1392" t="s">
        <v>809</v>
      </c>
      <c r="KXA97" s="1392" t="s">
        <v>809</v>
      </c>
      <c r="KXB97" s="1392" t="s">
        <v>809</v>
      </c>
      <c r="KXC97" s="1392" t="s">
        <v>809</v>
      </c>
      <c r="KXD97" s="1392" t="s">
        <v>809</v>
      </c>
      <c r="KXE97" s="1392" t="s">
        <v>809</v>
      </c>
      <c r="KXF97" s="1392" t="s">
        <v>809</v>
      </c>
      <c r="KXG97" s="1392" t="s">
        <v>809</v>
      </c>
      <c r="KXH97" s="1392" t="s">
        <v>809</v>
      </c>
      <c r="KXI97" s="1392" t="s">
        <v>809</v>
      </c>
      <c r="KXJ97" s="1392" t="s">
        <v>809</v>
      </c>
      <c r="KXK97" s="1392" t="s">
        <v>809</v>
      </c>
      <c r="KXL97" s="1392" t="s">
        <v>809</v>
      </c>
      <c r="KXM97" s="1392" t="s">
        <v>809</v>
      </c>
      <c r="KXN97" s="1392" t="s">
        <v>809</v>
      </c>
      <c r="KXO97" s="1392" t="s">
        <v>809</v>
      </c>
      <c r="KXP97" s="1392" t="s">
        <v>809</v>
      </c>
      <c r="KXQ97" s="1392" t="s">
        <v>809</v>
      </c>
      <c r="KXR97" s="1392" t="s">
        <v>809</v>
      </c>
      <c r="KXS97" s="1392" t="s">
        <v>809</v>
      </c>
      <c r="KXT97" s="1392" t="s">
        <v>809</v>
      </c>
      <c r="KXU97" s="1392" t="s">
        <v>809</v>
      </c>
      <c r="KXV97" s="1392" t="s">
        <v>809</v>
      </c>
      <c r="KXW97" s="1392" t="s">
        <v>809</v>
      </c>
      <c r="KXX97" s="1392" t="s">
        <v>809</v>
      </c>
      <c r="KXY97" s="1392" t="s">
        <v>809</v>
      </c>
      <c r="KXZ97" s="1392" t="s">
        <v>809</v>
      </c>
      <c r="KYA97" s="1392" t="s">
        <v>809</v>
      </c>
      <c r="KYB97" s="1392" t="s">
        <v>809</v>
      </c>
      <c r="KYC97" s="1392" t="s">
        <v>809</v>
      </c>
      <c r="KYD97" s="1392" t="s">
        <v>809</v>
      </c>
      <c r="KYE97" s="1392" t="s">
        <v>809</v>
      </c>
      <c r="KYF97" s="1392" t="s">
        <v>809</v>
      </c>
      <c r="KYG97" s="1392" t="s">
        <v>809</v>
      </c>
      <c r="KYH97" s="1392" t="s">
        <v>809</v>
      </c>
      <c r="KYI97" s="1392" t="s">
        <v>809</v>
      </c>
      <c r="KYJ97" s="1392" t="s">
        <v>809</v>
      </c>
      <c r="KYK97" s="1392" t="s">
        <v>809</v>
      </c>
      <c r="KYL97" s="1392" t="s">
        <v>809</v>
      </c>
      <c r="KYM97" s="1392" t="s">
        <v>809</v>
      </c>
      <c r="KYN97" s="1392" t="s">
        <v>809</v>
      </c>
      <c r="KYO97" s="1392" t="s">
        <v>809</v>
      </c>
      <c r="KYP97" s="1392" t="s">
        <v>809</v>
      </c>
      <c r="KYQ97" s="1392" t="s">
        <v>809</v>
      </c>
      <c r="KYR97" s="1392" t="s">
        <v>809</v>
      </c>
      <c r="KYS97" s="1392" t="s">
        <v>809</v>
      </c>
      <c r="KYT97" s="1392" t="s">
        <v>809</v>
      </c>
      <c r="KYU97" s="1392" t="s">
        <v>809</v>
      </c>
      <c r="KYV97" s="1392" t="s">
        <v>809</v>
      </c>
      <c r="KYW97" s="1392" t="s">
        <v>809</v>
      </c>
      <c r="KYX97" s="1392" t="s">
        <v>809</v>
      </c>
      <c r="KYY97" s="1392" t="s">
        <v>809</v>
      </c>
      <c r="KYZ97" s="1392" t="s">
        <v>809</v>
      </c>
      <c r="KZA97" s="1392" t="s">
        <v>809</v>
      </c>
      <c r="KZB97" s="1392" t="s">
        <v>809</v>
      </c>
      <c r="KZC97" s="1392" t="s">
        <v>809</v>
      </c>
      <c r="KZD97" s="1392" t="s">
        <v>809</v>
      </c>
      <c r="KZE97" s="1392" t="s">
        <v>809</v>
      </c>
      <c r="KZF97" s="1392" t="s">
        <v>809</v>
      </c>
      <c r="KZG97" s="1392" t="s">
        <v>809</v>
      </c>
      <c r="KZH97" s="1392" t="s">
        <v>809</v>
      </c>
      <c r="KZI97" s="1392" t="s">
        <v>809</v>
      </c>
      <c r="KZJ97" s="1392" t="s">
        <v>809</v>
      </c>
      <c r="KZK97" s="1392" t="s">
        <v>809</v>
      </c>
      <c r="KZL97" s="1392" t="s">
        <v>809</v>
      </c>
      <c r="KZM97" s="1392" t="s">
        <v>809</v>
      </c>
      <c r="KZN97" s="1392" t="s">
        <v>809</v>
      </c>
      <c r="KZO97" s="1392" t="s">
        <v>809</v>
      </c>
      <c r="KZP97" s="1392" t="s">
        <v>809</v>
      </c>
      <c r="KZQ97" s="1392" t="s">
        <v>809</v>
      </c>
      <c r="KZR97" s="1392" t="s">
        <v>809</v>
      </c>
      <c r="KZS97" s="1392" t="s">
        <v>809</v>
      </c>
      <c r="KZT97" s="1392" t="s">
        <v>809</v>
      </c>
      <c r="KZU97" s="1392" t="s">
        <v>809</v>
      </c>
      <c r="KZV97" s="1392" t="s">
        <v>809</v>
      </c>
      <c r="KZW97" s="1392" t="s">
        <v>809</v>
      </c>
      <c r="KZX97" s="1392" t="s">
        <v>809</v>
      </c>
      <c r="KZY97" s="1392" t="s">
        <v>809</v>
      </c>
      <c r="KZZ97" s="1392" t="s">
        <v>809</v>
      </c>
      <c r="LAA97" s="1392" t="s">
        <v>809</v>
      </c>
      <c r="LAB97" s="1392" t="s">
        <v>809</v>
      </c>
      <c r="LAC97" s="1392" t="s">
        <v>809</v>
      </c>
      <c r="LAD97" s="1392" t="s">
        <v>809</v>
      </c>
      <c r="LAE97" s="1392" t="s">
        <v>809</v>
      </c>
      <c r="LAF97" s="1392" t="s">
        <v>809</v>
      </c>
      <c r="LAG97" s="1392" t="s">
        <v>809</v>
      </c>
      <c r="LAH97" s="1392" t="s">
        <v>809</v>
      </c>
      <c r="LAI97" s="1392" t="s">
        <v>809</v>
      </c>
      <c r="LAJ97" s="1392" t="s">
        <v>809</v>
      </c>
      <c r="LAK97" s="1392" t="s">
        <v>809</v>
      </c>
      <c r="LAL97" s="1392" t="s">
        <v>809</v>
      </c>
      <c r="LAM97" s="1392" t="s">
        <v>809</v>
      </c>
      <c r="LAN97" s="1392" t="s">
        <v>809</v>
      </c>
      <c r="LAO97" s="1392" t="s">
        <v>809</v>
      </c>
      <c r="LAP97" s="1392" t="s">
        <v>809</v>
      </c>
      <c r="LAQ97" s="1392" t="s">
        <v>809</v>
      </c>
      <c r="LAR97" s="1392" t="s">
        <v>809</v>
      </c>
      <c r="LAS97" s="1392" t="s">
        <v>809</v>
      </c>
      <c r="LAT97" s="1392" t="s">
        <v>809</v>
      </c>
      <c r="LAU97" s="1392" t="s">
        <v>809</v>
      </c>
      <c r="LAV97" s="1392" t="s">
        <v>809</v>
      </c>
      <c r="LAW97" s="1392" t="s">
        <v>809</v>
      </c>
      <c r="LAX97" s="1392" t="s">
        <v>809</v>
      </c>
      <c r="LAY97" s="1392" t="s">
        <v>809</v>
      </c>
      <c r="LAZ97" s="1392" t="s">
        <v>809</v>
      </c>
      <c r="LBA97" s="1392" t="s">
        <v>809</v>
      </c>
      <c r="LBB97" s="1392" t="s">
        <v>809</v>
      </c>
      <c r="LBC97" s="1392" t="s">
        <v>809</v>
      </c>
      <c r="LBD97" s="1392" t="s">
        <v>809</v>
      </c>
      <c r="LBE97" s="1392" t="s">
        <v>809</v>
      </c>
      <c r="LBF97" s="1392" t="s">
        <v>809</v>
      </c>
      <c r="LBG97" s="1392" t="s">
        <v>809</v>
      </c>
      <c r="LBH97" s="1392" t="s">
        <v>809</v>
      </c>
      <c r="LBI97" s="1392" t="s">
        <v>809</v>
      </c>
      <c r="LBJ97" s="1392" t="s">
        <v>809</v>
      </c>
      <c r="LBK97" s="1392" t="s">
        <v>809</v>
      </c>
      <c r="LBL97" s="1392" t="s">
        <v>809</v>
      </c>
      <c r="LBM97" s="1392" t="s">
        <v>809</v>
      </c>
      <c r="LBN97" s="1392" t="s">
        <v>809</v>
      </c>
      <c r="LBO97" s="1392" t="s">
        <v>809</v>
      </c>
      <c r="LBP97" s="1392" t="s">
        <v>809</v>
      </c>
      <c r="LBQ97" s="1392" t="s">
        <v>809</v>
      </c>
      <c r="LBR97" s="1392" t="s">
        <v>809</v>
      </c>
      <c r="LBS97" s="1392" t="s">
        <v>809</v>
      </c>
      <c r="LBT97" s="1392" t="s">
        <v>809</v>
      </c>
      <c r="LBU97" s="1392" t="s">
        <v>809</v>
      </c>
      <c r="LBV97" s="1392" t="s">
        <v>809</v>
      </c>
      <c r="LBW97" s="1392" t="s">
        <v>809</v>
      </c>
      <c r="LBX97" s="1392" t="s">
        <v>809</v>
      </c>
      <c r="LBY97" s="1392" t="s">
        <v>809</v>
      </c>
      <c r="LBZ97" s="1392" t="s">
        <v>809</v>
      </c>
      <c r="LCA97" s="1392" t="s">
        <v>809</v>
      </c>
      <c r="LCB97" s="1392" t="s">
        <v>809</v>
      </c>
      <c r="LCC97" s="1392" t="s">
        <v>809</v>
      </c>
      <c r="LCD97" s="1392" t="s">
        <v>809</v>
      </c>
      <c r="LCE97" s="1392" t="s">
        <v>809</v>
      </c>
      <c r="LCF97" s="1392" t="s">
        <v>809</v>
      </c>
      <c r="LCG97" s="1392" t="s">
        <v>809</v>
      </c>
      <c r="LCH97" s="1392" t="s">
        <v>809</v>
      </c>
      <c r="LCI97" s="1392" t="s">
        <v>809</v>
      </c>
      <c r="LCJ97" s="1392" t="s">
        <v>809</v>
      </c>
      <c r="LCK97" s="1392" t="s">
        <v>809</v>
      </c>
      <c r="LCL97" s="1392" t="s">
        <v>809</v>
      </c>
      <c r="LCM97" s="1392" t="s">
        <v>809</v>
      </c>
      <c r="LCN97" s="1392" t="s">
        <v>809</v>
      </c>
      <c r="LCO97" s="1392" t="s">
        <v>809</v>
      </c>
      <c r="LCP97" s="1392" t="s">
        <v>809</v>
      </c>
      <c r="LCQ97" s="1392" t="s">
        <v>809</v>
      </c>
      <c r="LCR97" s="1392" t="s">
        <v>809</v>
      </c>
      <c r="LCS97" s="1392" t="s">
        <v>809</v>
      </c>
      <c r="LCT97" s="1392" t="s">
        <v>809</v>
      </c>
      <c r="LCU97" s="1392" t="s">
        <v>809</v>
      </c>
      <c r="LCV97" s="1392" t="s">
        <v>809</v>
      </c>
      <c r="LCW97" s="1392" t="s">
        <v>809</v>
      </c>
      <c r="LCX97" s="1392" t="s">
        <v>809</v>
      </c>
      <c r="LCY97" s="1392" t="s">
        <v>809</v>
      </c>
      <c r="LCZ97" s="1392" t="s">
        <v>809</v>
      </c>
      <c r="LDA97" s="1392" t="s">
        <v>809</v>
      </c>
      <c r="LDB97" s="1392" t="s">
        <v>809</v>
      </c>
      <c r="LDC97" s="1392" t="s">
        <v>809</v>
      </c>
      <c r="LDD97" s="1392" t="s">
        <v>809</v>
      </c>
      <c r="LDE97" s="1392" t="s">
        <v>809</v>
      </c>
      <c r="LDF97" s="1392" t="s">
        <v>809</v>
      </c>
      <c r="LDG97" s="1392" t="s">
        <v>809</v>
      </c>
      <c r="LDH97" s="1392" t="s">
        <v>809</v>
      </c>
      <c r="LDI97" s="1392" t="s">
        <v>809</v>
      </c>
      <c r="LDJ97" s="1392" t="s">
        <v>809</v>
      </c>
      <c r="LDK97" s="1392" t="s">
        <v>809</v>
      </c>
      <c r="LDL97" s="1392" t="s">
        <v>809</v>
      </c>
      <c r="LDM97" s="1392" t="s">
        <v>809</v>
      </c>
      <c r="LDN97" s="1392" t="s">
        <v>809</v>
      </c>
      <c r="LDO97" s="1392" t="s">
        <v>809</v>
      </c>
      <c r="LDP97" s="1392" t="s">
        <v>809</v>
      </c>
      <c r="LDQ97" s="1392" t="s">
        <v>809</v>
      </c>
      <c r="LDR97" s="1392" t="s">
        <v>809</v>
      </c>
      <c r="LDS97" s="1392" t="s">
        <v>809</v>
      </c>
      <c r="LDT97" s="1392" t="s">
        <v>809</v>
      </c>
      <c r="LDU97" s="1392" t="s">
        <v>809</v>
      </c>
      <c r="LDV97" s="1392" t="s">
        <v>809</v>
      </c>
      <c r="LDW97" s="1392" t="s">
        <v>809</v>
      </c>
      <c r="LDX97" s="1392" t="s">
        <v>809</v>
      </c>
      <c r="LDY97" s="1392" t="s">
        <v>809</v>
      </c>
      <c r="LDZ97" s="1392" t="s">
        <v>809</v>
      </c>
      <c r="LEA97" s="1392" t="s">
        <v>809</v>
      </c>
      <c r="LEB97" s="1392" t="s">
        <v>809</v>
      </c>
      <c r="LEC97" s="1392" t="s">
        <v>809</v>
      </c>
      <c r="LED97" s="1392" t="s">
        <v>809</v>
      </c>
      <c r="LEE97" s="1392" t="s">
        <v>809</v>
      </c>
      <c r="LEF97" s="1392" t="s">
        <v>809</v>
      </c>
      <c r="LEG97" s="1392" t="s">
        <v>809</v>
      </c>
      <c r="LEH97" s="1392" t="s">
        <v>809</v>
      </c>
      <c r="LEI97" s="1392" t="s">
        <v>809</v>
      </c>
      <c r="LEJ97" s="1392" t="s">
        <v>809</v>
      </c>
      <c r="LEK97" s="1392" t="s">
        <v>809</v>
      </c>
      <c r="LEL97" s="1392" t="s">
        <v>809</v>
      </c>
      <c r="LEM97" s="1392" t="s">
        <v>809</v>
      </c>
      <c r="LEN97" s="1392" t="s">
        <v>809</v>
      </c>
      <c r="LEO97" s="1392" t="s">
        <v>809</v>
      </c>
      <c r="LEP97" s="1392" t="s">
        <v>809</v>
      </c>
      <c r="LEQ97" s="1392" t="s">
        <v>809</v>
      </c>
      <c r="LER97" s="1392" t="s">
        <v>809</v>
      </c>
      <c r="LES97" s="1392" t="s">
        <v>809</v>
      </c>
      <c r="LET97" s="1392" t="s">
        <v>809</v>
      </c>
      <c r="LEU97" s="1392" t="s">
        <v>809</v>
      </c>
      <c r="LEV97" s="1392" t="s">
        <v>809</v>
      </c>
      <c r="LEW97" s="1392" t="s">
        <v>809</v>
      </c>
      <c r="LEX97" s="1392" t="s">
        <v>809</v>
      </c>
      <c r="LEY97" s="1392" t="s">
        <v>809</v>
      </c>
      <c r="LEZ97" s="1392" t="s">
        <v>809</v>
      </c>
      <c r="LFA97" s="1392" t="s">
        <v>809</v>
      </c>
      <c r="LFB97" s="1392" t="s">
        <v>809</v>
      </c>
      <c r="LFC97" s="1392" t="s">
        <v>809</v>
      </c>
      <c r="LFD97" s="1392" t="s">
        <v>809</v>
      </c>
      <c r="LFE97" s="1392" t="s">
        <v>809</v>
      </c>
      <c r="LFF97" s="1392" t="s">
        <v>809</v>
      </c>
      <c r="LFG97" s="1392" t="s">
        <v>809</v>
      </c>
      <c r="LFH97" s="1392" t="s">
        <v>809</v>
      </c>
      <c r="LFI97" s="1392" t="s">
        <v>809</v>
      </c>
      <c r="LFJ97" s="1392" t="s">
        <v>809</v>
      </c>
      <c r="LFK97" s="1392" t="s">
        <v>809</v>
      </c>
      <c r="LFL97" s="1392" t="s">
        <v>809</v>
      </c>
      <c r="LFM97" s="1392" t="s">
        <v>809</v>
      </c>
      <c r="LFN97" s="1392" t="s">
        <v>809</v>
      </c>
      <c r="LFO97" s="1392" t="s">
        <v>809</v>
      </c>
      <c r="LFP97" s="1392" t="s">
        <v>809</v>
      </c>
      <c r="LFQ97" s="1392" t="s">
        <v>809</v>
      </c>
      <c r="LFR97" s="1392" t="s">
        <v>809</v>
      </c>
      <c r="LFS97" s="1392" t="s">
        <v>809</v>
      </c>
      <c r="LFT97" s="1392" t="s">
        <v>809</v>
      </c>
      <c r="LFU97" s="1392" t="s">
        <v>809</v>
      </c>
      <c r="LFV97" s="1392" t="s">
        <v>809</v>
      </c>
      <c r="LFW97" s="1392" t="s">
        <v>809</v>
      </c>
      <c r="LFX97" s="1392" t="s">
        <v>809</v>
      </c>
      <c r="LFY97" s="1392" t="s">
        <v>809</v>
      </c>
      <c r="LFZ97" s="1392" t="s">
        <v>809</v>
      </c>
      <c r="LGA97" s="1392" t="s">
        <v>809</v>
      </c>
      <c r="LGB97" s="1392" t="s">
        <v>809</v>
      </c>
      <c r="LGC97" s="1392" t="s">
        <v>809</v>
      </c>
      <c r="LGD97" s="1392" t="s">
        <v>809</v>
      </c>
      <c r="LGE97" s="1392" t="s">
        <v>809</v>
      </c>
      <c r="LGF97" s="1392" t="s">
        <v>809</v>
      </c>
      <c r="LGG97" s="1392" t="s">
        <v>809</v>
      </c>
      <c r="LGH97" s="1392" t="s">
        <v>809</v>
      </c>
      <c r="LGI97" s="1392" t="s">
        <v>809</v>
      </c>
      <c r="LGJ97" s="1392" t="s">
        <v>809</v>
      </c>
      <c r="LGK97" s="1392" t="s">
        <v>809</v>
      </c>
      <c r="LGL97" s="1392" t="s">
        <v>809</v>
      </c>
      <c r="LGM97" s="1392" t="s">
        <v>809</v>
      </c>
      <c r="LGN97" s="1392" t="s">
        <v>809</v>
      </c>
      <c r="LGO97" s="1392" t="s">
        <v>809</v>
      </c>
      <c r="LGP97" s="1392" t="s">
        <v>809</v>
      </c>
      <c r="LGQ97" s="1392" t="s">
        <v>809</v>
      </c>
      <c r="LGR97" s="1392" t="s">
        <v>809</v>
      </c>
      <c r="LGS97" s="1392" t="s">
        <v>809</v>
      </c>
      <c r="LGT97" s="1392" t="s">
        <v>809</v>
      </c>
      <c r="LGU97" s="1392" t="s">
        <v>809</v>
      </c>
      <c r="LGV97" s="1392" t="s">
        <v>809</v>
      </c>
      <c r="LGW97" s="1392" t="s">
        <v>809</v>
      </c>
      <c r="LGX97" s="1392" t="s">
        <v>809</v>
      </c>
      <c r="LGY97" s="1392" t="s">
        <v>809</v>
      </c>
      <c r="LGZ97" s="1392" t="s">
        <v>809</v>
      </c>
      <c r="LHA97" s="1392" t="s">
        <v>809</v>
      </c>
      <c r="LHB97" s="1392" t="s">
        <v>809</v>
      </c>
      <c r="LHC97" s="1392" t="s">
        <v>809</v>
      </c>
      <c r="LHD97" s="1392" t="s">
        <v>809</v>
      </c>
      <c r="LHE97" s="1392" t="s">
        <v>809</v>
      </c>
      <c r="LHF97" s="1392" t="s">
        <v>809</v>
      </c>
      <c r="LHG97" s="1392" t="s">
        <v>809</v>
      </c>
      <c r="LHH97" s="1392" t="s">
        <v>809</v>
      </c>
      <c r="LHI97" s="1392" t="s">
        <v>809</v>
      </c>
      <c r="LHJ97" s="1392" t="s">
        <v>809</v>
      </c>
      <c r="LHK97" s="1392" t="s">
        <v>809</v>
      </c>
      <c r="LHL97" s="1392" t="s">
        <v>809</v>
      </c>
      <c r="LHM97" s="1392" t="s">
        <v>809</v>
      </c>
      <c r="LHN97" s="1392" t="s">
        <v>809</v>
      </c>
      <c r="LHO97" s="1392" t="s">
        <v>809</v>
      </c>
      <c r="LHP97" s="1392" t="s">
        <v>809</v>
      </c>
      <c r="LHQ97" s="1392" t="s">
        <v>809</v>
      </c>
      <c r="LHR97" s="1392" t="s">
        <v>809</v>
      </c>
      <c r="LHS97" s="1392" t="s">
        <v>809</v>
      </c>
      <c r="LHT97" s="1392" t="s">
        <v>809</v>
      </c>
      <c r="LHU97" s="1392" t="s">
        <v>809</v>
      </c>
      <c r="LHV97" s="1392" t="s">
        <v>809</v>
      </c>
      <c r="LHW97" s="1392" t="s">
        <v>809</v>
      </c>
      <c r="LHX97" s="1392" t="s">
        <v>809</v>
      </c>
      <c r="LHY97" s="1392" t="s">
        <v>809</v>
      </c>
      <c r="LHZ97" s="1392" t="s">
        <v>809</v>
      </c>
      <c r="LIA97" s="1392" t="s">
        <v>809</v>
      </c>
      <c r="LIB97" s="1392" t="s">
        <v>809</v>
      </c>
      <c r="LIC97" s="1392" t="s">
        <v>809</v>
      </c>
      <c r="LID97" s="1392" t="s">
        <v>809</v>
      </c>
      <c r="LIE97" s="1392" t="s">
        <v>809</v>
      </c>
      <c r="LIF97" s="1392" t="s">
        <v>809</v>
      </c>
      <c r="LIG97" s="1392" t="s">
        <v>809</v>
      </c>
      <c r="LIH97" s="1392" t="s">
        <v>809</v>
      </c>
      <c r="LII97" s="1392" t="s">
        <v>809</v>
      </c>
      <c r="LIJ97" s="1392" t="s">
        <v>809</v>
      </c>
      <c r="LIK97" s="1392" t="s">
        <v>809</v>
      </c>
      <c r="LIL97" s="1392" t="s">
        <v>809</v>
      </c>
      <c r="LIM97" s="1392" t="s">
        <v>809</v>
      </c>
      <c r="LIN97" s="1392" t="s">
        <v>809</v>
      </c>
      <c r="LIO97" s="1392" t="s">
        <v>809</v>
      </c>
      <c r="LIP97" s="1392" t="s">
        <v>809</v>
      </c>
      <c r="LIQ97" s="1392" t="s">
        <v>809</v>
      </c>
      <c r="LIR97" s="1392" t="s">
        <v>809</v>
      </c>
      <c r="LIS97" s="1392" t="s">
        <v>809</v>
      </c>
      <c r="LIT97" s="1392" t="s">
        <v>809</v>
      </c>
      <c r="LIU97" s="1392" t="s">
        <v>809</v>
      </c>
      <c r="LIV97" s="1392" t="s">
        <v>809</v>
      </c>
      <c r="LIW97" s="1392" t="s">
        <v>809</v>
      </c>
      <c r="LIX97" s="1392" t="s">
        <v>809</v>
      </c>
      <c r="LIY97" s="1392" t="s">
        <v>809</v>
      </c>
      <c r="LIZ97" s="1392" t="s">
        <v>809</v>
      </c>
      <c r="LJA97" s="1392" t="s">
        <v>809</v>
      </c>
      <c r="LJB97" s="1392" t="s">
        <v>809</v>
      </c>
      <c r="LJC97" s="1392" t="s">
        <v>809</v>
      </c>
      <c r="LJD97" s="1392" t="s">
        <v>809</v>
      </c>
      <c r="LJE97" s="1392" t="s">
        <v>809</v>
      </c>
      <c r="LJF97" s="1392" t="s">
        <v>809</v>
      </c>
      <c r="LJG97" s="1392" t="s">
        <v>809</v>
      </c>
      <c r="LJH97" s="1392" t="s">
        <v>809</v>
      </c>
      <c r="LJI97" s="1392" t="s">
        <v>809</v>
      </c>
      <c r="LJJ97" s="1392" t="s">
        <v>809</v>
      </c>
      <c r="LJK97" s="1392" t="s">
        <v>809</v>
      </c>
      <c r="LJL97" s="1392" t="s">
        <v>809</v>
      </c>
      <c r="LJM97" s="1392" t="s">
        <v>809</v>
      </c>
      <c r="LJN97" s="1392" t="s">
        <v>809</v>
      </c>
      <c r="LJO97" s="1392" t="s">
        <v>809</v>
      </c>
      <c r="LJP97" s="1392" t="s">
        <v>809</v>
      </c>
      <c r="LJQ97" s="1392" t="s">
        <v>809</v>
      </c>
      <c r="LJR97" s="1392" t="s">
        <v>809</v>
      </c>
      <c r="LJS97" s="1392" t="s">
        <v>809</v>
      </c>
      <c r="LJT97" s="1392" t="s">
        <v>809</v>
      </c>
      <c r="LJU97" s="1392" t="s">
        <v>809</v>
      </c>
      <c r="LJV97" s="1392" t="s">
        <v>809</v>
      </c>
      <c r="LJW97" s="1392" t="s">
        <v>809</v>
      </c>
      <c r="LJX97" s="1392" t="s">
        <v>809</v>
      </c>
      <c r="LJY97" s="1392" t="s">
        <v>809</v>
      </c>
      <c r="LJZ97" s="1392" t="s">
        <v>809</v>
      </c>
      <c r="LKA97" s="1392" t="s">
        <v>809</v>
      </c>
      <c r="LKB97" s="1392" t="s">
        <v>809</v>
      </c>
      <c r="LKC97" s="1392" t="s">
        <v>809</v>
      </c>
      <c r="LKD97" s="1392" t="s">
        <v>809</v>
      </c>
      <c r="LKE97" s="1392" t="s">
        <v>809</v>
      </c>
      <c r="LKF97" s="1392" t="s">
        <v>809</v>
      </c>
      <c r="LKG97" s="1392" t="s">
        <v>809</v>
      </c>
      <c r="LKH97" s="1392" t="s">
        <v>809</v>
      </c>
      <c r="LKI97" s="1392" t="s">
        <v>809</v>
      </c>
      <c r="LKJ97" s="1392" t="s">
        <v>809</v>
      </c>
      <c r="LKK97" s="1392" t="s">
        <v>809</v>
      </c>
      <c r="LKL97" s="1392" t="s">
        <v>809</v>
      </c>
      <c r="LKM97" s="1392" t="s">
        <v>809</v>
      </c>
      <c r="LKN97" s="1392" t="s">
        <v>809</v>
      </c>
      <c r="LKO97" s="1392" t="s">
        <v>809</v>
      </c>
      <c r="LKP97" s="1392" t="s">
        <v>809</v>
      </c>
      <c r="LKQ97" s="1392" t="s">
        <v>809</v>
      </c>
      <c r="LKR97" s="1392" t="s">
        <v>809</v>
      </c>
      <c r="LKS97" s="1392" t="s">
        <v>809</v>
      </c>
      <c r="LKT97" s="1392" t="s">
        <v>809</v>
      </c>
      <c r="LKU97" s="1392" t="s">
        <v>809</v>
      </c>
      <c r="LKV97" s="1392" t="s">
        <v>809</v>
      </c>
      <c r="LKW97" s="1392" t="s">
        <v>809</v>
      </c>
      <c r="LKX97" s="1392" t="s">
        <v>809</v>
      </c>
      <c r="LKY97" s="1392" t="s">
        <v>809</v>
      </c>
      <c r="LKZ97" s="1392" t="s">
        <v>809</v>
      </c>
      <c r="LLA97" s="1392" t="s">
        <v>809</v>
      </c>
      <c r="LLB97" s="1392" t="s">
        <v>809</v>
      </c>
      <c r="LLC97" s="1392" t="s">
        <v>809</v>
      </c>
      <c r="LLD97" s="1392" t="s">
        <v>809</v>
      </c>
      <c r="LLE97" s="1392" t="s">
        <v>809</v>
      </c>
      <c r="LLF97" s="1392" t="s">
        <v>809</v>
      </c>
      <c r="LLG97" s="1392" t="s">
        <v>809</v>
      </c>
      <c r="LLH97" s="1392" t="s">
        <v>809</v>
      </c>
      <c r="LLI97" s="1392" t="s">
        <v>809</v>
      </c>
      <c r="LLJ97" s="1392" t="s">
        <v>809</v>
      </c>
      <c r="LLK97" s="1392" t="s">
        <v>809</v>
      </c>
      <c r="LLL97" s="1392" t="s">
        <v>809</v>
      </c>
      <c r="LLM97" s="1392" t="s">
        <v>809</v>
      </c>
      <c r="LLN97" s="1392" t="s">
        <v>809</v>
      </c>
      <c r="LLO97" s="1392" t="s">
        <v>809</v>
      </c>
      <c r="LLP97" s="1392" t="s">
        <v>809</v>
      </c>
      <c r="LLQ97" s="1392" t="s">
        <v>809</v>
      </c>
      <c r="LLR97" s="1392" t="s">
        <v>809</v>
      </c>
      <c r="LLS97" s="1392" t="s">
        <v>809</v>
      </c>
      <c r="LLT97" s="1392" t="s">
        <v>809</v>
      </c>
      <c r="LLU97" s="1392" t="s">
        <v>809</v>
      </c>
      <c r="LLV97" s="1392" t="s">
        <v>809</v>
      </c>
      <c r="LLW97" s="1392" t="s">
        <v>809</v>
      </c>
      <c r="LLX97" s="1392" t="s">
        <v>809</v>
      </c>
      <c r="LLY97" s="1392" t="s">
        <v>809</v>
      </c>
      <c r="LLZ97" s="1392" t="s">
        <v>809</v>
      </c>
      <c r="LMA97" s="1392" t="s">
        <v>809</v>
      </c>
      <c r="LMB97" s="1392" t="s">
        <v>809</v>
      </c>
      <c r="LMC97" s="1392" t="s">
        <v>809</v>
      </c>
      <c r="LMD97" s="1392" t="s">
        <v>809</v>
      </c>
      <c r="LME97" s="1392" t="s">
        <v>809</v>
      </c>
      <c r="LMF97" s="1392" t="s">
        <v>809</v>
      </c>
      <c r="LMG97" s="1392" t="s">
        <v>809</v>
      </c>
      <c r="LMH97" s="1392" t="s">
        <v>809</v>
      </c>
      <c r="LMI97" s="1392" t="s">
        <v>809</v>
      </c>
      <c r="LMJ97" s="1392" t="s">
        <v>809</v>
      </c>
      <c r="LMK97" s="1392" t="s">
        <v>809</v>
      </c>
      <c r="LML97" s="1392" t="s">
        <v>809</v>
      </c>
      <c r="LMM97" s="1392" t="s">
        <v>809</v>
      </c>
      <c r="LMN97" s="1392" t="s">
        <v>809</v>
      </c>
      <c r="LMO97" s="1392" t="s">
        <v>809</v>
      </c>
      <c r="LMP97" s="1392" t="s">
        <v>809</v>
      </c>
      <c r="LMQ97" s="1392" t="s">
        <v>809</v>
      </c>
      <c r="LMR97" s="1392" t="s">
        <v>809</v>
      </c>
      <c r="LMS97" s="1392" t="s">
        <v>809</v>
      </c>
      <c r="LMT97" s="1392" t="s">
        <v>809</v>
      </c>
      <c r="LMU97" s="1392" t="s">
        <v>809</v>
      </c>
      <c r="LMV97" s="1392" t="s">
        <v>809</v>
      </c>
      <c r="LMW97" s="1392" t="s">
        <v>809</v>
      </c>
      <c r="LMX97" s="1392" t="s">
        <v>809</v>
      </c>
      <c r="LMY97" s="1392" t="s">
        <v>809</v>
      </c>
      <c r="LMZ97" s="1392" t="s">
        <v>809</v>
      </c>
      <c r="LNA97" s="1392" t="s">
        <v>809</v>
      </c>
      <c r="LNB97" s="1392" t="s">
        <v>809</v>
      </c>
      <c r="LNC97" s="1392" t="s">
        <v>809</v>
      </c>
      <c r="LND97" s="1392" t="s">
        <v>809</v>
      </c>
      <c r="LNE97" s="1392" t="s">
        <v>809</v>
      </c>
      <c r="LNF97" s="1392" t="s">
        <v>809</v>
      </c>
      <c r="LNG97" s="1392" t="s">
        <v>809</v>
      </c>
      <c r="LNH97" s="1392" t="s">
        <v>809</v>
      </c>
      <c r="LNI97" s="1392" t="s">
        <v>809</v>
      </c>
      <c r="LNJ97" s="1392" t="s">
        <v>809</v>
      </c>
      <c r="LNK97" s="1392" t="s">
        <v>809</v>
      </c>
      <c r="LNL97" s="1392" t="s">
        <v>809</v>
      </c>
      <c r="LNM97" s="1392" t="s">
        <v>809</v>
      </c>
      <c r="LNN97" s="1392" t="s">
        <v>809</v>
      </c>
      <c r="LNO97" s="1392" t="s">
        <v>809</v>
      </c>
      <c r="LNP97" s="1392" t="s">
        <v>809</v>
      </c>
      <c r="LNQ97" s="1392" t="s">
        <v>809</v>
      </c>
      <c r="LNR97" s="1392" t="s">
        <v>809</v>
      </c>
      <c r="LNS97" s="1392" t="s">
        <v>809</v>
      </c>
      <c r="LNT97" s="1392" t="s">
        <v>809</v>
      </c>
      <c r="LNU97" s="1392" t="s">
        <v>809</v>
      </c>
      <c r="LNV97" s="1392" t="s">
        <v>809</v>
      </c>
      <c r="LNW97" s="1392" t="s">
        <v>809</v>
      </c>
      <c r="LNX97" s="1392" t="s">
        <v>809</v>
      </c>
      <c r="LNY97" s="1392" t="s">
        <v>809</v>
      </c>
      <c r="LNZ97" s="1392" t="s">
        <v>809</v>
      </c>
      <c r="LOA97" s="1392" t="s">
        <v>809</v>
      </c>
      <c r="LOB97" s="1392" t="s">
        <v>809</v>
      </c>
      <c r="LOC97" s="1392" t="s">
        <v>809</v>
      </c>
      <c r="LOD97" s="1392" t="s">
        <v>809</v>
      </c>
      <c r="LOE97" s="1392" t="s">
        <v>809</v>
      </c>
      <c r="LOF97" s="1392" t="s">
        <v>809</v>
      </c>
      <c r="LOG97" s="1392" t="s">
        <v>809</v>
      </c>
      <c r="LOH97" s="1392" t="s">
        <v>809</v>
      </c>
      <c r="LOI97" s="1392" t="s">
        <v>809</v>
      </c>
      <c r="LOJ97" s="1392" t="s">
        <v>809</v>
      </c>
      <c r="LOK97" s="1392" t="s">
        <v>809</v>
      </c>
      <c r="LOL97" s="1392" t="s">
        <v>809</v>
      </c>
      <c r="LOM97" s="1392" t="s">
        <v>809</v>
      </c>
      <c r="LON97" s="1392" t="s">
        <v>809</v>
      </c>
      <c r="LOO97" s="1392" t="s">
        <v>809</v>
      </c>
      <c r="LOP97" s="1392" t="s">
        <v>809</v>
      </c>
      <c r="LOQ97" s="1392" t="s">
        <v>809</v>
      </c>
      <c r="LOR97" s="1392" t="s">
        <v>809</v>
      </c>
      <c r="LOS97" s="1392" t="s">
        <v>809</v>
      </c>
      <c r="LOT97" s="1392" t="s">
        <v>809</v>
      </c>
      <c r="LOU97" s="1392" t="s">
        <v>809</v>
      </c>
      <c r="LOV97" s="1392" t="s">
        <v>809</v>
      </c>
      <c r="LOW97" s="1392" t="s">
        <v>809</v>
      </c>
      <c r="LOX97" s="1392" t="s">
        <v>809</v>
      </c>
      <c r="LOY97" s="1392" t="s">
        <v>809</v>
      </c>
      <c r="LOZ97" s="1392" t="s">
        <v>809</v>
      </c>
      <c r="LPA97" s="1392" t="s">
        <v>809</v>
      </c>
      <c r="LPB97" s="1392" t="s">
        <v>809</v>
      </c>
      <c r="LPC97" s="1392" t="s">
        <v>809</v>
      </c>
      <c r="LPD97" s="1392" t="s">
        <v>809</v>
      </c>
      <c r="LPE97" s="1392" t="s">
        <v>809</v>
      </c>
      <c r="LPF97" s="1392" t="s">
        <v>809</v>
      </c>
      <c r="LPG97" s="1392" t="s">
        <v>809</v>
      </c>
      <c r="LPH97" s="1392" t="s">
        <v>809</v>
      </c>
      <c r="LPI97" s="1392" t="s">
        <v>809</v>
      </c>
      <c r="LPJ97" s="1392" t="s">
        <v>809</v>
      </c>
      <c r="LPK97" s="1392" t="s">
        <v>809</v>
      </c>
      <c r="LPL97" s="1392" t="s">
        <v>809</v>
      </c>
      <c r="LPM97" s="1392" t="s">
        <v>809</v>
      </c>
      <c r="LPN97" s="1392" t="s">
        <v>809</v>
      </c>
      <c r="LPO97" s="1392" t="s">
        <v>809</v>
      </c>
      <c r="LPP97" s="1392" t="s">
        <v>809</v>
      </c>
      <c r="LPQ97" s="1392" t="s">
        <v>809</v>
      </c>
      <c r="LPR97" s="1392" t="s">
        <v>809</v>
      </c>
      <c r="LPS97" s="1392" t="s">
        <v>809</v>
      </c>
      <c r="LPT97" s="1392" t="s">
        <v>809</v>
      </c>
      <c r="LPU97" s="1392" t="s">
        <v>809</v>
      </c>
      <c r="LPV97" s="1392" t="s">
        <v>809</v>
      </c>
      <c r="LPW97" s="1392" t="s">
        <v>809</v>
      </c>
      <c r="LPX97" s="1392" t="s">
        <v>809</v>
      </c>
      <c r="LPY97" s="1392" t="s">
        <v>809</v>
      </c>
      <c r="LPZ97" s="1392" t="s">
        <v>809</v>
      </c>
      <c r="LQA97" s="1392" t="s">
        <v>809</v>
      </c>
      <c r="LQB97" s="1392" t="s">
        <v>809</v>
      </c>
      <c r="LQC97" s="1392" t="s">
        <v>809</v>
      </c>
      <c r="LQD97" s="1392" t="s">
        <v>809</v>
      </c>
      <c r="LQE97" s="1392" t="s">
        <v>809</v>
      </c>
      <c r="LQF97" s="1392" t="s">
        <v>809</v>
      </c>
      <c r="LQG97" s="1392" t="s">
        <v>809</v>
      </c>
      <c r="LQH97" s="1392" t="s">
        <v>809</v>
      </c>
      <c r="LQI97" s="1392" t="s">
        <v>809</v>
      </c>
      <c r="LQJ97" s="1392" t="s">
        <v>809</v>
      </c>
      <c r="LQK97" s="1392" t="s">
        <v>809</v>
      </c>
      <c r="LQL97" s="1392" t="s">
        <v>809</v>
      </c>
      <c r="LQM97" s="1392" t="s">
        <v>809</v>
      </c>
      <c r="LQN97" s="1392" t="s">
        <v>809</v>
      </c>
      <c r="LQO97" s="1392" t="s">
        <v>809</v>
      </c>
      <c r="LQP97" s="1392" t="s">
        <v>809</v>
      </c>
      <c r="LQQ97" s="1392" t="s">
        <v>809</v>
      </c>
      <c r="LQR97" s="1392" t="s">
        <v>809</v>
      </c>
      <c r="LQS97" s="1392" t="s">
        <v>809</v>
      </c>
      <c r="LQT97" s="1392" t="s">
        <v>809</v>
      </c>
      <c r="LQU97" s="1392" t="s">
        <v>809</v>
      </c>
      <c r="LQV97" s="1392" t="s">
        <v>809</v>
      </c>
      <c r="LQW97" s="1392" t="s">
        <v>809</v>
      </c>
      <c r="LQX97" s="1392" t="s">
        <v>809</v>
      </c>
      <c r="LQY97" s="1392" t="s">
        <v>809</v>
      </c>
      <c r="LQZ97" s="1392" t="s">
        <v>809</v>
      </c>
      <c r="LRA97" s="1392" t="s">
        <v>809</v>
      </c>
      <c r="LRB97" s="1392" t="s">
        <v>809</v>
      </c>
      <c r="LRC97" s="1392" t="s">
        <v>809</v>
      </c>
      <c r="LRD97" s="1392" t="s">
        <v>809</v>
      </c>
      <c r="LRE97" s="1392" t="s">
        <v>809</v>
      </c>
      <c r="LRF97" s="1392" t="s">
        <v>809</v>
      </c>
      <c r="LRG97" s="1392" t="s">
        <v>809</v>
      </c>
      <c r="LRH97" s="1392" t="s">
        <v>809</v>
      </c>
      <c r="LRI97" s="1392" t="s">
        <v>809</v>
      </c>
      <c r="LRJ97" s="1392" t="s">
        <v>809</v>
      </c>
      <c r="LRK97" s="1392" t="s">
        <v>809</v>
      </c>
      <c r="LRL97" s="1392" t="s">
        <v>809</v>
      </c>
      <c r="LRM97" s="1392" t="s">
        <v>809</v>
      </c>
      <c r="LRN97" s="1392" t="s">
        <v>809</v>
      </c>
      <c r="LRO97" s="1392" t="s">
        <v>809</v>
      </c>
      <c r="LRP97" s="1392" t="s">
        <v>809</v>
      </c>
      <c r="LRQ97" s="1392" t="s">
        <v>809</v>
      </c>
      <c r="LRR97" s="1392" t="s">
        <v>809</v>
      </c>
      <c r="LRS97" s="1392" t="s">
        <v>809</v>
      </c>
      <c r="LRT97" s="1392" t="s">
        <v>809</v>
      </c>
      <c r="LRU97" s="1392" t="s">
        <v>809</v>
      </c>
      <c r="LRV97" s="1392" t="s">
        <v>809</v>
      </c>
      <c r="LRW97" s="1392" t="s">
        <v>809</v>
      </c>
      <c r="LRX97" s="1392" t="s">
        <v>809</v>
      </c>
      <c r="LRY97" s="1392" t="s">
        <v>809</v>
      </c>
      <c r="LRZ97" s="1392" t="s">
        <v>809</v>
      </c>
      <c r="LSA97" s="1392" t="s">
        <v>809</v>
      </c>
      <c r="LSB97" s="1392" t="s">
        <v>809</v>
      </c>
      <c r="LSC97" s="1392" t="s">
        <v>809</v>
      </c>
      <c r="LSD97" s="1392" t="s">
        <v>809</v>
      </c>
      <c r="LSE97" s="1392" t="s">
        <v>809</v>
      </c>
      <c r="LSF97" s="1392" t="s">
        <v>809</v>
      </c>
      <c r="LSG97" s="1392" t="s">
        <v>809</v>
      </c>
      <c r="LSH97" s="1392" t="s">
        <v>809</v>
      </c>
      <c r="LSI97" s="1392" t="s">
        <v>809</v>
      </c>
      <c r="LSJ97" s="1392" t="s">
        <v>809</v>
      </c>
      <c r="LSK97" s="1392" t="s">
        <v>809</v>
      </c>
      <c r="LSL97" s="1392" t="s">
        <v>809</v>
      </c>
      <c r="LSM97" s="1392" t="s">
        <v>809</v>
      </c>
      <c r="LSN97" s="1392" t="s">
        <v>809</v>
      </c>
      <c r="LSO97" s="1392" t="s">
        <v>809</v>
      </c>
      <c r="LSP97" s="1392" t="s">
        <v>809</v>
      </c>
      <c r="LSQ97" s="1392" t="s">
        <v>809</v>
      </c>
      <c r="LSR97" s="1392" t="s">
        <v>809</v>
      </c>
      <c r="LSS97" s="1392" t="s">
        <v>809</v>
      </c>
      <c r="LST97" s="1392" t="s">
        <v>809</v>
      </c>
      <c r="LSU97" s="1392" t="s">
        <v>809</v>
      </c>
      <c r="LSV97" s="1392" t="s">
        <v>809</v>
      </c>
      <c r="LSW97" s="1392" t="s">
        <v>809</v>
      </c>
      <c r="LSX97" s="1392" t="s">
        <v>809</v>
      </c>
      <c r="LSY97" s="1392" t="s">
        <v>809</v>
      </c>
      <c r="LSZ97" s="1392" t="s">
        <v>809</v>
      </c>
      <c r="LTA97" s="1392" t="s">
        <v>809</v>
      </c>
      <c r="LTB97" s="1392" t="s">
        <v>809</v>
      </c>
      <c r="LTC97" s="1392" t="s">
        <v>809</v>
      </c>
      <c r="LTD97" s="1392" t="s">
        <v>809</v>
      </c>
      <c r="LTE97" s="1392" t="s">
        <v>809</v>
      </c>
      <c r="LTF97" s="1392" t="s">
        <v>809</v>
      </c>
      <c r="LTG97" s="1392" t="s">
        <v>809</v>
      </c>
      <c r="LTH97" s="1392" t="s">
        <v>809</v>
      </c>
      <c r="LTI97" s="1392" t="s">
        <v>809</v>
      </c>
      <c r="LTJ97" s="1392" t="s">
        <v>809</v>
      </c>
      <c r="LTK97" s="1392" t="s">
        <v>809</v>
      </c>
      <c r="LTL97" s="1392" t="s">
        <v>809</v>
      </c>
      <c r="LTM97" s="1392" t="s">
        <v>809</v>
      </c>
      <c r="LTN97" s="1392" t="s">
        <v>809</v>
      </c>
      <c r="LTO97" s="1392" t="s">
        <v>809</v>
      </c>
      <c r="LTP97" s="1392" t="s">
        <v>809</v>
      </c>
      <c r="LTQ97" s="1392" t="s">
        <v>809</v>
      </c>
      <c r="LTR97" s="1392" t="s">
        <v>809</v>
      </c>
      <c r="LTS97" s="1392" t="s">
        <v>809</v>
      </c>
      <c r="LTT97" s="1392" t="s">
        <v>809</v>
      </c>
      <c r="LTU97" s="1392" t="s">
        <v>809</v>
      </c>
      <c r="LTV97" s="1392" t="s">
        <v>809</v>
      </c>
      <c r="LTW97" s="1392" t="s">
        <v>809</v>
      </c>
      <c r="LTX97" s="1392" t="s">
        <v>809</v>
      </c>
      <c r="LTY97" s="1392" t="s">
        <v>809</v>
      </c>
      <c r="LTZ97" s="1392" t="s">
        <v>809</v>
      </c>
      <c r="LUA97" s="1392" t="s">
        <v>809</v>
      </c>
      <c r="LUB97" s="1392" t="s">
        <v>809</v>
      </c>
      <c r="LUC97" s="1392" t="s">
        <v>809</v>
      </c>
      <c r="LUD97" s="1392" t="s">
        <v>809</v>
      </c>
      <c r="LUE97" s="1392" t="s">
        <v>809</v>
      </c>
      <c r="LUF97" s="1392" t="s">
        <v>809</v>
      </c>
      <c r="LUG97" s="1392" t="s">
        <v>809</v>
      </c>
      <c r="LUH97" s="1392" t="s">
        <v>809</v>
      </c>
      <c r="LUI97" s="1392" t="s">
        <v>809</v>
      </c>
      <c r="LUJ97" s="1392" t="s">
        <v>809</v>
      </c>
      <c r="LUK97" s="1392" t="s">
        <v>809</v>
      </c>
      <c r="LUL97" s="1392" t="s">
        <v>809</v>
      </c>
      <c r="LUM97" s="1392" t="s">
        <v>809</v>
      </c>
      <c r="LUN97" s="1392" t="s">
        <v>809</v>
      </c>
      <c r="LUO97" s="1392" t="s">
        <v>809</v>
      </c>
      <c r="LUP97" s="1392" t="s">
        <v>809</v>
      </c>
      <c r="LUQ97" s="1392" t="s">
        <v>809</v>
      </c>
      <c r="LUR97" s="1392" t="s">
        <v>809</v>
      </c>
      <c r="LUS97" s="1392" t="s">
        <v>809</v>
      </c>
      <c r="LUT97" s="1392" t="s">
        <v>809</v>
      </c>
      <c r="LUU97" s="1392" t="s">
        <v>809</v>
      </c>
      <c r="LUV97" s="1392" t="s">
        <v>809</v>
      </c>
      <c r="LUW97" s="1392" t="s">
        <v>809</v>
      </c>
      <c r="LUX97" s="1392" t="s">
        <v>809</v>
      </c>
      <c r="LUY97" s="1392" t="s">
        <v>809</v>
      </c>
      <c r="LUZ97" s="1392" t="s">
        <v>809</v>
      </c>
      <c r="LVA97" s="1392" t="s">
        <v>809</v>
      </c>
      <c r="LVB97" s="1392" t="s">
        <v>809</v>
      </c>
      <c r="LVC97" s="1392" t="s">
        <v>809</v>
      </c>
      <c r="LVD97" s="1392" t="s">
        <v>809</v>
      </c>
      <c r="LVE97" s="1392" t="s">
        <v>809</v>
      </c>
      <c r="LVF97" s="1392" t="s">
        <v>809</v>
      </c>
      <c r="LVG97" s="1392" t="s">
        <v>809</v>
      </c>
      <c r="LVH97" s="1392" t="s">
        <v>809</v>
      </c>
      <c r="LVI97" s="1392" t="s">
        <v>809</v>
      </c>
      <c r="LVJ97" s="1392" t="s">
        <v>809</v>
      </c>
      <c r="LVK97" s="1392" t="s">
        <v>809</v>
      </c>
      <c r="LVL97" s="1392" t="s">
        <v>809</v>
      </c>
      <c r="LVM97" s="1392" t="s">
        <v>809</v>
      </c>
      <c r="LVN97" s="1392" t="s">
        <v>809</v>
      </c>
      <c r="LVO97" s="1392" t="s">
        <v>809</v>
      </c>
      <c r="LVP97" s="1392" t="s">
        <v>809</v>
      </c>
      <c r="LVQ97" s="1392" t="s">
        <v>809</v>
      </c>
      <c r="LVR97" s="1392" t="s">
        <v>809</v>
      </c>
      <c r="LVS97" s="1392" t="s">
        <v>809</v>
      </c>
      <c r="LVT97" s="1392" t="s">
        <v>809</v>
      </c>
      <c r="LVU97" s="1392" t="s">
        <v>809</v>
      </c>
      <c r="LVV97" s="1392" t="s">
        <v>809</v>
      </c>
      <c r="LVW97" s="1392" t="s">
        <v>809</v>
      </c>
      <c r="LVX97" s="1392" t="s">
        <v>809</v>
      </c>
      <c r="LVY97" s="1392" t="s">
        <v>809</v>
      </c>
      <c r="LVZ97" s="1392" t="s">
        <v>809</v>
      </c>
      <c r="LWA97" s="1392" t="s">
        <v>809</v>
      </c>
      <c r="LWB97" s="1392" t="s">
        <v>809</v>
      </c>
      <c r="LWC97" s="1392" t="s">
        <v>809</v>
      </c>
      <c r="LWD97" s="1392" t="s">
        <v>809</v>
      </c>
      <c r="LWE97" s="1392" t="s">
        <v>809</v>
      </c>
      <c r="LWF97" s="1392" t="s">
        <v>809</v>
      </c>
      <c r="LWG97" s="1392" t="s">
        <v>809</v>
      </c>
      <c r="LWH97" s="1392" t="s">
        <v>809</v>
      </c>
      <c r="LWI97" s="1392" t="s">
        <v>809</v>
      </c>
      <c r="LWJ97" s="1392" t="s">
        <v>809</v>
      </c>
      <c r="LWK97" s="1392" t="s">
        <v>809</v>
      </c>
      <c r="LWL97" s="1392" t="s">
        <v>809</v>
      </c>
      <c r="LWM97" s="1392" t="s">
        <v>809</v>
      </c>
      <c r="LWN97" s="1392" t="s">
        <v>809</v>
      </c>
      <c r="LWO97" s="1392" t="s">
        <v>809</v>
      </c>
      <c r="LWP97" s="1392" t="s">
        <v>809</v>
      </c>
      <c r="LWQ97" s="1392" t="s">
        <v>809</v>
      </c>
      <c r="LWR97" s="1392" t="s">
        <v>809</v>
      </c>
      <c r="LWS97" s="1392" t="s">
        <v>809</v>
      </c>
      <c r="LWT97" s="1392" t="s">
        <v>809</v>
      </c>
      <c r="LWU97" s="1392" t="s">
        <v>809</v>
      </c>
      <c r="LWV97" s="1392" t="s">
        <v>809</v>
      </c>
      <c r="LWW97" s="1392" t="s">
        <v>809</v>
      </c>
      <c r="LWX97" s="1392" t="s">
        <v>809</v>
      </c>
      <c r="LWY97" s="1392" t="s">
        <v>809</v>
      </c>
      <c r="LWZ97" s="1392" t="s">
        <v>809</v>
      </c>
      <c r="LXA97" s="1392" t="s">
        <v>809</v>
      </c>
      <c r="LXB97" s="1392" t="s">
        <v>809</v>
      </c>
      <c r="LXC97" s="1392" t="s">
        <v>809</v>
      </c>
      <c r="LXD97" s="1392" t="s">
        <v>809</v>
      </c>
      <c r="LXE97" s="1392" t="s">
        <v>809</v>
      </c>
      <c r="LXF97" s="1392" t="s">
        <v>809</v>
      </c>
      <c r="LXG97" s="1392" t="s">
        <v>809</v>
      </c>
      <c r="LXH97" s="1392" t="s">
        <v>809</v>
      </c>
      <c r="LXI97" s="1392" t="s">
        <v>809</v>
      </c>
      <c r="LXJ97" s="1392" t="s">
        <v>809</v>
      </c>
      <c r="LXK97" s="1392" t="s">
        <v>809</v>
      </c>
      <c r="LXL97" s="1392" t="s">
        <v>809</v>
      </c>
      <c r="LXM97" s="1392" t="s">
        <v>809</v>
      </c>
      <c r="LXN97" s="1392" t="s">
        <v>809</v>
      </c>
      <c r="LXO97" s="1392" t="s">
        <v>809</v>
      </c>
      <c r="LXP97" s="1392" t="s">
        <v>809</v>
      </c>
      <c r="LXQ97" s="1392" t="s">
        <v>809</v>
      </c>
      <c r="LXR97" s="1392" t="s">
        <v>809</v>
      </c>
      <c r="LXS97" s="1392" t="s">
        <v>809</v>
      </c>
      <c r="LXT97" s="1392" t="s">
        <v>809</v>
      </c>
      <c r="LXU97" s="1392" t="s">
        <v>809</v>
      </c>
      <c r="LXV97" s="1392" t="s">
        <v>809</v>
      </c>
      <c r="LXW97" s="1392" t="s">
        <v>809</v>
      </c>
      <c r="LXX97" s="1392" t="s">
        <v>809</v>
      </c>
      <c r="LXY97" s="1392" t="s">
        <v>809</v>
      </c>
      <c r="LXZ97" s="1392" t="s">
        <v>809</v>
      </c>
      <c r="LYA97" s="1392" t="s">
        <v>809</v>
      </c>
      <c r="LYB97" s="1392" t="s">
        <v>809</v>
      </c>
      <c r="LYC97" s="1392" t="s">
        <v>809</v>
      </c>
      <c r="LYD97" s="1392" t="s">
        <v>809</v>
      </c>
      <c r="LYE97" s="1392" t="s">
        <v>809</v>
      </c>
      <c r="LYF97" s="1392" t="s">
        <v>809</v>
      </c>
      <c r="LYG97" s="1392" t="s">
        <v>809</v>
      </c>
      <c r="LYH97" s="1392" t="s">
        <v>809</v>
      </c>
      <c r="LYI97" s="1392" t="s">
        <v>809</v>
      </c>
      <c r="LYJ97" s="1392" t="s">
        <v>809</v>
      </c>
      <c r="LYK97" s="1392" t="s">
        <v>809</v>
      </c>
      <c r="LYL97" s="1392" t="s">
        <v>809</v>
      </c>
      <c r="LYM97" s="1392" t="s">
        <v>809</v>
      </c>
      <c r="LYN97" s="1392" t="s">
        <v>809</v>
      </c>
      <c r="LYO97" s="1392" t="s">
        <v>809</v>
      </c>
      <c r="LYP97" s="1392" t="s">
        <v>809</v>
      </c>
      <c r="LYQ97" s="1392" t="s">
        <v>809</v>
      </c>
      <c r="LYR97" s="1392" t="s">
        <v>809</v>
      </c>
      <c r="LYS97" s="1392" t="s">
        <v>809</v>
      </c>
      <c r="LYT97" s="1392" t="s">
        <v>809</v>
      </c>
      <c r="LYU97" s="1392" t="s">
        <v>809</v>
      </c>
      <c r="LYV97" s="1392" t="s">
        <v>809</v>
      </c>
      <c r="LYW97" s="1392" t="s">
        <v>809</v>
      </c>
      <c r="LYX97" s="1392" t="s">
        <v>809</v>
      </c>
      <c r="LYY97" s="1392" t="s">
        <v>809</v>
      </c>
      <c r="LYZ97" s="1392" t="s">
        <v>809</v>
      </c>
      <c r="LZA97" s="1392" t="s">
        <v>809</v>
      </c>
      <c r="LZB97" s="1392" t="s">
        <v>809</v>
      </c>
      <c r="LZC97" s="1392" t="s">
        <v>809</v>
      </c>
      <c r="LZD97" s="1392" t="s">
        <v>809</v>
      </c>
      <c r="LZE97" s="1392" t="s">
        <v>809</v>
      </c>
      <c r="LZF97" s="1392" t="s">
        <v>809</v>
      </c>
      <c r="LZG97" s="1392" t="s">
        <v>809</v>
      </c>
      <c r="LZH97" s="1392" t="s">
        <v>809</v>
      </c>
      <c r="LZI97" s="1392" t="s">
        <v>809</v>
      </c>
      <c r="LZJ97" s="1392" t="s">
        <v>809</v>
      </c>
      <c r="LZK97" s="1392" t="s">
        <v>809</v>
      </c>
      <c r="LZL97" s="1392" t="s">
        <v>809</v>
      </c>
      <c r="LZM97" s="1392" t="s">
        <v>809</v>
      </c>
      <c r="LZN97" s="1392" t="s">
        <v>809</v>
      </c>
      <c r="LZO97" s="1392" t="s">
        <v>809</v>
      </c>
      <c r="LZP97" s="1392" t="s">
        <v>809</v>
      </c>
      <c r="LZQ97" s="1392" t="s">
        <v>809</v>
      </c>
      <c r="LZR97" s="1392" t="s">
        <v>809</v>
      </c>
      <c r="LZS97" s="1392" t="s">
        <v>809</v>
      </c>
      <c r="LZT97" s="1392" t="s">
        <v>809</v>
      </c>
      <c r="LZU97" s="1392" t="s">
        <v>809</v>
      </c>
      <c r="LZV97" s="1392" t="s">
        <v>809</v>
      </c>
      <c r="LZW97" s="1392" t="s">
        <v>809</v>
      </c>
      <c r="LZX97" s="1392" t="s">
        <v>809</v>
      </c>
      <c r="LZY97" s="1392" t="s">
        <v>809</v>
      </c>
      <c r="LZZ97" s="1392" t="s">
        <v>809</v>
      </c>
      <c r="MAA97" s="1392" t="s">
        <v>809</v>
      </c>
      <c r="MAB97" s="1392" t="s">
        <v>809</v>
      </c>
      <c r="MAC97" s="1392" t="s">
        <v>809</v>
      </c>
      <c r="MAD97" s="1392" t="s">
        <v>809</v>
      </c>
      <c r="MAE97" s="1392" t="s">
        <v>809</v>
      </c>
      <c r="MAF97" s="1392" t="s">
        <v>809</v>
      </c>
      <c r="MAG97" s="1392" t="s">
        <v>809</v>
      </c>
      <c r="MAH97" s="1392" t="s">
        <v>809</v>
      </c>
      <c r="MAI97" s="1392" t="s">
        <v>809</v>
      </c>
      <c r="MAJ97" s="1392" t="s">
        <v>809</v>
      </c>
      <c r="MAK97" s="1392" t="s">
        <v>809</v>
      </c>
      <c r="MAL97" s="1392" t="s">
        <v>809</v>
      </c>
      <c r="MAM97" s="1392" t="s">
        <v>809</v>
      </c>
      <c r="MAN97" s="1392" t="s">
        <v>809</v>
      </c>
      <c r="MAO97" s="1392" t="s">
        <v>809</v>
      </c>
      <c r="MAP97" s="1392" t="s">
        <v>809</v>
      </c>
      <c r="MAQ97" s="1392" t="s">
        <v>809</v>
      </c>
      <c r="MAR97" s="1392" t="s">
        <v>809</v>
      </c>
      <c r="MAS97" s="1392" t="s">
        <v>809</v>
      </c>
      <c r="MAT97" s="1392" t="s">
        <v>809</v>
      </c>
      <c r="MAU97" s="1392" t="s">
        <v>809</v>
      </c>
      <c r="MAV97" s="1392" t="s">
        <v>809</v>
      </c>
      <c r="MAW97" s="1392" t="s">
        <v>809</v>
      </c>
      <c r="MAX97" s="1392" t="s">
        <v>809</v>
      </c>
      <c r="MAY97" s="1392" t="s">
        <v>809</v>
      </c>
      <c r="MAZ97" s="1392" t="s">
        <v>809</v>
      </c>
      <c r="MBA97" s="1392" t="s">
        <v>809</v>
      </c>
      <c r="MBB97" s="1392" t="s">
        <v>809</v>
      </c>
      <c r="MBC97" s="1392" t="s">
        <v>809</v>
      </c>
      <c r="MBD97" s="1392" t="s">
        <v>809</v>
      </c>
      <c r="MBE97" s="1392" t="s">
        <v>809</v>
      </c>
      <c r="MBF97" s="1392" t="s">
        <v>809</v>
      </c>
      <c r="MBG97" s="1392" t="s">
        <v>809</v>
      </c>
      <c r="MBH97" s="1392" t="s">
        <v>809</v>
      </c>
      <c r="MBI97" s="1392" t="s">
        <v>809</v>
      </c>
      <c r="MBJ97" s="1392" t="s">
        <v>809</v>
      </c>
      <c r="MBK97" s="1392" t="s">
        <v>809</v>
      </c>
      <c r="MBL97" s="1392" t="s">
        <v>809</v>
      </c>
      <c r="MBM97" s="1392" t="s">
        <v>809</v>
      </c>
      <c r="MBN97" s="1392" t="s">
        <v>809</v>
      </c>
      <c r="MBO97" s="1392" t="s">
        <v>809</v>
      </c>
      <c r="MBP97" s="1392" t="s">
        <v>809</v>
      </c>
      <c r="MBQ97" s="1392" t="s">
        <v>809</v>
      </c>
      <c r="MBR97" s="1392" t="s">
        <v>809</v>
      </c>
      <c r="MBS97" s="1392" t="s">
        <v>809</v>
      </c>
      <c r="MBT97" s="1392" t="s">
        <v>809</v>
      </c>
      <c r="MBU97" s="1392" t="s">
        <v>809</v>
      </c>
      <c r="MBV97" s="1392" t="s">
        <v>809</v>
      </c>
      <c r="MBW97" s="1392" t="s">
        <v>809</v>
      </c>
      <c r="MBX97" s="1392" t="s">
        <v>809</v>
      </c>
      <c r="MBY97" s="1392" t="s">
        <v>809</v>
      </c>
      <c r="MBZ97" s="1392" t="s">
        <v>809</v>
      </c>
      <c r="MCA97" s="1392" t="s">
        <v>809</v>
      </c>
      <c r="MCB97" s="1392" t="s">
        <v>809</v>
      </c>
      <c r="MCC97" s="1392" t="s">
        <v>809</v>
      </c>
      <c r="MCD97" s="1392" t="s">
        <v>809</v>
      </c>
      <c r="MCE97" s="1392" t="s">
        <v>809</v>
      </c>
      <c r="MCF97" s="1392" t="s">
        <v>809</v>
      </c>
      <c r="MCG97" s="1392" t="s">
        <v>809</v>
      </c>
      <c r="MCH97" s="1392" t="s">
        <v>809</v>
      </c>
      <c r="MCI97" s="1392" t="s">
        <v>809</v>
      </c>
      <c r="MCJ97" s="1392" t="s">
        <v>809</v>
      </c>
      <c r="MCK97" s="1392" t="s">
        <v>809</v>
      </c>
      <c r="MCL97" s="1392" t="s">
        <v>809</v>
      </c>
      <c r="MCM97" s="1392" t="s">
        <v>809</v>
      </c>
      <c r="MCN97" s="1392" t="s">
        <v>809</v>
      </c>
      <c r="MCO97" s="1392" t="s">
        <v>809</v>
      </c>
      <c r="MCP97" s="1392" t="s">
        <v>809</v>
      </c>
      <c r="MCQ97" s="1392" t="s">
        <v>809</v>
      </c>
      <c r="MCR97" s="1392" t="s">
        <v>809</v>
      </c>
      <c r="MCS97" s="1392" t="s">
        <v>809</v>
      </c>
      <c r="MCT97" s="1392" t="s">
        <v>809</v>
      </c>
      <c r="MCU97" s="1392" t="s">
        <v>809</v>
      </c>
      <c r="MCV97" s="1392" t="s">
        <v>809</v>
      </c>
      <c r="MCW97" s="1392" t="s">
        <v>809</v>
      </c>
      <c r="MCX97" s="1392" t="s">
        <v>809</v>
      </c>
      <c r="MCY97" s="1392" t="s">
        <v>809</v>
      </c>
      <c r="MCZ97" s="1392" t="s">
        <v>809</v>
      </c>
      <c r="MDA97" s="1392" t="s">
        <v>809</v>
      </c>
      <c r="MDB97" s="1392" t="s">
        <v>809</v>
      </c>
      <c r="MDC97" s="1392" t="s">
        <v>809</v>
      </c>
      <c r="MDD97" s="1392" t="s">
        <v>809</v>
      </c>
      <c r="MDE97" s="1392" t="s">
        <v>809</v>
      </c>
      <c r="MDF97" s="1392" t="s">
        <v>809</v>
      </c>
      <c r="MDG97" s="1392" t="s">
        <v>809</v>
      </c>
      <c r="MDH97" s="1392" t="s">
        <v>809</v>
      </c>
      <c r="MDI97" s="1392" t="s">
        <v>809</v>
      </c>
      <c r="MDJ97" s="1392" t="s">
        <v>809</v>
      </c>
      <c r="MDK97" s="1392" t="s">
        <v>809</v>
      </c>
      <c r="MDL97" s="1392" t="s">
        <v>809</v>
      </c>
      <c r="MDM97" s="1392" t="s">
        <v>809</v>
      </c>
      <c r="MDN97" s="1392" t="s">
        <v>809</v>
      </c>
      <c r="MDO97" s="1392" t="s">
        <v>809</v>
      </c>
      <c r="MDP97" s="1392" t="s">
        <v>809</v>
      </c>
      <c r="MDQ97" s="1392" t="s">
        <v>809</v>
      </c>
      <c r="MDR97" s="1392" t="s">
        <v>809</v>
      </c>
      <c r="MDS97" s="1392" t="s">
        <v>809</v>
      </c>
      <c r="MDT97" s="1392" t="s">
        <v>809</v>
      </c>
      <c r="MDU97" s="1392" t="s">
        <v>809</v>
      </c>
      <c r="MDV97" s="1392" t="s">
        <v>809</v>
      </c>
      <c r="MDW97" s="1392" t="s">
        <v>809</v>
      </c>
      <c r="MDX97" s="1392" t="s">
        <v>809</v>
      </c>
      <c r="MDY97" s="1392" t="s">
        <v>809</v>
      </c>
      <c r="MDZ97" s="1392" t="s">
        <v>809</v>
      </c>
      <c r="MEA97" s="1392" t="s">
        <v>809</v>
      </c>
      <c r="MEB97" s="1392" t="s">
        <v>809</v>
      </c>
      <c r="MEC97" s="1392" t="s">
        <v>809</v>
      </c>
      <c r="MED97" s="1392" t="s">
        <v>809</v>
      </c>
      <c r="MEE97" s="1392" t="s">
        <v>809</v>
      </c>
      <c r="MEF97" s="1392" t="s">
        <v>809</v>
      </c>
      <c r="MEG97" s="1392" t="s">
        <v>809</v>
      </c>
      <c r="MEH97" s="1392" t="s">
        <v>809</v>
      </c>
      <c r="MEI97" s="1392" t="s">
        <v>809</v>
      </c>
      <c r="MEJ97" s="1392" t="s">
        <v>809</v>
      </c>
      <c r="MEK97" s="1392" t="s">
        <v>809</v>
      </c>
      <c r="MEL97" s="1392" t="s">
        <v>809</v>
      </c>
      <c r="MEM97" s="1392" t="s">
        <v>809</v>
      </c>
      <c r="MEN97" s="1392" t="s">
        <v>809</v>
      </c>
      <c r="MEO97" s="1392" t="s">
        <v>809</v>
      </c>
      <c r="MEP97" s="1392" t="s">
        <v>809</v>
      </c>
      <c r="MEQ97" s="1392" t="s">
        <v>809</v>
      </c>
      <c r="MER97" s="1392" t="s">
        <v>809</v>
      </c>
      <c r="MES97" s="1392" t="s">
        <v>809</v>
      </c>
      <c r="MET97" s="1392" t="s">
        <v>809</v>
      </c>
      <c r="MEU97" s="1392" t="s">
        <v>809</v>
      </c>
      <c r="MEV97" s="1392" t="s">
        <v>809</v>
      </c>
      <c r="MEW97" s="1392" t="s">
        <v>809</v>
      </c>
      <c r="MEX97" s="1392" t="s">
        <v>809</v>
      </c>
      <c r="MEY97" s="1392" t="s">
        <v>809</v>
      </c>
      <c r="MEZ97" s="1392" t="s">
        <v>809</v>
      </c>
      <c r="MFA97" s="1392" t="s">
        <v>809</v>
      </c>
      <c r="MFB97" s="1392" t="s">
        <v>809</v>
      </c>
      <c r="MFC97" s="1392" t="s">
        <v>809</v>
      </c>
      <c r="MFD97" s="1392" t="s">
        <v>809</v>
      </c>
      <c r="MFE97" s="1392" t="s">
        <v>809</v>
      </c>
      <c r="MFF97" s="1392" t="s">
        <v>809</v>
      </c>
      <c r="MFG97" s="1392" t="s">
        <v>809</v>
      </c>
      <c r="MFH97" s="1392" t="s">
        <v>809</v>
      </c>
      <c r="MFI97" s="1392" t="s">
        <v>809</v>
      </c>
      <c r="MFJ97" s="1392" t="s">
        <v>809</v>
      </c>
      <c r="MFK97" s="1392" t="s">
        <v>809</v>
      </c>
      <c r="MFL97" s="1392" t="s">
        <v>809</v>
      </c>
      <c r="MFM97" s="1392" t="s">
        <v>809</v>
      </c>
      <c r="MFN97" s="1392" t="s">
        <v>809</v>
      </c>
      <c r="MFO97" s="1392" t="s">
        <v>809</v>
      </c>
      <c r="MFP97" s="1392" t="s">
        <v>809</v>
      </c>
      <c r="MFQ97" s="1392" t="s">
        <v>809</v>
      </c>
      <c r="MFR97" s="1392" t="s">
        <v>809</v>
      </c>
      <c r="MFS97" s="1392" t="s">
        <v>809</v>
      </c>
      <c r="MFT97" s="1392" t="s">
        <v>809</v>
      </c>
      <c r="MFU97" s="1392" t="s">
        <v>809</v>
      </c>
      <c r="MFV97" s="1392" t="s">
        <v>809</v>
      </c>
      <c r="MFW97" s="1392" t="s">
        <v>809</v>
      </c>
      <c r="MFX97" s="1392" t="s">
        <v>809</v>
      </c>
      <c r="MFY97" s="1392" t="s">
        <v>809</v>
      </c>
      <c r="MFZ97" s="1392" t="s">
        <v>809</v>
      </c>
      <c r="MGA97" s="1392" t="s">
        <v>809</v>
      </c>
      <c r="MGB97" s="1392" t="s">
        <v>809</v>
      </c>
      <c r="MGC97" s="1392" t="s">
        <v>809</v>
      </c>
      <c r="MGD97" s="1392" t="s">
        <v>809</v>
      </c>
      <c r="MGE97" s="1392" t="s">
        <v>809</v>
      </c>
      <c r="MGF97" s="1392" t="s">
        <v>809</v>
      </c>
      <c r="MGG97" s="1392" t="s">
        <v>809</v>
      </c>
      <c r="MGH97" s="1392" t="s">
        <v>809</v>
      </c>
      <c r="MGI97" s="1392" t="s">
        <v>809</v>
      </c>
      <c r="MGJ97" s="1392" t="s">
        <v>809</v>
      </c>
      <c r="MGK97" s="1392" t="s">
        <v>809</v>
      </c>
      <c r="MGL97" s="1392" t="s">
        <v>809</v>
      </c>
      <c r="MGM97" s="1392" t="s">
        <v>809</v>
      </c>
      <c r="MGN97" s="1392" t="s">
        <v>809</v>
      </c>
      <c r="MGO97" s="1392" t="s">
        <v>809</v>
      </c>
      <c r="MGP97" s="1392" t="s">
        <v>809</v>
      </c>
      <c r="MGQ97" s="1392" t="s">
        <v>809</v>
      </c>
      <c r="MGR97" s="1392" t="s">
        <v>809</v>
      </c>
      <c r="MGS97" s="1392" t="s">
        <v>809</v>
      </c>
      <c r="MGT97" s="1392" t="s">
        <v>809</v>
      </c>
      <c r="MGU97" s="1392" t="s">
        <v>809</v>
      </c>
      <c r="MGV97" s="1392" t="s">
        <v>809</v>
      </c>
      <c r="MGW97" s="1392" t="s">
        <v>809</v>
      </c>
      <c r="MGX97" s="1392" t="s">
        <v>809</v>
      </c>
      <c r="MGY97" s="1392" t="s">
        <v>809</v>
      </c>
      <c r="MGZ97" s="1392" t="s">
        <v>809</v>
      </c>
      <c r="MHA97" s="1392" t="s">
        <v>809</v>
      </c>
      <c r="MHB97" s="1392" t="s">
        <v>809</v>
      </c>
      <c r="MHC97" s="1392" t="s">
        <v>809</v>
      </c>
      <c r="MHD97" s="1392" t="s">
        <v>809</v>
      </c>
      <c r="MHE97" s="1392" t="s">
        <v>809</v>
      </c>
      <c r="MHF97" s="1392" t="s">
        <v>809</v>
      </c>
      <c r="MHG97" s="1392" t="s">
        <v>809</v>
      </c>
      <c r="MHH97" s="1392" t="s">
        <v>809</v>
      </c>
      <c r="MHI97" s="1392" t="s">
        <v>809</v>
      </c>
      <c r="MHJ97" s="1392" t="s">
        <v>809</v>
      </c>
      <c r="MHK97" s="1392" t="s">
        <v>809</v>
      </c>
      <c r="MHL97" s="1392" t="s">
        <v>809</v>
      </c>
      <c r="MHM97" s="1392" t="s">
        <v>809</v>
      </c>
      <c r="MHN97" s="1392" t="s">
        <v>809</v>
      </c>
      <c r="MHO97" s="1392" t="s">
        <v>809</v>
      </c>
      <c r="MHP97" s="1392" t="s">
        <v>809</v>
      </c>
      <c r="MHQ97" s="1392" t="s">
        <v>809</v>
      </c>
      <c r="MHR97" s="1392" t="s">
        <v>809</v>
      </c>
      <c r="MHS97" s="1392" t="s">
        <v>809</v>
      </c>
      <c r="MHT97" s="1392" t="s">
        <v>809</v>
      </c>
      <c r="MHU97" s="1392" t="s">
        <v>809</v>
      </c>
      <c r="MHV97" s="1392" t="s">
        <v>809</v>
      </c>
      <c r="MHW97" s="1392" t="s">
        <v>809</v>
      </c>
      <c r="MHX97" s="1392" t="s">
        <v>809</v>
      </c>
      <c r="MHY97" s="1392" t="s">
        <v>809</v>
      </c>
      <c r="MHZ97" s="1392" t="s">
        <v>809</v>
      </c>
      <c r="MIA97" s="1392" t="s">
        <v>809</v>
      </c>
      <c r="MIB97" s="1392" t="s">
        <v>809</v>
      </c>
      <c r="MIC97" s="1392" t="s">
        <v>809</v>
      </c>
      <c r="MID97" s="1392" t="s">
        <v>809</v>
      </c>
      <c r="MIE97" s="1392" t="s">
        <v>809</v>
      </c>
      <c r="MIF97" s="1392" t="s">
        <v>809</v>
      </c>
      <c r="MIG97" s="1392" t="s">
        <v>809</v>
      </c>
      <c r="MIH97" s="1392" t="s">
        <v>809</v>
      </c>
      <c r="MII97" s="1392" t="s">
        <v>809</v>
      </c>
      <c r="MIJ97" s="1392" t="s">
        <v>809</v>
      </c>
      <c r="MIK97" s="1392" t="s">
        <v>809</v>
      </c>
      <c r="MIL97" s="1392" t="s">
        <v>809</v>
      </c>
      <c r="MIM97" s="1392" t="s">
        <v>809</v>
      </c>
      <c r="MIN97" s="1392" t="s">
        <v>809</v>
      </c>
      <c r="MIO97" s="1392" t="s">
        <v>809</v>
      </c>
      <c r="MIP97" s="1392" t="s">
        <v>809</v>
      </c>
      <c r="MIQ97" s="1392" t="s">
        <v>809</v>
      </c>
      <c r="MIR97" s="1392" t="s">
        <v>809</v>
      </c>
      <c r="MIS97" s="1392" t="s">
        <v>809</v>
      </c>
      <c r="MIT97" s="1392" t="s">
        <v>809</v>
      </c>
      <c r="MIU97" s="1392" t="s">
        <v>809</v>
      </c>
      <c r="MIV97" s="1392" t="s">
        <v>809</v>
      </c>
      <c r="MIW97" s="1392" t="s">
        <v>809</v>
      </c>
      <c r="MIX97" s="1392" t="s">
        <v>809</v>
      </c>
      <c r="MIY97" s="1392" t="s">
        <v>809</v>
      </c>
      <c r="MIZ97" s="1392" t="s">
        <v>809</v>
      </c>
      <c r="MJA97" s="1392" t="s">
        <v>809</v>
      </c>
      <c r="MJB97" s="1392" t="s">
        <v>809</v>
      </c>
      <c r="MJC97" s="1392" t="s">
        <v>809</v>
      </c>
      <c r="MJD97" s="1392" t="s">
        <v>809</v>
      </c>
      <c r="MJE97" s="1392" t="s">
        <v>809</v>
      </c>
      <c r="MJF97" s="1392" t="s">
        <v>809</v>
      </c>
      <c r="MJG97" s="1392" t="s">
        <v>809</v>
      </c>
      <c r="MJH97" s="1392" t="s">
        <v>809</v>
      </c>
      <c r="MJI97" s="1392" t="s">
        <v>809</v>
      </c>
      <c r="MJJ97" s="1392" t="s">
        <v>809</v>
      </c>
      <c r="MJK97" s="1392" t="s">
        <v>809</v>
      </c>
      <c r="MJL97" s="1392" t="s">
        <v>809</v>
      </c>
      <c r="MJM97" s="1392" t="s">
        <v>809</v>
      </c>
      <c r="MJN97" s="1392" t="s">
        <v>809</v>
      </c>
      <c r="MJO97" s="1392" t="s">
        <v>809</v>
      </c>
      <c r="MJP97" s="1392" t="s">
        <v>809</v>
      </c>
      <c r="MJQ97" s="1392" t="s">
        <v>809</v>
      </c>
      <c r="MJR97" s="1392" t="s">
        <v>809</v>
      </c>
      <c r="MJS97" s="1392" t="s">
        <v>809</v>
      </c>
      <c r="MJT97" s="1392" t="s">
        <v>809</v>
      </c>
      <c r="MJU97" s="1392" t="s">
        <v>809</v>
      </c>
      <c r="MJV97" s="1392" t="s">
        <v>809</v>
      </c>
      <c r="MJW97" s="1392" t="s">
        <v>809</v>
      </c>
      <c r="MJX97" s="1392" t="s">
        <v>809</v>
      </c>
      <c r="MJY97" s="1392" t="s">
        <v>809</v>
      </c>
      <c r="MJZ97" s="1392" t="s">
        <v>809</v>
      </c>
      <c r="MKA97" s="1392" t="s">
        <v>809</v>
      </c>
      <c r="MKB97" s="1392" t="s">
        <v>809</v>
      </c>
      <c r="MKC97" s="1392" t="s">
        <v>809</v>
      </c>
      <c r="MKD97" s="1392" t="s">
        <v>809</v>
      </c>
      <c r="MKE97" s="1392" t="s">
        <v>809</v>
      </c>
      <c r="MKF97" s="1392" t="s">
        <v>809</v>
      </c>
      <c r="MKG97" s="1392" t="s">
        <v>809</v>
      </c>
      <c r="MKH97" s="1392" t="s">
        <v>809</v>
      </c>
      <c r="MKI97" s="1392" t="s">
        <v>809</v>
      </c>
      <c r="MKJ97" s="1392" t="s">
        <v>809</v>
      </c>
      <c r="MKK97" s="1392" t="s">
        <v>809</v>
      </c>
      <c r="MKL97" s="1392" t="s">
        <v>809</v>
      </c>
      <c r="MKM97" s="1392" t="s">
        <v>809</v>
      </c>
      <c r="MKN97" s="1392" t="s">
        <v>809</v>
      </c>
      <c r="MKO97" s="1392" t="s">
        <v>809</v>
      </c>
      <c r="MKP97" s="1392" t="s">
        <v>809</v>
      </c>
      <c r="MKQ97" s="1392" t="s">
        <v>809</v>
      </c>
      <c r="MKR97" s="1392" t="s">
        <v>809</v>
      </c>
      <c r="MKS97" s="1392" t="s">
        <v>809</v>
      </c>
      <c r="MKT97" s="1392" t="s">
        <v>809</v>
      </c>
      <c r="MKU97" s="1392" t="s">
        <v>809</v>
      </c>
      <c r="MKV97" s="1392" t="s">
        <v>809</v>
      </c>
      <c r="MKW97" s="1392" t="s">
        <v>809</v>
      </c>
      <c r="MKX97" s="1392" t="s">
        <v>809</v>
      </c>
      <c r="MKY97" s="1392" t="s">
        <v>809</v>
      </c>
      <c r="MKZ97" s="1392" t="s">
        <v>809</v>
      </c>
      <c r="MLA97" s="1392" t="s">
        <v>809</v>
      </c>
      <c r="MLB97" s="1392" t="s">
        <v>809</v>
      </c>
      <c r="MLC97" s="1392" t="s">
        <v>809</v>
      </c>
      <c r="MLD97" s="1392" t="s">
        <v>809</v>
      </c>
      <c r="MLE97" s="1392" t="s">
        <v>809</v>
      </c>
      <c r="MLF97" s="1392" t="s">
        <v>809</v>
      </c>
      <c r="MLG97" s="1392" t="s">
        <v>809</v>
      </c>
      <c r="MLH97" s="1392" t="s">
        <v>809</v>
      </c>
      <c r="MLI97" s="1392" t="s">
        <v>809</v>
      </c>
      <c r="MLJ97" s="1392" t="s">
        <v>809</v>
      </c>
      <c r="MLK97" s="1392" t="s">
        <v>809</v>
      </c>
      <c r="MLL97" s="1392" t="s">
        <v>809</v>
      </c>
      <c r="MLM97" s="1392" t="s">
        <v>809</v>
      </c>
      <c r="MLN97" s="1392" t="s">
        <v>809</v>
      </c>
      <c r="MLO97" s="1392" t="s">
        <v>809</v>
      </c>
      <c r="MLP97" s="1392" t="s">
        <v>809</v>
      </c>
      <c r="MLQ97" s="1392" t="s">
        <v>809</v>
      </c>
      <c r="MLR97" s="1392" t="s">
        <v>809</v>
      </c>
      <c r="MLS97" s="1392" t="s">
        <v>809</v>
      </c>
      <c r="MLT97" s="1392" t="s">
        <v>809</v>
      </c>
      <c r="MLU97" s="1392" t="s">
        <v>809</v>
      </c>
      <c r="MLV97" s="1392" t="s">
        <v>809</v>
      </c>
      <c r="MLW97" s="1392" t="s">
        <v>809</v>
      </c>
      <c r="MLX97" s="1392" t="s">
        <v>809</v>
      </c>
      <c r="MLY97" s="1392" t="s">
        <v>809</v>
      </c>
      <c r="MLZ97" s="1392" t="s">
        <v>809</v>
      </c>
      <c r="MMA97" s="1392" t="s">
        <v>809</v>
      </c>
      <c r="MMB97" s="1392" t="s">
        <v>809</v>
      </c>
      <c r="MMC97" s="1392" t="s">
        <v>809</v>
      </c>
      <c r="MMD97" s="1392" t="s">
        <v>809</v>
      </c>
      <c r="MME97" s="1392" t="s">
        <v>809</v>
      </c>
      <c r="MMF97" s="1392" t="s">
        <v>809</v>
      </c>
      <c r="MMG97" s="1392" t="s">
        <v>809</v>
      </c>
      <c r="MMH97" s="1392" t="s">
        <v>809</v>
      </c>
      <c r="MMI97" s="1392" t="s">
        <v>809</v>
      </c>
      <c r="MMJ97" s="1392" t="s">
        <v>809</v>
      </c>
      <c r="MMK97" s="1392" t="s">
        <v>809</v>
      </c>
      <c r="MML97" s="1392" t="s">
        <v>809</v>
      </c>
      <c r="MMM97" s="1392" t="s">
        <v>809</v>
      </c>
      <c r="MMN97" s="1392" t="s">
        <v>809</v>
      </c>
      <c r="MMO97" s="1392" t="s">
        <v>809</v>
      </c>
      <c r="MMP97" s="1392" t="s">
        <v>809</v>
      </c>
      <c r="MMQ97" s="1392" t="s">
        <v>809</v>
      </c>
      <c r="MMR97" s="1392" t="s">
        <v>809</v>
      </c>
      <c r="MMS97" s="1392" t="s">
        <v>809</v>
      </c>
      <c r="MMT97" s="1392" t="s">
        <v>809</v>
      </c>
      <c r="MMU97" s="1392" t="s">
        <v>809</v>
      </c>
      <c r="MMV97" s="1392" t="s">
        <v>809</v>
      </c>
      <c r="MMW97" s="1392" t="s">
        <v>809</v>
      </c>
      <c r="MMX97" s="1392" t="s">
        <v>809</v>
      </c>
      <c r="MMY97" s="1392" t="s">
        <v>809</v>
      </c>
      <c r="MMZ97" s="1392" t="s">
        <v>809</v>
      </c>
      <c r="MNA97" s="1392" t="s">
        <v>809</v>
      </c>
      <c r="MNB97" s="1392" t="s">
        <v>809</v>
      </c>
      <c r="MNC97" s="1392" t="s">
        <v>809</v>
      </c>
      <c r="MND97" s="1392" t="s">
        <v>809</v>
      </c>
      <c r="MNE97" s="1392" t="s">
        <v>809</v>
      </c>
      <c r="MNF97" s="1392" t="s">
        <v>809</v>
      </c>
      <c r="MNG97" s="1392" t="s">
        <v>809</v>
      </c>
      <c r="MNH97" s="1392" t="s">
        <v>809</v>
      </c>
      <c r="MNI97" s="1392" t="s">
        <v>809</v>
      </c>
      <c r="MNJ97" s="1392" t="s">
        <v>809</v>
      </c>
      <c r="MNK97" s="1392" t="s">
        <v>809</v>
      </c>
      <c r="MNL97" s="1392" t="s">
        <v>809</v>
      </c>
      <c r="MNM97" s="1392" t="s">
        <v>809</v>
      </c>
      <c r="MNN97" s="1392" t="s">
        <v>809</v>
      </c>
      <c r="MNO97" s="1392" t="s">
        <v>809</v>
      </c>
      <c r="MNP97" s="1392" t="s">
        <v>809</v>
      </c>
      <c r="MNQ97" s="1392" t="s">
        <v>809</v>
      </c>
      <c r="MNR97" s="1392" t="s">
        <v>809</v>
      </c>
      <c r="MNS97" s="1392" t="s">
        <v>809</v>
      </c>
      <c r="MNT97" s="1392" t="s">
        <v>809</v>
      </c>
      <c r="MNU97" s="1392" t="s">
        <v>809</v>
      </c>
      <c r="MNV97" s="1392" t="s">
        <v>809</v>
      </c>
      <c r="MNW97" s="1392" t="s">
        <v>809</v>
      </c>
      <c r="MNX97" s="1392" t="s">
        <v>809</v>
      </c>
      <c r="MNY97" s="1392" t="s">
        <v>809</v>
      </c>
      <c r="MNZ97" s="1392" t="s">
        <v>809</v>
      </c>
      <c r="MOA97" s="1392" t="s">
        <v>809</v>
      </c>
      <c r="MOB97" s="1392" t="s">
        <v>809</v>
      </c>
      <c r="MOC97" s="1392" t="s">
        <v>809</v>
      </c>
      <c r="MOD97" s="1392" t="s">
        <v>809</v>
      </c>
      <c r="MOE97" s="1392" t="s">
        <v>809</v>
      </c>
      <c r="MOF97" s="1392" t="s">
        <v>809</v>
      </c>
      <c r="MOG97" s="1392" t="s">
        <v>809</v>
      </c>
      <c r="MOH97" s="1392" t="s">
        <v>809</v>
      </c>
      <c r="MOI97" s="1392" t="s">
        <v>809</v>
      </c>
      <c r="MOJ97" s="1392" t="s">
        <v>809</v>
      </c>
      <c r="MOK97" s="1392" t="s">
        <v>809</v>
      </c>
      <c r="MOL97" s="1392" t="s">
        <v>809</v>
      </c>
      <c r="MOM97" s="1392" t="s">
        <v>809</v>
      </c>
      <c r="MON97" s="1392" t="s">
        <v>809</v>
      </c>
      <c r="MOO97" s="1392" t="s">
        <v>809</v>
      </c>
      <c r="MOP97" s="1392" t="s">
        <v>809</v>
      </c>
      <c r="MOQ97" s="1392" t="s">
        <v>809</v>
      </c>
      <c r="MOR97" s="1392" t="s">
        <v>809</v>
      </c>
      <c r="MOS97" s="1392" t="s">
        <v>809</v>
      </c>
      <c r="MOT97" s="1392" t="s">
        <v>809</v>
      </c>
      <c r="MOU97" s="1392" t="s">
        <v>809</v>
      </c>
      <c r="MOV97" s="1392" t="s">
        <v>809</v>
      </c>
      <c r="MOW97" s="1392" t="s">
        <v>809</v>
      </c>
      <c r="MOX97" s="1392" t="s">
        <v>809</v>
      </c>
      <c r="MOY97" s="1392" t="s">
        <v>809</v>
      </c>
      <c r="MOZ97" s="1392" t="s">
        <v>809</v>
      </c>
      <c r="MPA97" s="1392" t="s">
        <v>809</v>
      </c>
      <c r="MPB97" s="1392" t="s">
        <v>809</v>
      </c>
      <c r="MPC97" s="1392" t="s">
        <v>809</v>
      </c>
      <c r="MPD97" s="1392" t="s">
        <v>809</v>
      </c>
      <c r="MPE97" s="1392" t="s">
        <v>809</v>
      </c>
      <c r="MPF97" s="1392" t="s">
        <v>809</v>
      </c>
      <c r="MPG97" s="1392" t="s">
        <v>809</v>
      </c>
      <c r="MPH97" s="1392" t="s">
        <v>809</v>
      </c>
      <c r="MPI97" s="1392" t="s">
        <v>809</v>
      </c>
      <c r="MPJ97" s="1392" t="s">
        <v>809</v>
      </c>
      <c r="MPK97" s="1392" t="s">
        <v>809</v>
      </c>
      <c r="MPL97" s="1392" t="s">
        <v>809</v>
      </c>
      <c r="MPM97" s="1392" t="s">
        <v>809</v>
      </c>
      <c r="MPN97" s="1392" t="s">
        <v>809</v>
      </c>
      <c r="MPO97" s="1392" t="s">
        <v>809</v>
      </c>
      <c r="MPP97" s="1392" t="s">
        <v>809</v>
      </c>
      <c r="MPQ97" s="1392" t="s">
        <v>809</v>
      </c>
      <c r="MPR97" s="1392" t="s">
        <v>809</v>
      </c>
      <c r="MPS97" s="1392" t="s">
        <v>809</v>
      </c>
      <c r="MPT97" s="1392" t="s">
        <v>809</v>
      </c>
      <c r="MPU97" s="1392" t="s">
        <v>809</v>
      </c>
      <c r="MPV97" s="1392" t="s">
        <v>809</v>
      </c>
      <c r="MPW97" s="1392" t="s">
        <v>809</v>
      </c>
      <c r="MPX97" s="1392" t="s">
        <v>809</v>
      </c>
      <c r="MPY97" s="1392" t="s">
        <v>809</v>
      </c>
      <c r="MPZ97" s="1392" t="s">
        <v>809</v>
      </c>
      <c r="MQA97" s="1392" t="s">
        <v>809</v>
      </c>
      <c r="MQB97" s="1392" t="s">
        <v>809</v>
      </c>
      <c r="MQC97" s="1392" t="s">
        <v>809</v>
      </c>
      <c r="MQD97" s="1392" t="s">
        <v>809</v>
      </c>
      <c r="MQE97" s="1392" t="s">
        <v>809</v>
      </c>
      <c r="MQF97" s="1392" t="s">
        <v>809</v>
      </c>
      <c r="MQG97" s="1392" t="s">
        <v>809</v>
      </c>
      <c r="MQH97" s="1392" t="s">
        <v>809</v>
      </c>
      <c r="MQI97" s="1392" t="s">
        <v>809</v>
      </c>
      <c r="MQJ97" s="1392" t="s">
        <v>809</v>
      </c>
      <c r="MQK97" s="1392" t="s">
        <v>809</v>
      </c>
      <c r="MQL97" s="1392" t="s">
        <v>809</v>
      </c>
      <c r="MQM97" s="1392" t="s">
        <v>809</v>
      </c>
      <c r="MQN97" s="1392" t="s">
        <v>809</v>
      </c>
      <c r="MQO97" s="1392" t="s">
        <v>809</v>
      </c>
      <c r="MQP97" s="1392" t="s">
        <v>809</v>
      </c>
      <c r="MQQ97" s="1392" t="s">
        <v>809</v>
      </c>
      <c r="MQR97" s="1392" t="s">
        <v>809</v>
      </c>
      <c r="MQS97" s="1392" t="s">
        <v>809</v>
      </c>
      <c r="MQT97" s="1392" t="s">
        <v>809</v>
      </c>
      <c r="MQU97" s="1392" t="s">
        <v>809</v>
      </c>
      <c r="MQV97" s="1392" t="s">
        <v>809</v>
      </c>
      <c r="MQW97" s="1392" t="s">
        <v>809</v>
      </c>
      <c r="MQX97" s="1392" t="s">
        <v>809</v>
      </c>
      <c r="MQY97" s="1392" t="s">
        <v>809</v>
      </c>
      <c r="MQZ97" s="1392" t="s">
        <v>809</v>
      </c>
      <c r="MRA97" s="1392" t="s">
        <v>809</v>
      </c>
      <c r="MRB97" s="1392" t="s">
        <v>809</v>
      </c>
      <c r="MRC97" s="1392" t="s">
        <v>809</v>
      </c>
      <c r="MRD97" s="1392" t="s">
        <v>809</v>
      </c>
      <c r="MRE97" s="1392" t="s">
        <v>809</v>
      </c>
      <c r="MRF97" s="1392" t="s">
        <v>809</v>
      </c>
      <c r="MRG97" s="1392" t="s">
        <v>809</v>
      </c>
      <c r="MRH97" s="1392" t="s">
        <v>809</v>
      </c>
      <c r="MRI97" s="1392" t="s">
        <v>809</v>
      </c>
      <c r="MRJ97" s="1392" t="s">
        <v>809</v>
      </c>
      <c r="MRK97" s="1392" t="s">
        <v>809</v>
      </c>
      <c r="MRL97" s="1392" t="s">
        <v>809</v>
      </c>
      <c r="MRM97" s="1392" t="s">
        <v>809</v>
      </c>
      <c r="MRN97" s="1392" t="s">
        <v>809</v>
      </c>
      <c r="MRO97" s="1392" t="s">
        <v>809</v>
      </c>
      <c r="MRP97" s="1392" t="s">
        <v>809</v>
      </c>
      <c r="MRQ97" s="1392" t="s">
        <v>809</v>
      </c>
      <c r="MRR97" s="1392" t="s">
        <v>809</v>
      </c>
      <c r="MRS97" s="1392" t="s">
        <v>809</v>
      </c>
      <c r="MRT97" s="1392" t="s">
        <v>809</v>
      </c>
      <c r="MRU97" s="1392" t="s">
        <v>809</v>
      </c>
      <c r="MRV97" s="1392" t="s">
        <v>809</v>
      </c>
      <c r="MRW97" s="1392" t="s">
        <v>809</v>
      </c>
      <c r="MRX97" s="1392" t="s">
        <v>809</v>
      </c>
      <c r="MRY97" s="1392" t="s">
        <v>809</v>
      </c>
      <c r="MRZ97" s="1392" t="s">
        <v>809</v>
      </c>
      <c r="MSA97" s="1392" t="s">
        <v>809</v>
      </c>
      <c r="MSB97" s="1392" t="s">
        <v>809</v>
      </c>
      <c r="MSC97" s="1392" t="s">
        <v>809</v>
      </c>
      <c r="MSD97" s="1392" t="s">
        <v>809</v>
      </c>
      <c r="MSE97" s="1392" t="s">
        <v>809</v>
      </c>
      <c r="MSF97" s="1392" t="s">
        <v>809</v>
      </c>
      <c r="MSG97" s="1392" t="s">
        <v>809</v>
      </c>
      <c r="MSH97" s="1392" t="s">
        <v>809</v>
      </c>
      <c r="MSI97" s="1392" t="s">
        <v>809</v>
      </c>
      <c r="MSJ97" s="1392" t="s">
        <v>809</v>
      </c>
      <c r="MSK97" s="1392" t="s">
        <v>809</v>
      </c>
      <c r="MSL97" s="1392" t="s">
        <v>809</v>
      </c>
      <c r="MSM97" s="1392" t="s">
        <v>809</v>
      </c>
      <c r="MSN97" s="1392" t="s">
        <v>809</v>
      </c>
      <c r="MSO97" s="1392" t="s">
        <v>809</v>
      </c>
      <c r="MSP97" s="1392" t="s">
        <v>809</v>
      </c>
      <c r="MSQ97" s="1392" t="s">
        <v>809</v>
      </c>
      <c r="MSR97" s="1392" t="s">
        <v>809</v>
      </c>
      <c r="MSS97" s="1392" t="s">
        <v>809</v>
      </c>
      <c r="MST97" s="1392" t="s">
        <v>809</v>
      </c>
      <c r="MSU97" s="1392" t="s">
        <v>809</v>
      </c>
      <c r="MSV97" s="1392" t="s">
        <v>809</v>
      </c>
      <c r="MSW97" s="1392" t="s">
        <v>809</v>
      </c>
      <c r="MSX97" s="1392" t="s">
        <v>809</v>
      </c>
      <c r="MSY97" s="1392" t="s">
        <v>809</v>
      </c>
      <c r="MSZ97" s="1392" t="s">
        <v>809</v>
      </c>
      <c r="MTA97" s="1392" t="s">
        <v>809</v>
      </c>
      <c r="MTB97" s="1392" t="s">
        <v>809</v>
      </c>
      <c r="MTC97" s="1392" t="s">
        <v>809</v>
      </c>
      <c r="MTD97" s="1392" t="s">
        <v>809</v>
      </c>
      <c r="MTE97" s="1392" t="s">
        <v>809</v>
      </c>
      <c r="MTF97" s="1392" t="s">
        <v>809</v>
      </c>
      <c r="MTG97" s="1392" t="s">
        <v>809</v>
      </c>
      <c r="MTH97" s="1392" t="s">
        <v>809</v>
      </c>
      <c r="MTI97" s="1392" t="s">
        <v>809</v>
      </c>
      <c r="MTJ97" s="1392" t="s">
        <v>809</v>
      </c>
      <c r="MTK97" s="1392" t="s">
        <v>809</v>
      </c>
      <c r="MTL97" s="1392" t="s">
        <v>809</v>
      </c>
      <c r="MTM97" s="1392" t="s">
        <v>809</v>
      </c>
      <c r="MTN97" s="1392" t="s">
        <v>809</v>
      </c>
      <c r="MTO97" s="1392" t="s">
        <v>809</v>
      </c>
      <c r="MTP97" s="1392" t="s">
        <v>809</v>
      </c>
      <c r="MTQ97" s="1392" t="s">
        <v>809</v>
      </c>
      <c r="MTR97" s="1392" t="s">
        <v>809</v>
      </c>
      <c r="MTS97" s="1392" t="s">
        <v>809</v>
      </c>
      <c r="MTT97" s="1392" t="s">
        <v>809</v>
      </c>
      <c r="MTU97" s="1392" t="s">
        <v>809</v>
      </c>
      <c r="MTV97" s="1392" t="s">
        <v>809</v>
      </c>
      <c r="MTW97" s="1392" t="s">
        <v>809</v>
      </c>
      <c r="MTX97" s="1392" t="s">
        <v>809</v>
      </c>
      <c r="MTY97" s="1392" t="s">
        <v>809</v>
      </c>
      <c r="MTZ97" s="1392" t="s">
        <v>809</v>
      </c>
      <c r="MUA97" s="1392" t="s">
        <v>809</v>
      </c>
      <c r="MUB97" s="1392" t="s">
        <v>809</v>
      </c>
      <c r="MUC97" s="1392" t="s">
        <v>809</v>
      </c>
      <c r="MUD97" s="1392" t="s">
        <v>809</v>
      </c>
      <c r="MUE97" s="1392" t="s">
        <v>809</v>
      </c>
      <c r="MUF97" s="1392" t="s">
        <v>809</v>
      </c>
      <c r="MUG97" s="1392" t="s">
        <v>809</v>
      </c>
      <c r="MUH97" s="1392" t="s">
        <v>809</v>
      </c>
      <c r="MUI97" s="1392" t="s">
        <v>809</v>
      </c>
      <c r="MUJ97" s="1392" t="s">
        <v>809</v>
      </c>
      <c r="MUK97" s="1392" t="s">
        <v>809</v>
      </c>
      <c r="MUL97" s="1392" t="s">
        <v>809</v>
      </c>
      <c r="MUM97" s="1392" t="s">
        <v>809</v>
      </c>
      <c r="MUN97" s="1392" t="s">
        <v>809</v>
      </c>
      <c r="MUO97" s="1392" t="s">
        <v>809</v>
      </c>
      <c r="MUP97" s="1392" t="s">
        <v>809</v>
      </c>
      <c r="MUQ97" s="1392" t="s">
        <v>809</v>
      </c>
      <c r="MUR97" s="1392" t="s">
        <v>809</v>
      </c>
      <c r="MUS97" s="1392" t="s">
        <v>809</v>
      </c>
      <c r="MUT97" s="1392" t="s">
        <v>809</v>
      </c>
      <c r="MUU97" s="1392" t="s">
        <v>809</v>
      </c>
      <c r="MUV97" s="1392" t="s">
        <v>809</v>
      </c>
      <c r="MUW97" s="1392" t="s">
        <v>809</v>
      </c>
      <c r="MUX97" s="1392" t="s">
        <v>809</v>
      </c>
      <c r="MUY97" s="1392" t="s">
        <v>809</v>
      </c>
      <c r="MUZ97" s="1392" t="s">
        <v>809</v>
      </c>
      <c r="MVA97" s="1392" t="s">
        <v>809</v>
      </c>
      <c r="MVB97" s="1392" t="s">
        <v>809</v>
      </c>
      <c r="MVC97" s="1392" t="s">
        <v>809</v>
      </c>
      <c r="MVD97" s="1392" t="s">
        <v>809</v>
      </c>
      <c r="MVE97" s="1392" t="s">
        <v>809</v>
      </c>
      <c r="MVF97" s="1392" t="s">
        <v>809</v>
      </c>
      <c r="MVG97" s="1392" t="s">
        <v>809</v>
      </c>
      <c r="MVH97" s="1392" t="s">
        <v>809</v>
      </c>
      <c r="MVI97" s="1392" t="s">
        <v>809</v>
      </c>
      <c r="MVJ97" s="1392" t="s">
        <v>809</v>
      </c>
      <c r="MVK97" s="1392" t="s">
        <v>809</v>
      </c>
      <c r="MVL97" s="1392" t="s">
        <v>809</v>
      </c>
      <c r="MVM97" s="1392" t="s">
        <v>809</v>
      </c>
      <c r="MVN97" s="1392" t="s">
        <v>809</v>
      </c>
      <c r="MVO97" s="1392" t="s">
        <v>809</v>
      </c>
      <c r="MVP97" s="1392" t="s">
        <v>809</v>
      </c>
      <c r="MVQ97" s="1392" t="s">
        <v>809</v>
      </c>
      <c r="MVR97" s="1392" t="s">
        <v>809</v>
      </c>
      <c r="MVS97" s="1392" t="s">
        <v>809</v>
      </c>
      <c r="MVT97" s="1392" t="s">
        <v>809</v>
      </c>
      <c r="MVU97" s="1392" t="s">
        <v>809</v>
      </c>
      <c r="MVV97" s="1392" t="s">
        <v>809</v>
      </c>
      <c r="MVW97" s="1392" t="s">
        <v>809</v>
      </c>
      <c r="MVX97" s="1392" t="s">
        <v>809</v>
      </c>
      <c r="MVY97" s="1392" t="s">
        <v>809</v>
      </c>
      <c r="MVZ97" s="1392" t="s">
        <v>809</v>
      </c>
      <c r="MWA97" s="1392" t="s">
        <v>809</v>
      </c>
      <c r="MWB97" s="1392" t="s">
        <v>809</v>
      </c>
      <c r="MWC97" s="1392" t="s">
        <v>809</v>
      </c>
      <c r="MWD97" s="1392" t="s">
        <v>809</v>
      </c>
      <c r="MWE97" s="1392" t="s">
        <v>809</v>
      </c>
      <c r="MWF97" s="1392" t="s">
        <v>809</v>
      </c>
      <c r="MWG97" s="1392" t="s">
        <v>809</v>
      </c>
      <c r="MWH97" s="1392" t="s">
        <v>809</v>
      </c>
      <c r="MWI97" s="1392" t="s">
        <v>809</v>
      </c>
      <c r="MWJ97" s="1392" t="s">
        <v>809</v>
      </c>
      <c r="MWK97" s="1392" t="s">
        <v>809</v>
      </c>
      <c r="MWL97" s="1392" t="s">
        <v>809</v>
      </c>
      <c r="MWM97" s="1392" t="s">
        <v>809</v>
      </c>
      <c r="MWN97" s="1392" t="s">
        <v>809</v>
      </c>
      <c r="MWO97" s="1392" t="s">
        <v>809</v>
      </c>
      <c r="MWP97" s="1392" t="s">
        <v>809</v>
      </c>
      <c r="MWQ97" s="1392" t="s">
        <v>809</v>
      </c>
      <c r="MWR97" s="1392" t="s">
        <v>809</v>
      </c>
      <c r="MWS97" s="1392" t="s">
        <v>809</v>
      </c>
      <c r="MWT97" s="1392" t="s">
        <v>809</v>
      </c>
      <c r="MWU97" s="1392" t="s">
        <v>809</v>
      </c>
      <c r="MWV97" s="1392" t="s">
        <v>809</v>
      </c>
      <c r="MWW97" s="1392" t="s">
        <v>809</v>
      </c>
      <c r="MWX97" s="1392" t="s">
        <v>809</v>
      </c>
      <c r="MWY97" s="1392" t="s">
        <v>809</v>
      </c>
      <c r="MWZ97" s="1392" t="s">
        <v>809</v>
      </c>
      <c r="MXA97" s="1392" t="s">
        <v>809</v>
      </c>
      <c r="MXB97" s="1392" t="s">
        <v>809</v>
      </c>
      <c r="MXC97" s="1392" t="s">
        <v>809</v>
      </c>
      <c r="MXD97" s="1392" t="s">
        <v>809</v>
      </c>
      <c r="MXE97" s="1392" t="s">
        <v>809</v>
      </c>
      <c r="MXF97" s="1392" t="s">
        <v>809</v>
      </c>
      <c r="MXG97" s="1392" t="s">
        <v>809</v>
      </c>
      <c r="MXH97" s="1392" t="s">
        <v>809</v>
      </c>
      <c r="MXI97" s="1392" t="s">
        <v>809</v>
      </c>
      <c r="MXJ97" s="1392" t="s">
        <v>809</v>
      </c>
      <c r="MXK97" s="1392" t="s">
        <v>809</v>
      </c>
      <c r="MXL97" s="1392" t="s">
        <v>809</v>
      </c>
      <c r="MXM97" s="1392" t="s">
        <v>809</v>
      </c>
      <c r="MXN97" s="1392" t="s">
        <v>809</v>
      </c>
      <c r="MXO97" s="1392" t="s">
        <v>809</v>
      </c>
      <c r="MXP97" s="1392" t="s">
        <v>809</v>
      </c>
      <c r="MXQ97" s="1392" t="s">
        <v>809</v>
      </c>
      <c r="MXR97" s="1392" t="s">
        <v>809</v>
      </c>
      <c r="MXS97" s="1392" t="s">
        <v>809</v>
      </c>
      <c r="MXT97" s="1392" t="s">
        <v>809</v>
      </c>
      <c r="MXU97" s="1392" t="s">
        <v>809</v>
      </c>
      <c r="MXV97" s="1392" t="s">
        <v>809</v>
      </c>
      <c r="MXW97" s="1392" t="s">
        <v>809</v>
      </c>
      <c r="MXX97" s="1392" t="s">
        <v>809</v>
      </c>
      <c r="MXY97" s="1392" t="s">
        <v>809</v>
      </c>
      <c r="MXZ97" s="1392" t="s">
        <v>809</v>
      </c>
      <c r="MYA97" s="1392" t="s">
        <v>809</v>
      </c>
      <c r="MYB97" s="1392" t="s">
        <v>809</v>
      </c>
      <c r="MYC97" s="1392" t="s">
        <v>809</v>
      </c>
      <c r="MYD97" s="1392" t="s">
        <v>809</v>
      </c>
      <c r="MYE97" s="1392" t="s">
        <v>809</v>
      </c>
      <c r="MYF97" s="1392" t="s">
        <v>809</v>
      </c>
      <c r="MYG97" s="1392" t="s">
        <v>809</v>
      </c>
      <c r="MYH97" s="1392" t="s">
        <v>809</v>
      </c>
      <c r="MYI97" s="1392" t="s">
        <v>809</v>
      </c>
      <c r="MYJ97" s="1392" t="s">
        <v>809</v>
      </c>
      <c r="MYK97" s="1392" t="s">
        <v>809</v>
      </c>
      <c r="MYL97" s="1392" t="s">
        <v>809</v>
      </c>
      <c r="MYM97" s="1392" t="s">
        <v>809</v>
      </c>
      <c r="MYN97" s="1392" t="s">
        <v>809</v>
      </c>
      <c r="MYO97" s="1392" t="s">
        <v>809</v>
      </c>
      <c r="MYP97" s="1392" t="s">
        <v>809</v>
      </c>
      <c r="MYQ97" s="1392" t="s">
        <v>809</v>
      </c>
      <c r="MYR97" s="1392" t="s">
        <v>809</v>
      </c>
      <c r="MYS97" s="1392" t="s">
        <v>809</v>
      </c>
      <c r="MYT97" s="1392" t="s">
        <v>809</v>
      </c>
      <c r="MYU97" s="1392" t="s">
        <v>809</v>
      </c>
      <c r="MYV97" s="1392" t="s">
        <v>809</v>
      </c>
      <c r="MYW97" s="1392" t="s">
        <v>809</v>
      </c>
      <c r="MYX97" s="1392" t="s">
        <v>809</v>
      </c>
      <c r="MYY97" s="1392" t="s">
        <v>809</v>
      </c>
      <c r="MYZ97" s="1392" t="s">
        <v>809</v>
      </c>
      <c r="MZA97" s="1392" t="s">
        <v>809</v>
      </c>
      <c r="MZB97" s="1392" t="s">
        <v>809</v>
      </c>
      <c r="MZC97" s="1392" t="s">
        <v>809</v>
      </c>
      <c r="MZD97" s="1392" t="s">
        <v>809</v>
      </c>
      <c r="MZE97" s="1392" t="s">
        <v>809</v>
      </c>
      <c r="MZF97" s="1392" t="s">
        <v>809</v>
      </c>
      <c r="MZG97" s="1392" t="s">
        <v>809</v>
      </c>
      <c r="MZH97" s="1392" t="s">
        <v>809</v>
      </c>
      <c r="MZI97" s="1392" t="s">
        <v>809</v>
      </c>
      <c r="MZJ97" s="1392" t="s">
        <v>809</v>
      </c>
      <c r="MZK97" s="1392" t="s">
        <v>809</v>
      </c>
      <c r="MZL97" s="1392" t="s">
        <v>809</v>
      </c>
      <c r="MZM97" s="1392" t="s">
        <v>809</v>
      </c>
      <c r="MZN97" s="1392" t="s">
        <v>809</v>
      </c>
      <c r="MZO97" s="1392" t="s">
        <v>809</v>
      </c>
      <c r="MZP97" s="1392" t="s">
        <v>809</v>
      </c>
      <c r="MZQ97" s="1392" t="s">
        <v>809</v>
      </c>
      <c r="MZR97" s="1392" t="s">
        <v>809</v>
      </c>
      <c r="MZS97" s="1392" t="s">
        <v>809</v>
      </c>
      <c r="MZT97" s="1392" t="s">
        <v>809</v>
      </c>
      <c r="MZU97" s="1392" t="s">
        <v>809</v>
      </c>
      <c r="MZV97" s="1392" t="s">
        <v>809</v>
      </c>
      <c r="MZW97" s="1392" t="s">
        <v>809</v>
      </c>
      <c r="MZX97" s="1392" t="s">
        <v>809</v>
      </c>
      <c r="MZY97" s="1392" t="s">
        <v>809</v>
      </c>
      <c r="MZZ97" s="1392" t="s">
        <v>809</v>
      </c>
      <c r="NAA97" s="1392" t="s">
        <v>809</v>
      </c>
      <c r="NAB97" s="1392" t="s">
        <v>809</v>
      </c>
      <c r="NAC97" s="1392" t="s">
        <v>809</v>
      </c>
      <c r="NAD97" s="1392" t="s">
        <v>809</v>
      </c>
      <c r="NAE97" s="1392" t="s">
        <v>809</v>
      </c>
      <c r="NAF97" s="1392" t="s">
        <v>809</v>
      </c>
      <c r="NAG97" s="1392" t="s">
        <v>809</v>
      </c>
      <c r="NAH97" s="1392" t="s">
        <v>809</v>
      </c>
      <c r="NAI97" s="1392" t="s">
        <v>809</v>
      </c>
      <c r="NAJ97" s="1392" t="s">
        <v>809</v>
      </c>
      <c r="NAK97" s="1392" t="s">
        <v>809</v>
      </c>
      <c r="NAL97" s="1392" t="s">
        <v>809</v>
      </c>
      <c r="NAM97" s="1392" t="s">
        <v>809</v>
      </c>
      <c r="NAN97" s="1392" t="s">
        <v>809</v>
      </c>
      <c r="NAO97" s="1392" t="s">
        <v>809</v>
      </c>
      <c r="NAP97" s="1392" t="s">
        <v>809</v>
      </c>
      <c r="NAQ97" s="1392" t="s">
        <v>809</v>
      </c>
      <c r="NAR97" s="1392" t="s">
        <v>809</v>
      </c>
      <c r="NAS97" s="1392" t="s">
        <v>809</v>
      </c>
      <c r="NAT97" s="1392" t="s">
        <v>809</v>
      </c>
      <c r="NAU97" s="1392" t="s">
        <v>809</v>
      </c>
      <c r="NAV97" s="1392" t="s">
        <v>809</v>
      </c>
      <c r="NAW97" s="1392" t="s">
        <v>809</v>
      </c>
      <c r="NAX97" s="1392" t="s">
        <v>809</v>
      </c>
      <c r="NAY97" s="1392" t="s">
        <v>809</v>
      </c>
      <c r="NAZ97" s="1392" t="s">
        <v>809</v>
      </c>
      <c r="NBA97" s="1392" t="s">
        <v>809</v>
      </c>
      <c r="NBB97" s="1392" t="s">
        <v>809</v>
      </c>
      <c r="NBC97" s="1392" t="s">
        <v>809</v>
      </c>
      <c r="NBD97" s="1392" t="s">
        <v>809</v>
      </c>
      <c r="NBE97" s="1392" t="s">
        <v>809</v>
      </c>
      <c r="NBF97" s="1392" t="s">
        <v>809</v>
      </c>
      <c r="NBG97" s="1392" t="s">
        <v>809</v>
      </c>
      <c r="NBH97" s="1392" t="s">
        <v>809</v>
      </c>
      <c r="NBI97" s="1392" t="s">
        <v>809</v>
      </c>
      <c r="NBJ97" s="1392" t="s">
        <v>809</v>
      </c>
      <c r="NBK97" s="1392" t="s">
        <v>809</v>
      </c>
      <c r="NBL97" s="1392" t="s">
        <v>809</v>
      </c>
      <c r="NBM97" s="1392" t="s">
        <v>809</v>
      </c>
      <c r="NBN97" s="1392" t="s">
        <v>809</v>
      </c>
      <c r="NBO97" s="1392" t="s">
        <v>809</v>
      </c>
      <c r="NBP97" s="1392" t="s">
        <v>809</v>
      </c>
      <c r="NBQ97" s="1392" t="s">
        <v>809</v>
      </c>
      <c r="NBR97" s="1392" t="s">
        <v>809</v>
      </c>
      <c r="NBS97" s="1392" t="s">
        <v>809</v>
      </c>
      <c r="NBT97" s="1392" t="s">
        <v>809</v>
      </c>
      <c r="NBU97" s="1392" t="s">
        <v>809</v>
      </c>
      <c r="NBV97" s="1392" t="s">
        <v>809</v>
      </c>
      <c r="NBW97" s="1392" t="s">
        <v>809</v>
      </c>
      <c r="NBX97" s="1392" t="s">
        <v>809</v>
      </c>
      <c r="NBY97" s="1392" t="s">
        <v>809</v>
      </c>
      <c r="NBZ97" s="1392" t="s">
        <v>809</v>
      </c>
      <c r="NCA97" s="1392" t="s">
        <v>809</v>
      </c>
      <c r="NCB97" s="1392" t="s">
        <v>809</v>
      </c>
      <c r="NCC97" s="1392" t="s">
        <v>809</v>
      </c>
      <c r="NCD97" s="1392" t="s">
        <v>809</v>
      </c>
      <c r="NCE97" s="1392" t="s">
        <v>809</v>
      </c>
      <c r="NCF97" s="1392" t="s">
        <v>809</v>
      </c>
      <c r="NCG97" s="1392" t="s">
        <v>809</v>
      </c>
      <c r="NCH97" s="1392" t="s">
        <v>809</v>
      </c>
      <c r="NCI97" s="1392" t="s">
        <v>809</v>
      </c>
      <c r="NCJ97" s="1392" t="s">
        <v>809</v>
      </c>
      <c r="NCK97" s="1392" t="s">
        <v>809</v>
      </c>
      <c r="NCL97" s="1392" t="s">
        <v>809</v>
      </c>
      <c r="NCM97" s="1392" t="s">
        <v>809</v>
      </c>
      <c r="NCN97" s="1392" t="s">
        <v>809</v>
      </c>
      <c r="NCO97" s="1392" t="s">
        <v>809</v>
      </c>
      <c r="NCP97" s="1392" t="s">
        <v>809</v>
      </c>
      <c r="NCQ97" s="1392" t="s">
        <v>809</v>
      </c>
      <c r="NCR97" s="1392" t="s">
        <v>809</v>
      </c>
      <c r="NCS97" s="1392" t="s">
        <v>809</v>
      </c>
      <c r="NCT97" s="1392" t="s">
        <v>809</v>
      </c>
      <c r="NCU97" s="1392" t="s">
        <v>809</v>
      </c>
      <c r="NCV97" s="1392" t="s">
        <v>809</v>
      </c>
      <c r="NCW97" s="1392" t="s">
        <v>809</v>
      </c>
      <c r="NCX97" s="1392" t="s">
        <v>809</v>
      </c>
      <c r="NCY97" s="1392" t="s">
        <v>809</v>
      </c>
      <c r="NCZ97" s="1392" t="s">
        <v>809</v>
      </c>
      <c r="NDA97" s="1392" t="s">
        <v>809</v>
      </c>
      <c r="NDB97" s="1392" t="s">
        <v>809</v>
      </c>
      <c r="NDC97" s="1392" t="s">
        <v>809</v>
      </c>
      <c r="NDD97" s="1392" t="s">
        <v>809</v>
      </c>
      <c r="NDE97" s="1392" t="s">
        <v>809</v>
      </c>
      <c r="NDF97" s="1392" t="s">
        <v>809</v>
      </c>
      <c r="NDG97" s="1392" t="s">
        <v>809</v>
      </c>
      <c r="NDH97" s="1392" t="s">
        <v>809</v>
      </c>
      <c r="NDI97" s="1392" t="s">
        <v>809</v>
      </c>
      <c r="NDJ97" s="1392" t="s">
        <v>809</v>
      </c>
      <c r="NDK97" s="1392" t="s">
        <v>809</v>
      </c>
      <c r="NDL97" s="1392" t="s">
        <v>809</v>
      </c>
      <c r="NDM97" s="1392" t="s">
        <v>809</v>
      </c>
      <c r="NDN97" s="1392" t="s">
        <v>809</v>
      </c>
      <c r="NDO97" s="1392" t="s">
        <v>809</v>
      </c>
      <c r="NDP97" s="1392" t="s">
        <v>809</v>
      </c>
      <c r="NDQ97" s="1392" t="s">
        <v>809</v>
      </c>
      <c r="NDR97" s="1392" t="s">
        <v>809</v>
      </c>
      <c r="NDS97" s="1392" t="s">
        <v>809</v>
      </c>
      <c r="NDT97" s="1392" t="s">
        <v>809</v>
      </c>
      <c r="NDU97" s="1392" t="s">
        <v>809</v>
      </c>
      <c r="NDV97" s="1392" t="s">
        <v>809</v>
      </c>
      <c r="NDW97" s="1392" t="s">
        <v>809</v>
      </c>
      <c r="NDX97" s="1392" t="s">
        <v>809</v>
      </c>
      <c r="NDY97" s="1392" t="s">
        <v>809</v>
      </c>
      <c r="NDZ97" s="1392" t="s">
        <v>809</v>
      </c>
      <c r="NEA97" s="1392" t="s">
        <v>809</v>
      </c>
      <c r="NEB97" s="1392" t="s">
        <v>809</v>
      </c>
      <c r="NEC97" s="1392" t="s">
        <v>809</v>
      </c>
      <c r="NED97" s="1392" t="s">
        <v>809</v>
      </c>
      <c r="NEE97" s="1392" t="s">
        <v>809</v>
      </c>
      <c r="NEF97" s="1392" t="s">
        <v>809</v>
      </c>
      <c r="NEG97" s="1392" t="s">
        <v>809</v>
      </c>
      <c r="NEH97" s="1392" t="s">
        <v>809</v>
      </c>
      <c r="NEI97" s="1392" t="s">
        <v>809</v>
      </c>
      <c r="NEJ97" s="1392" t="s">
        <v>809</v>
      </c>
      <c r="NEK97" s="1392" t="s">
        <v>809</v>
      </c>
      <c r="NEL97" s="1392" t="s">
        <v>809</v>
      </c>
      <c r="NEM97" s="1392" t="s">
        <v>809</v>
      </c>
      <c r="NEN97" s="1392" t="s">
        <v>809</v>
      </c>
      <c r="NEO97" s="1392" t="s">
        <v>809</v>
      </c>
      <c r="NEP97" s="1392" t="s">
        <v>809</v>
      </c>
      <c r="NEQ97" s="1392" t="s">
        <v>809</v>
      </c>
      <c r="NER97" s="1392" t="s">
        <v>809</v>
      </c>
      <c r="NES97" s="1392" t="s">
        <v>809</v>
      </c>
      <c r="NET97" s="1392" t="s">
        <v>809</v>
      </c>
      <c r="NEU97" s="1392" t="s">
        <v>809</v>
      </c>
      <c r="NEV97" s="1392" t="s">
        <v>809</v>
      </c>
      <c r="NEW97" s="1392" t="s">
        <v>809</v>
      </c>
      <c r="NEX97" s="1392" t="s">
        <v>809</v>
      </c>
      <c r="NEY97" s="1392" t="s">
        <v>809</v>
      </c>
      <c r="NEZ97" s="1392" t="s">
        <v>809</v>
      </c>
      <c r="NFA97" s="1392" t="s">
        <v>809</v>
      </c>
      <c r="NFB97" s="1392" t="s">
        <v>809</v>
      </c>
      <c r="NFC97" s="1392" t="s">
        <v>809</v>
      </c>
      <c r="NFD97" s="1392" t="s">
        <v>809</v>
      </c>
      <c r="NFE97" s="1392" t="s">
        <v>809</v>
      </c>
      <c r="NFF97" s="1392" t="s">
        <v>809</v>
      </c>
      <c r="NFG97" s="1392" t="s">
        <v>809</v>
      </c>
      <c r="NFH97" s="1392" t="s">
        <v>809</v>
      </c>
      <c r="NFI97" s="1392" t="s">
        <v>809</v>
      </c>
      <c r="NFJ97" s="1392" t="s">
        <v>809</v>
      </c>
      <c r="NFK97" s="1392" t="s">
        <v>809</v>
      </c>
      <c r="NFL97" s="1392" t="s">
        <v>809</v>
      </c>
      <c r="NFM97" s="1392" t="s">
        <v>809</v>
      </c>
      <c r="NFN97" s="1392" t="s">
        <v>809</v>
      </c>
      <c r="NFO97" s="1392" t="s">
        <v>809</v>
      </c>
      <c r="NFP97" s="1392" t="s">
        <v>809</v>
      </c>
      <c r="NFQ97" s="1392" t="s">
        <v>809</v>
      </c>
      <c r="NFR97" s="1392" t="s">
        <v>809</v>
      </c>
      <c r="NFS97" s="1392" t="s">
        <v>809</v>
      </c>
      <c r="NFT97" s="1392" t="s">
        <v>809</v>
      </c>
      <c r="NFU97" s="1392" t="s">
        <v>809</v>
      </c>
      <c r="NFV97" s="1392" t="s">
        <v>809</v>
      </c>
      <c r="NFW97" s="1392" t="s">
        <v>809</v>
      </c>
      <c r="NFX97" s="1392" t="s">
        <v>809</v>
      </c>
      <c r="NFY97" s="1392" t="s">
        <v>809</v>
      </c>
      <c r="NFZ97" s="1392" t="s">
        <v>809</v>
      </c>
      <c r="NGA97" s="1392" t="s">
        <v>809</v>
      </c>
      <c r="NGB97" s="1392" t="s">
        <v>809</v>
      </c>
      <c r="NGC97" s="1392" t="s">
        <v>809</v>
      </c>
      <c r="NGD97" s="1392" t="s">
        <v>809</v>
      </c>
      <c r="NGE97" s="1392" t="s">
        <v>809</v>
      </c>
      <c r="NGF97" s="1392" t="s">
        <v>809</v>
      </c>
      <c r="NGG97" s="1392" t="s">
        <v>809</v>
      </c>
      <c r="NGH97" s="1392" t="s">
        <v>809</v>
      </c>
      <c r="NGI97" s="1392" t="s">
        <v>809</v>
      </c>
      <c r="NGJ97" s="1392" t="s">
        <v>809</v>
      </c>
      <c r="NGK97" s="1392" t="s">
        <v>809</v>
      </c>
      <c r="NGL97" s="1392" t="s">
        <v>809</v>
      </c>
      <c r="NGM97" s="1392" t="s">
        <v>809</v>
      </c>
      <c r="NGN97" s="1392" t="s">
        <v>809</v>
      </c>
      <c r="NGO97" s="1392" t="s">
        <v>809</v>
      </c>
      <c r="NGP97" s="1392" t="s">
        <v>809</v>
      </c>
      <c r="NGQ97" s="1392" t="s">
        <v>809</v>
      </c>
      <c r="NGR97" s="1392" t="s">
        <v>809</v>
      </c>
      <c r="NGS97" s="1392" t="s">
        <v>809</v>
      </c>
      <c r="NGT97" s="1392" t="s">
        <v>809</v>
      </c>
      <c r="NGU97" s="1392" t="s">
        <v>809</v>
      </c>
      <c r="NGV97" s="1392" t="s">
        <v>809</v>
      </c>
      <c r="NGW97" s="1392" t="s">
        <v>809</v>
      </c>
      <c r="NGX97" s="1392" t="s">
        <v>809</v>
      </c>
      <c r="NGY97" s="1392" t="s">
        <v>809</v>
      </c>
      <c r="NGZ97" s="1392" t="s">
        <v>809</v>
      </c>
      <c r="NHA97" s="1392" t="s">
        <v>809</v>
      </c>
      <c r="NHB97" s="1392" t="s">
        <v>809</v>
      </c>
      <c r="NHC97" s="1392" t="s">
        <v>809</v>
      </c>
      <c r="NHD97" s="1392" t="s">
        <v>809</v>
      </c>
      <c r="NHE97" s="1392" t="s">
        <v>809</v>
      </c>
      <c r="NHF97" s="1392" t="s">
        <v>809</v>
      </c>
      <c r="NHG97" s="1392" t="s">
        <v>809</v>
      </c>
      <c r="NHH97" s="1392" t="s">
        <v>809</v>
      </c>
      <c r="NHI97" s="1392" t="s">
        <v>809</v>
      </c>
      <c r="NHJ97" s="1392" t="s">
        <v>809</v>
      </c>
      <c r="NHK97" s="1392" t="s">
        <v>809</v>
      </c>
      <c r="NHL97" s="1392" t="s">
        <v>809</v>
      </c>
      <c r="NHM97" s="1392" t="s">
        <v>809</v>
      </c>
      <c r="NHN97" s="1392" t="s">
        <v>809</v>
      </c>
      <c r="NHO97" s="1392" t="s">
        <v>809</v>
      </c>
      <c r="NHP97" s="1392" t="s">
        <v>809</v>
      </c>
      <c r="NHQ97" s="1392" t="s">
        <v>809</v>
      </c>
      <c r="NHR97" s="1392" t="s">
        <v>809</v>
      </c>
      <c r="NHS97" s="1392" t="s">
        <v>809</v>
      </c>
      <c r="NHT97" s="1392" t="s">
        <v>809</v>
      </c>
      <c r="NHU97" s="1392" t="s">
        <v>809</v>
      </c>
      <c r="NHV97" s="1392" t="s">
        <v>809</v>
      </c>
      <c r="NHW97" s="1392" t="s">
        <v>809</v>
      </c>
      <c r="NHX97" s="1392" t="s">
        <v>809</v>
      </c>
      <c r="NHY97" s="1392" t="s">
        <v>809</v>
      </c>
      <c r="NHZ97" s="1392" t="s">
        <v>809</v>
      </c>
      <c r="NIA97" s="1392" t="s">
        <v>809</v>
      </c>
      <c r="NIB97" s="1392" t="s">
        <v>809</v>
      </c>
      <c r="NIC97" s="1392" t="s">
        <v>809</v>
      </c>
      <c r="NID97" s="1392" t="s">
        <v>809</v>
      </c>
      <c r="NIE97" s="1392" t="s">
        <v>809</v>
      </c>
      <c r="NIF97" s="1392" t="s">
        <v>809</v>
      </c>
      <c r="NIG97" s="1392" t="s">
        <v>809</v>
      </c>
      <c r="NIH97" s="1392" t="s">
        <v>809</v>
      </c>
      <c r="NII97" s="1392" t="s">
        <v>809</v>
      </c>
      <c r="NIJ97" s="1392" t="s">
        <v>809</v>
      </c>
      <c r="NIK97" s="1392" t="s">
        <v>809</v>
      </c>
      <c r="NIL97" s="1392" t="s">
        <v>809</v>
      </c>
      <c r="NIM97" s="1392" t="s">
        <v>809</v>
      </c>
      <c r="NIN97" s="1392" t="s">
        <v>809</v>
      </c>
      <c r="NIO97" s="1392" t="s">
        <v>809</v>
      </c>
      <c r="NIP97" s="1392" t="s">
        <v>809</v>
      </c>
      <c r="NIQ97" s="1392" t="s">
        <v>809</v>
      </c>
      <c r="NIR97" s="1392" t="s">
        <v>809</v>
      </c>
      <c r="NIS97" s="1392" t="s">
        <v>809</v>
      </c>
      <c r="NIT97" s="1392" t="s">
        <v>809</v>
      </c>
      <c r="NIU97" s="1392" t="s">
        <v>809</v>
      </c>
      <c r="NIV97" s="1392" t="s">
        <v>809</v>
      </c>
      <c r="NIW97" s="1392" t="s">
        <v>809</v>
      </c>
      <c r="NIX97" s="1392" t="s">
        <v>809</v>
      </c>
      <c r="NIY97" s="1392" t="s">
        <v>809</v>
      </c>
      <c r="NIZ97" s="1392" t="s">
        <v>809</v>
      </c>
      <c r="NJA97" s="1392" t="s">
        <v>809</v>
      </c>
      <c r="NJB97" s="1392" t="s">
        <v>809</v>
      </c>
      <c r="NJC97" s="1392" t="s">
        <v>809</v>
      </c>
      <c r="NJD97" s="1392" t="s">
        <v>809</v>
      </c>
      <c r="NJE97" s="1392" t="s">
        <v>809</v>
      </c>
      <c r="NJF97" s="1392" t="s">
        <v>809</v>
      </c>
      <c r="NJG97" s="1392" t="s">
        <v>809</v>
      </c>
      <c r="NJH97" s="1392" t="s">
        <v>809</v>
      </c>
      <c r="NJI97" s="1392" t="s">
        <v>809</v>
      </c>
      <c r="NJJ97" s="1392" t="s">
        <v>809</v>
      </c>
      <c r="NJK97" s="1392" t="s">
        <v>809</v>
      </c>
      <c r="NJL97" s="1392" t="s">
        <v>809</v>
      </c>
      <c r="NJM97" s="1392" t="s">
        <v>809</v>
      </c>
      <c r="NJN97" s="1392" t="s">
        <v>809</v>
      </c>
      <c r="NJO97" s="1392" t="s">
        <v>809</v>
      </c>
      <c r="NJP97" s="1392" t="s">
        <v>809</v>
      </c>
      <c r="NJQ97" s="1392" t="s">
        <v>809</v>
      </c>
      <c r="NJR97" s="1392" t="s">
        <v>809</v>
      </c>
      <c r="NJS97" s="1392" t="s">
        <v>809</v>
      </c>
      <c r="NJT97" s="1392" t="s">
        <v>809</v>
      </c>
      <c r="NJU97" s="1392" t="s">
        <v>809</v>
      </c>
      <c r="NJV97" s="1392" t="s">
        <v>809</v>
      </c>
      <c r="NJW97" s="1392" t="s">
        <v>809</v>
      </c>
      <c r="NJX97" s="1392" t="s">
        <v>809</v>
      </c>
      <c r="NJY97" s="1392" t="s">
        <v>809</v>
      </c>
      <c r="NJZ97" s="1392" t="s">
        <v>809</v>
      </c>
      <c r="NKA97" s="1392" t="s">
        <v>809</v>
      </c>
      <c r="NKB97" s="1392" t="s">
        <v>809</v>
      </c>
      <c r="NKC97" s="1392" t="s">
        <v>809</v>
      </c>
      <c r="NKD97" s="1392" t="s">
        <v>809</v>
      </c>
      <c r="NKE97" s="1392" t="s">
        <v>809</v>
      </c>
      <c r="NKF97" s="1392" t="s">
        <v>809</v>
      </c>
      <c r="NKG97" s="1392" t="s">
        <v>809</v>
      </c>
      <c r="NKH97" s="1392" t="s">
        <v>809</v>
      </c>
      <c r="NKI97" s="1392" t="s">
        <v>809</v>
      </c>
      <c r="NKJ97" s="1392" t="s">
        <v>809</v>
      </c>
      <c r="NKK97" s="1392" t="s">
        <v>809</v>
      </c>
      <c r="NKL97" s="1392" t="s">
        <v>809</v>
      </c>
      <c r="NKM97" s="1392" t="s">
        <v>809</v>
      </c>
      <c r="NKN97" s="1392" t="s">
        <v>809</v>
      </c>
      <c r="NKO97" s="1392" t="s">
        <v>809</v>
      </c>
      <c r="NKP97" s="1392" t="s">
        <v>809</v>
      </c>
      <c r="NKQ97" s="1392" t="s">
        <v>809</v>
      </c>
      <c r="NKR97" s="1392" t="s">
        <v>809</v>
      </c>
      <c r="NKS97" s="1392" t="s">
        <v>809</v>
      </c>
      <c r="NKT97" s="1392" t="s">
        <v>809</v>
      </c>
      <c r="NKU97" s="1392" t="s">
        <v>809</v>
      </c>
      <c r="NKV97" s="1392" t="s">
        <v>809</v>
      </c>
      <c r="NKW97" s="1392" t="s">
        <v>809</v>
      </c>
      <c r="NKX97" s="1392" t="s">
        <v>809</v>
      </c>
      <c r="NKY97" s="1392" t="s">
        <v>809</v>
      </c>
      <c r="NKZ97" s="1392" t="s">
        <v>809</v>
      </c>
      <c r="NLA97" s="1392" t="s">
        <v>809</v>
      </c>
      <c r="NLB97" s="1392" t="s">
        <v>809</v>
      </c>
      <c r="NLC97" s="1392" t="s">
        <v>809</v>
      </c>
      <c r="NLD97" s="1392" t="s">
        <v>809</v>
      </c>
      <c r="NLE97" s="1392" t="s">
        <v>809</v>
      </c>
      <c r="NLF97" s="1392" t="s">
        <v>809</v>
      </c>
      <c r="NLG97" s="1392" t="s">
        <v>809</v>
      </c>
      <c r="NLH97" s="1392" t="s">
        <v>809</v>
      </c>
      <c r="NLI97" s="1392" t="s">
        <v>809</v>
      </c>
      <c r="NLJ97" s="1392" t="s">
        <v>809</v>
      </c>
      <c r="NLK97" s="1392" t="s">
        <v>809</v>
      </c>
      <c r="NLL97" s="1392" t="s">
        <v>809</v>
      </c>
      <c r="NLM97" s="1392" t="s">
        <v>809</v>
      </c>
      <c r="NLN97" s="1392" t="s">
        <v>809</v>
      </c>
      <c r="NLO97" s="1392" t="s">
        <v>809</v>
      </c>
      <c r="NLP97" s="1392" t="s">
        <v>809</v>
      </c>
      <c r="NLQ97" s="1392" t="s">
        <v>809</v>
      </c>
      <c r="NLR97" s="1392" t="s">
        <v>809</v>
      </c>
      <c r="NLS97" s="1392" t="s">
        <v>809</v>
      </c>
      <c r="NLT97" s="1392" t="s">
        <v>809</v>
      </c>
      <c r="NLU97" s="1392" t="s">
        <v>809</v>
      </c>
      <c r="NLV97" s="1392" t="s">
        <v>809</v>
      </c>
      <c r="NLW97" s="1392" t="s">
        <v>809</v>
      </c>
      <c r="NLX97" s="1392" t="s">
        <v>809</v>
      </c>
      <c r="NLY97" s="1392" t="s">
        <v>809</v>
      </c>
      <c r="NLZ97" s="1392" t="s">
        <v>809</v>
      </c>
      <c r="NMA97" s="1392" t="s">
        <v>809</v>
      </c>
      <c r="NMB97" s="1392" t="s">
        <v>809</v>
      </c>
      <c r="NMC97" s="1392" t="s">
        <v>809</v>
      </c>
      <c r="NMD97" s="1392" t="s">
        <v>809</v>
      </c>
      <c r="NME97" s="1392" t="s">
        <v>809</v>
      </c>
      <c r="NMF97" s="1392" t="s">
        <v>809</v>
      </c>
      <c r="NMG97" s="1392" t="s">
        <v>809</v>
      </c>
      <c r="NMH97" s="1392" t="s">
        <v>809</v>
      </c>
      <c r="NMI97" s="1392" t="s">
        <v>809</v>
      </c>
      <c r="NMJ97" s="1392" t="s">
        <v>809</v>
      </c>
      <c r="NMK97" s="1392" t="s">
        <v>809</v>
      </c>
      <c r="NML97" s="1392" t="s">
        <v>809</v>
      </c>
      <c r="NMM97" s="1392" t="s">
        <v>809</v>
      </c>
      <c r="NMN97" s="1392" t="s">
        <v>809</v>
      </c>
      <c r="NMO97" s="1392" t="s">
        <v>809</v>
      </c>
      <c r="NMP97" s="1392" t="s">
        <v>809</v>
      </c>
      <c r="NMQ97" s="1392" t="s">
        <v>809</v>
      </c>
      <c r="NMR97" s="1392" t="s">
        <v>809</v>
      </c>
      <c r="NMS97" s="1392" t="s">
        <v>809</v>
      </c>
      <c r="NMT97" s="1392" t="s">
        <v>809</v>
      </c>
      <c r="NMU97" s="1392" t="s">
        <v>809</v>
      </c>
      <c r="NMV97" s="1392" t="s">
        <v>809</v>
      </c>
      <c r="NMW97" s="1392" t="s">
        <v>809</v>
      </c>
      <c r="NMX97" s="1392" t="s">
        <v>809</v>
      </c>
      <c r="NMY97" s="1392" t="s">
        <v>809</v>
      </c>
      <c r="NMZ97" s="1392" t="s">
        <v>809</v>
      </c>
      <c r="NNA97" s="1392" t="s">
        <v>809</v>
      </c>
      <c r="NNB97" s="1392" t="s">
        <v>809</v>
      </c>
      <c r="NNC97" s="1392" t="s">
        <v>809</v>
      </c>
      <c r="NND97" s="1392" t="s">
        <v>809</v>
      </c>
      <c r="NNE97" s="1392" t="s">
        <v>809</v>
      </c>
      <c r="NNF97" s="1392" t="s">
        <v>809</v>
      </c>
      <c r="NNG97" s="1392" t="s">
        <v>809</v>
      </c>
      <c r="NNH97" s="1392" t="s">
        <v>809</v>
      </c>
      <c r="NNI97" s="1392" t="s">
        <v>809</v>
      </c>
      <c r="NNJ97" s="1392" t="s">
        <v>809</v>
      </c>
      <c r="NNK97" s="1392" t="s">
        <v>809</v>
      </c>
      <c r="NNL97" s="1392" t="s">
        <v>809</v>
      </c>
      <c r="NNM97" s="1392" t="s">
        <v>809</v>
      </c>
      <c r="NNN97" s="1392" t="s">
        <v>809</v>
      </c>
      <c r="NNO97" s="1392" t="s">
        <v>809</v>
      </c>
      <c r="NNP97" s="1392" t="s">
        <v>809</v>
      </c>
      <c r="NNQ97" s="1392" t="s">
        <v>809</v>
      </c>
      <c r="NNR97" s="1392" t="s">
        <v>809</v>
      </c>
      <c r="NNS97" s="1392" t="s">
        <v>809</v>
      </c>
      <c r="NNT97" s="1392" t="s">
        <v>809</v>
      </c>
      <c r="NNU97" s="1392" t="s">
        <v>809</v>
      </c>
      <c r="NNV97" s="1392" t="s">
        <v>809</v>
      </c>
      <c r="NNW97" s="1392" t="s">
        <v>809</v>
      </c>
      <c r="NNX97" s="1392" t="s">
        <v>809</v>
      </c>
      <c r="NNY97" s="1392" t="s">
        <v>809</v>
      </c>
      <c r="NNZ97" s="1392" t="s">
        <v>809</v>
      </c>
      <c r="NOA97" s="1392" t="s">
        <v>809</v>
      </c>
      <c r="NOB97" s="1392" t="s">
        <v>809</v>
      </c>
      <c r="NOC97" s="1392" t="s">
        <v>809</v>
      </c>
      <c r="NOD97" s="1392" t="s">
        <v>809</v>
      </c>
      <c r="NOE97" s="1392" t="s">
        <v>809</v>
      </c>
      <c r="NOF97" s="1392" t="s">
        <v>809</v>
      </c>
      <c r="NOG97" s="1392" t="s">
        <v>809</v>
      </c>
      <c r="NOH97" s="1392" t="s">
        <v>809</v>
      </c>
      <c r="NOI97" s="1392" t="s">
        <v>809</v>
      </c>
      <c r="NOJ97" s="1392" t="s">
        <v>809</v>
      </c>
      <c r="NOK97" s="1392" t="s">
        <v>809</v>
      </c>
      <c r="NOL97" s="1392" t="s">
        <v>809</v>
      </c>
      <c r="NOM97" s="1392" t="s">
        <v>809</v>
      </c>
      <c r="NON97" s="1392" t="s">
        <v>809</v>
      </c>
      <c r="NOO97" s="1392" t="s">
        <v>809</v>
      </c>
      <c r="NOP97" s="1392" t="s">
        <v>809</v>
      </c>
      <c r="NOQ97" s="1392" t="s">
        <v>809</v>
      </c>
      <c r="NOR97" s="1392" t="s">
        <v>809</v>
      </c>
      <c r="NOS97" s="1392" t="s">
        <v>809</v>
      </c>
      <c r="NOT97" s="1392" t="s">
        <v>809</v>
      </c>
      <c r="NOU97" s="1392" t="s">
        <v>809</v>
      </c>
      <c r="NOV97" s="1392" t="s">
        <v>809</v>
      </c>
      <c r="NOW97" s="1392" t="s">
        <v>809</v>
      </c>
      <c r="NOX97" s="1392" t="s">
        <v>809</v>
      </c>
      <c r="NOY97" s="1392" t="s">
        <v>809</v>
      </c>
      <c r="NOZ97" s="1392" t="s">
        <v>809</v>
      </c>
      <c r="NPA97" s="1392" t="s">
        <v>809</v>
      </c>
      <c r="NPB97" s="1392" t="s">
        <v>809</v>
      </c>
      <c r="NPC97" s="1392" t="s">
        <v>809</v>
      </c>
      <c r="NPD97" s="1392" t="s">
        <v>809</v>
      </c>
      <c r="NPE97" s="1392" t="s">
        <v>809</v>
      </c>
      <c r="NPF97" s="1392" t="s">
        <v>809</v>
      </c>
      <c r="NPG97" s="1392" t="s">
        <v>809</v>
      </c>
      <c r="NPH97" s="1392" t="s">
        <v>809</v>
      </c>
      <c r="NPI97" s="1392" t="s">
        <v>809</v>
      </c>
      <c r="NPJ97" s="1392" t="s">
        <v>809</v>
      </c>
      <c r="NPK97" s="1392" t="s">
        <v>809</v>
      </c>
      <c r="NPL97" s="1392" t="s">
        <v>809</v>
      </c>
      <c r="NPM97" s="1392" t="s">
        <v>809</v>
      </c>
      <c r="NPN97" s="1392" t="s">
        <v>809</v>
      </c>
      <c r="NPO97" s="1392" t="s">
        <v>809</v>
      </c>
      <c r="NPP97" s="1392" t="s">
        <v>809</v>
      </c>
      <c r="NPQ97" s="1392" t="s">
        <v>809</v>
      </c>
      <c r="NPR97" s="1392" t="s">
        <v>809</v>
      </c>
      <c r="NPS97" s="1392" t="s">
        <v>809</v>
      </c>
      <c r="NPT97" s="1392" t="s">
        <v>809</v>
      </c>
      <c r="NPU97" s="1392" t="s">
        <v>809</v>
      </c>
      <c r="NPV97" s="1392" t="s">
        <v>809</v>
      </c>
      <c r="NPW97" s="1392" t="s">
        <v>809</v>
      </c>
      <c r="NPX97" s="1392" t="s">
        <v>809</v>
      </c>
      <c r="NPY97" s="1392" t="s">
        <v>809</v>
      </c>
      <c r="NPZ97" s="1392" t="s">
        <v>809</v>
      </c>
      <c r="NQA97" s="1392" t="s">
        <v>809</v>
      </c>
      <c r="NQB97" s="1392" t="s">
        <v>809</v>
      </c>
      <c r="NQC97" s="1392" t="s">
        <v>809</v>
      </c>
      <c r="NQD97" s="1392" t="s">
        <v>809</v>
      </c>
      <c r="NQE97" s="1392" t="s">
        <v>809</v>
      </c>
      <c r="NQF97" s="1392" t="s">
        <v>809</v>
      </c>
      <c r="NQG97" s="1392" t="s">
        <v>809</v>
      </c>
      <c r="NQH97" s="1392" t="s">
        <v>809</v>
      </c>
      <c r="NQI97" s="1392" t="s">
        <v>809</v>
      </c>
      <c r="NQJ97" s="1392" t="s">
        <v>809</v>
      </c>
      <c r="NQK97" s="1392" t="s">
        <v>809</v>
      </c>
      <c r="NQL97" s="1392" t="s">
        <v>809</v>
      </c>
      <c r="NQM97" s="1392" t="s">
        <v>809</v>
      </c>
      <c r="NQN97" s="1392" t="s">
        <v>809</v>
      </c>
      <c r="NQO97" s="1392" t="s">
        <v>809</v>
      </c>
      <c r="NQP97" s="1392" t="s">
        <v>809</v>
      </c>
      <c r="NQQ97" s="1392" t="s">
        <v>809</v>
      </c>
      <c r="NQR97" s="1392" t="s">
        <v>809</v>
      </c>
      <c r="NQS97" s="1392" t="s">
        <v>809</v>
      </c>
      <c r="NQT97" s="1392" t="s">
        <v>809</v>
      </c>
      <c r="NQU97" s="1392" t="s">
        <v>809</v>
      </c>
      <c r="NQV97" s="1392" t="s">
        <v>809</v>
      </c>
      <c r="NQW97" s="1392" t="s">
        <v>809</v>
      </c>
      <c r="NQX97" s="1392" t="s">
        <v>809</v>
      </c>
      <c r="NQY97" s="1392" t="s">
        <v>809</v>
      </c>
      <c r="NQZ97" s="1392" t="s">
        <v>809</v>
      </c>
      <c r="NRA97" s="1392" t="s">
        <v>809</v>
      </c>
      <c r="NRB97" s="1392" t="s">
        <v>809</v>
      </c>
      <c r="NRC97" s="1392" t="s">
        <v>809</v>
      </c>
      <c r="NRD97" s="1392" t="s">
        <v>809</v>
      </c>
      <c r="NRE97" s="1392" t="s">
        <v>809</v>
      </c>
      <c r="NRF97" s="1392" t="s">
        <v>809</v>
      </c>
      <c r="NRG97" s="1392" t="s">
        <v>809</v>
      </c>
      <c r="NRH97" s="1392" t="s">
        <v>809</v>
      </c>
      <c r="NRI97" s="1392" t="s">
        <v>809</v>
      </c>
      <c r="NRJ97" s="1392" t="s">
        <v>809</v>
      </c>
      <c r="NRK97" s="1392" t="s">
        <v>809</v>
      </c>
      <c r="NRL97" s="1392" t="s">
        <v>809</v>
      </c>
      <c r="NRM97" s="1392" t="s">
        <v>809</v>
      </c>
      <c r="NRN97" s="1392" t="s">
        <v>809</v>
      </c>
      <c r="NRO97" s="1392" t="s">
        <v>809</v>
      </c>
      <c r="NRP97" s="1392" t="s">
        <v>809</v>
      </c>
      <c r="NRQ97" s="1392" t="s">
        <v>809</v>
      </c>
      <c r="NRR97" s="1392" t="s">
        <v>809</v>
      </c>
      <c r="NRS97" s="1392" t="s">
        <v>809</v>
      </c>
      <c r="NRT97" s="1392" t="s">
        <v>809</v>
      </c>
      <c r="NRU97" s="1392" t="s">
        <v>809</v>
      </c>
      <c r="NRV97" s="1392" t="s">
        <v>809</v>
      </c>
      <c r="NRW97" s="1392" t="s">
        <v>809</v>
      </c>
      <c r="NRX97" s="1392" t="s">
        <v>809</v>
      </c>
      <c r="NRY97" s="1392" t="s">
        <v>809</v>
      </c>
      <c r="NRZ97" s="1392" t="s">
        <v>809</v>
      </c>
      <c r="NSA97" s="1392" t="s">
        <v>809</v>
      </c>
      <c r="NSB97" s="1392" t="s">
        <v>809</v>
      </c>
      <c r="NSC97" s="1392" t="s">
        <v>809</v>
      </c>
      <c r="NSD97" s="1392" t="s">
        <v>809</v>
      </c>
      <c r="NSE97" s="1392" t="s">
        <v>809</v>
      </c>
      <c r="NSF97" s="1392" t="s">
        <v>809</v>
      </c>
      <c r="NSG97" s="1392" t="s">
        <v>809</v>
      </c>
      <c r="NSH97" s="1392" t="s">
        <v>809</v>
      </c>
      <c r="NSI97" s="1392" t="s">
        <v>809</v>
      </c>
      <c r="NSJ97" s="1392" t="s">
        <v>809</v>
      </c>
      <c r="NSK97" s="1392" t="s">
        <v>809</v>
      </c>
      <c r="NSL97" s="1392" t="s">
        <v>809</v>
      </c>
      <c r="NSM97" s="1392" t="s">
        <v>809</v>
      </c>
      <c r="NSN97" s="1392" t="s">
        <v>809</v>
      </c>
      <c r="NSO97" s="1392" t="s">
        <v>809</v>
      </c>
      <c r="NSP97" s="1392" t="s">
        <v>809</v>
      </c>
      <c r="NSQ97" s="1392" t="s">
        <v>809</v>
      </c>
      <c r="NSR97" s="1392" t="s">
        <v>809</v>
      </c>
      <c r="NSS97" s="1392" t="s">
        <v>809</v>
      </c>
      <c r="NST97" s="1392" t="s">
        <v>809</v>
      </c>
      <c r="NSU97" s="1392" t="s">
        <v>809</v>
      </c>
      <c r="NSV97" s="1392" t="s">
        <v>809</v>
      </c>
      <c r="NSW97" s="1392" t="s">
        <v>809</v>
      </c>
      <c r="NSX97" s="1392" t="s">
        <v>809</v>
      </c>
      <c r="NSY97" s="1392" t="s">
        <v>809</v>
      </c>
      <c r="NSZ97" s="1392" t="s">
        <v>809</v>
      </c>
      <c r="NTA97" s="1392" t="s">
        <v>809</v>
      </c>
      <c r="NTB97" s="1392" t="s">
        <v>809</v>
      </c>
      <c r="NTC97" s="1392" t="s">
        <v>809</v>
      </c>
      <c r="NTD97" s="1392" t="s">
        <v>809</v>
      </c>
      <c r="NTE97" s="1392" t="s">
        <v>809</v>
      </c>
      <c r="NTF97" s="1392" t="s">
        <v>809</v>
      </c>
      <c r="NTG97" s="1392" t="s">
        <v>809</v>
      </c>
      <c r="NTH97" s="1392" t="s">
        <v>809</v>
      </c>
      <c r="NTI97" s="1392" t="s">
        <v>809</v>
      </c>
      <c r="NTJ97" s="1392" t="s">
        <v>809</v>
      </c>
      <c r="NTK97" s="1392" t="s">
        <v>809</v>
      </c>
      <c r="NTL97" s="1392" t="s">
        <v>809</v>
      </c>
      <c r="NTM97" s="1392" t="s">
        <v>809</v>
      </c>
      <c r="NTN97" s="1392" t="s">
        <v>809</v>
      </c>
      <c r="NTO97" s="1392" t="s">
        <v>809</v>
      </c>
      <c r="NTP97" s="1392" t="s">
        <v>809</v>
      </c>
      <c r="NTQ97" s="1392" t="s">
        <v>809</v>
      </c>
      <c r="NTR97" s="1392" t="s">
        <v>809</v>
      </c>
      <c r="NTS97" s="1392" t="s">
        <v>809</v>
      </c>
      <c r="NTT97" s="1392" t="s">
        <v>809</v>
      </c>
      <c r="NTU97" s="1392" t="s">
        <v>809</v>
      </c>
      <c r="NTV97" s="1392" t="s">
        <v>809</v>
      </c>
      <c r="NTW97" s="1392" t="s">
        <v>809</v>
      </c>
      <c r="NTX97" s="1392" t="s">
        <v>809</v>
      </c>
      <c r="NTY97" s="1392" t="s">
        <v>809</v>
      </c>
      <c r="NTZ97" s="1392" t="s">
        <v>809</v>
      </c>
      <c r="NUA97" s="1392" t="s">
        <v>809</v>
      </c>
      <c r="NUB97" s="1392" t="s">
        <v>809</v>
      </c>
      <c r="NUC97" s="1392" t="s">
        <v>809</v>
      </c>
      <c r="NUD97" s="1392" t="s">
        <v>809</v>
      </c>
      <c r="NUE97" s="1392" t="s">
        <v>809</v>
      </c>
      <c r="NUF97" s="1392" t="s">
        <v>809</v>
      </c>
      <c r="NUG97" s="1392" t="s">
        <v>809</v>
      </c>
      <c r="NUH97" s="1392" t="s">
        <v>809</v>
      </c>
      <c r="NUI97" s="1392" t="s">
        <v>809</v>
      </c>
      <c r="NUJ97" s="1392" t="s">
        <v>809</v>
      </c>
      <c r="NUK97" s="1392" t="s">
        <v>809</v>
      </c>
      <c r="NUL97" s="1392" t="s">
        <v>809</v>
      </c>
      <c r="NUM97" s="1392" t="s">
        <v>809</v>
      </c>
      <c r="NUN97" s="1392" t="s">
        <v>809</v>
      </c>
      <c r="NUO97" s="1392" t="s">
        <v>809</v>
      </c>
      <c r="NUP97" s="1392" t="s">
        <v>809</v>
      </c>
      <c r="NUQ97" s="1392" t="s">
        <v>809</v>
      </c>
      <c r="NUR97" s="1392" t="s">
        <v>809</v>
      </c>
      <c r="NUS97" s="1392" t="s">
        <v>809</v>
      </c>
      <c r="NUT97" s="1392" t="s">
        <v>809</v>
      </c>
      <c r="NUU97" s="1392" t="s">
        <v>809</v>
      </c>
      <c r="NUV97" s="1392" t="s">
        <v>809</v>
      </c>
      <c r="NUW97" s="1392" t="s">
        <v>809</v>
      </c>
      <c r="NUX97" s="1392" t="s">
        <v>809</v>
      </c>
      <c r="NUY97" s="1392" t="s">
        <v>809</v>
      </c>
      <c r="NUZ97" s="1392" t="s">
        <v>809</v>
      </c>
      <c r="NVA97" s="1392" t="s">
        <v>809</v>
      </c>
      <c r="NVB97" s="1392" t="s">
        <v>809</v>
      </c>
      <c r="NVC97" s="1392" t="s">
        <v>809</v>
      </c>
      <c r="NVD97" s="1392" t="s">
        <v>809</v>
      </c>
      <c r="NVE97" s="1392" t="s">
        <v>809</v>
      </c>
      <c r="NVF97" s="1392" t="s">
        <v>809</v>
      </c>
      <c r="NVG97" s="1392" t="s">
        <v>809</v>
      </c>
      <c r="NVH97" s="1392" t="s">
        <v>809</v>
      </c>
      <c r="NVI97" s="1392" t="s">
        <v>809</v>
      </c>
      <c r="NVJ97" s="1392" t="s">
        <v>809</v>
      </c>
      <c r="NVK97" s="1392" t="s">
        <v>809</v>
      </c>
      <c r="NVL97" s="1392" t="s">
        <v>809</v>
      </c>
      <c r="NVM97" s="1392" t="s">
        <v>809</v>
      </c>
      <c r="NVN97" s="1392" t="s">
        <v>809</v>
      </c>
      <c r="NVO97" s="1392" t="s">
        <v>809</v>
      </c>
      <c r="NVP97" s="1392" t="s">
        <v>809</v>
      </c>
      <c r="NVQ97" s="1392" t="s">
        <v>809</v>
      </c>
      <c r="NVR97" s="1392" t="s">
        <v>809</v>
      </c>
      <c r="NVS97" s="1392" t="s">
        <v>809</v>
      </c>
      <c r="NVT97" s="1392" t="s">
        <v>809</v>
      </c>
      <c r="NVU97" s="1392" t="s">
        <v>809</v>
      </c>
      <c r="NVV97" s="1392" t="s">
        <v>809</v>
      </c>
      <c r="NVW97" s="1392" t="s">
        <v>809</v>
      </c>
      <c r="NVX97" s="1392" t="s">
        <v>809</v>
      </c>
      <c r="NVY97" s="1392" t="s">
        <v>809</v>
      </c>
      <c r="NVZ97" s="1392" t="s">
        <v>809</v>
      </c>
      <c r="NWA97" s="1392" t="s">
        <v>809</v>
      </c>
      <c r="NWB97" s="1392" t="s">
        <v>809</v>
      </c>
      <c r="NWC97" s="1392" t="s">
        <v>809</v>
      </c>
      <c r="NWD97" s="1392" t="s">
        <v>809</v>
      </c>
      <c r="NWE97" s="1392" t="s">
        <v>809</v>
      </c>
      <c r="NWF97" s="1392" t="s">
        <v>809</v>
      </c>
      <c r="NWG97" s="1392" t="s">
        <v>809</v>
      </c>
      <c r="NWH97" s="1392" t="s">
        <v>809</v>
      </c>
      <c r="NWI97" s="1392" t="s">
        <v>809</v>
      </c>
      <c r="NWJ97" s="1392" t="s">
        <v>809</v>
      </c>
      <c r="NWK97" s="1392" t="s">
        <v>809</v>
      </c>
      <c r="NWL97" s="1392" t="s">
        <v>809</v>
      </c>
      <c r="NWM97" s="1392" t="s">
        <v>809</v>
      </c>
      <c r="NWN97" s="1392" t="s">
        <v>809</v>
      </c>
      <c r="NWO97" s="1392" t="s">
        <v>809</v>
      </c>
      <c r="NWP97" s="1392" t="s">
        <v>809</v>
      </c>
      <c r="NWQ97" s="1392" t="s">
        <v>809</v>
      </c>
      <c r="NWR97" s="1392" t="s">
        <v>809</v>
      </c>
      <c r="NWS97" s="1392" t="s">
        <v>809</v>
      </c>
      <c r="NWT97" s="1392" t="s">
        <v>809</v>
      </c>
      <c r="NWU97" s="1392" t="s">
        <v>809</v>
      </c>
      <c r="NWV97" s="1392" t="s">
        <v>809</v>
      </c>
      <c r="NWW97" s="1392" t="s">
        <v>809</v>
      </c>
      <c r="NWX97" s="1392" t="s">
        <v>809</v>
      </c>
      <c r="NWY97" s="1392" t="s">
        <v>809</v>
      </c>
      <c r="NWZ97" s="1392" t="s">
        <v>809</v>
      </c>
      <c r="NXA97" s="1392" t="s">
        <v>809</v>
      </c>
      <c r="NXB97" s="1392" t="s">
        <v>809</v>
      </c>
      <c r="NXC97" s="1392" t="s">
        <v>809</v>
      </c>
      <c r="NXD97" s="1392" t="s">
        <v>809</v>
      </c>
      <c r="NXE97" s="1392" t="s">
        <v>809</v>
      </c>
      <c r="NXF97" s="1392" t="s">
        <v>809</v>
      </c>
      <c r="NXG97" s="1392" t="s">
        <v>809</v>
      </c>
      <c r="NXH97" s="1392" t="s">
        <v>809</v>
      </c>
      <c r="NXI97" s="1392" t="s">
        <v>809</v>
      </c>
      <c r="NXJ97" s="1392" t="s">
        <v>809</v>
      </c>
      <c r="NXK97" s="1392" t="s">
        <v>809</v>
      </c>
      <c r="NXL97" s="1392" t="s">
        <v>809</v>
      </c>
      <c r="NXM97" s="1392" t="s">
        <v>809</v>
      </c>
      <c r="NXN97" s="1392" t="s">
        <v>809</v>
      </c>
      <c r="NXO97" s="1392" t="s">
        <v>809</v>
      </c>
      <c r="NXP97" s="1392" t="s">
        <v>809</v>
      </c>
      <c r="NXQ97" s="1392" t="s">
        <v>809</v>
      </c>
      <c r="NXR97" s="1392" t="s">
        <v>809</v>
      </c>
      <c r="NXS97" s="1392" t="s">
        <v>809</v>
      </c>
      <c r="NXT97" s="1392" t="s">
        <v>809</v>
      </c>
      <c r="NXU97" s="1392" t="s">
        <v>809</v>
      </c>
      <c r="NXV97" s="1392" t="s">
        <v>809</v>
      </c>
      <c r="NXW97" s="1392" t="s">
        <v>809</v>
      </c>
      <c r="NXX97" s="1392" t="s">
        <v>809</v>
      </c>
      <c r="NXY97" s="1392" t="s">
        <v>809</v>
      </c>
      <c r="NXZ97" s="1392" t="s">
        <v>809</v>
      </c>
      <c r="NYA97" s="1392" t="s">
        <v>809</v>
      </c>
      <c r="NYB97" s="1392" t="s">
        <v>809</v>
      </c>
      <c r="NYC97" s="1392" t="s">
        <v>809</v>
      </c>
      <c r="NYD97" s="1392" t="s">
        <v>809</v>
      </c>
      <c r="NYE97" s="1392" t="s">
        <v>809</v>
      </c>
      <c r="NYF97" s="1392" t="s">
        <v>809</v>
      </c>
      <c r="NYG97" s="1392" t="s">
        <v>809</v>
      </c>
      <c r="NYH97" s="1392" t="s">
        <v>809</v>
      </c>
      <c r="NYI97" s="1392" t="s">
        <v>809</v>
      </c>
      <c r="NYJ97" s="1392" t="s">
        <v>809</v>
      </c>
      <c r="NYK97" s="1392" t="s">
        <v>809</v>
      </c>
      <c r="NYL97" s="1392" t="s">
        <v>809</v>
      </c>
      <c r="NYM97" s="1392" t="s">
        <v>809</v>
      </c>
      <c r="NYN97" s="1392" t="s">
        <v>809</v>
      </c>
      <c r="NYO97" s="1392" t="s">
        <v>809</v>
      </c>
      <c r="NYP97" s="1392" t="s">
        <v>809</v>
      </c>
      <c r="NYQ97" s="1392" t="s">
        <v>809</v>
      </c>
      <c r="NYR97" s="1392" t="s">
        <v>809</v>
      </c>
      <c r="NYS97" s="1392" t="s">
        <v>809</v>
      </c>
      <c r="NYT97" s="1392" t="s">
        <v>809</v>
      </c>
      <c r="NYU97" s="1392" t="s">
        <v>809</v>
      </c>
      <c r="NYV97" s="1392" t="s">
        <v>809</v>
      </c>
      <c r="NYW97" s="1392" t="s">
        <v>809</v>
      </c>
      <c r="NYX97" s="1392" t="s">
        <v>809</v>
      </c>
      <c r="NYY97" s="1392" t="s">
        <v>809</v>
      </c>
      <c r="NYZ97" s="1392" t="s">
        <v>809</v>
      </c>
      <c r="NZA97" s="1392" t="s">
        <v>809</v>
      </c>
      <c r="NZB97" s="1392" t="s">
        <v>809</v>
      </c>
      <c r="NZC97" s="1392" t="s">
        <v>809</v>
      </c>
      <c r="NZD97" s="1392" t="s">
        <v>809</v>
      </c>
      <c r="NZE97" s="1392" t="s">
        <v>809</v>
      </c>
      <c r="NZF97" s="1392" t="s">
        <v>809</v>
      </c>
      <c r="NZG97" s="1392" t="s">
        <v>809</v>
      </c>
      <c r="NZH97" s="1392" t="s">
        <v>809</v>
      </c>
      <c r="NZI97" s="1392" t="s">
        <v>809</v>
      </c>
      <c r="NZJ97" s="1392" t="s">
        <v>809</v>
      </c>
      <c r="NZK97" s="1392" t="s">
        <v>809</v>
      </c>
      <c r="NZL97" s="1392" t="s">
        <v>809</v>
      </c>
      <c r="NZM97" s="1392" t="s">
        <v>809</v>
      </c>
      <c r="NZN97" s="1392" t="s">
        <v>809</v>
      </c>
      <c r="NZO97" s="1392" t="s">
        <v>809</v>
      </c>
      <c r="NZP97" s="1392" t="s">
        <v>809</v>
      </c>
      <c r="NZQ97" s="1392" t="s">
        <v>809</v>
      </c>
      <c r="NZR97" s="1392" t="s">
        <v>809</v>
      </c>
      <c r="NZS97" s="1392" t="s">
        <v>809</v>
      </c>
      <c r="NZT97" s="1392" t="s">
        <v>809</v>
      </c>
      <c r="NZU97" s="1392" t="s">
        <v>809</v>
      </c>
      <c r="NZV97" s="1392" t="s">
        <v>809</v>
      </c>
      <c r="NZW97" s="1392" t="s">
        <v>809</v>
      </c>
      <c r="NZX97" s="1392" t="s">
        <v>809</v>
      </c>
      <c r="NZY97" s="1392" t="s">
        <v>809</v>
      </c>
      <c r="NZZ97" s="1392" t="s">
        <v>809</v>
      </c>
      <c r="OAA97" s="1392" t="s">
        <v>809</v>
      </c>
      <c r="OAB97" s="1392" t="s">
        <v>809</v>
      </c>
      <c r="OAC97" s="1392" t="s">
        <v>809</v>
      </c>
      <c r="OAD97" s="1392" t="s">
        <v>809</v>
      </c>
      <c r="OAE97" s="1392" t="s">
        <v>809</v>
      </c>
      <c r="OAF97" s="1392" t="s">
        <v>809</v>
      </c>
      <c r="OAG97" s="1392" t="s">
        <v>809</v>
      </c>
      <c r="OAH97" s="1392" t="s">
        <v>809</v>
      </c>
      <c r="OAI97" s="1392" t="s">
        <v>809</v>
      </c>
      <c r="OAJ97" s="1392" t="s">
        <v>809</v>
      </c>
      <c r="OAK97" s="1392" t="s">
        <v>809</v>
      </c>
      <c r="OAL97" s="1392" t="s">
        <v>809</v>
      </c>
      <c r="OAM97" s="1392" t="s">
        <v>809</v>
      </c>
      <c r="OAN97" s="1392" t="s">
        <v>809</v>
      </c>
      <c r="OAO97" s="1392" t="s">
        <v>809</v>
      </c>
      <c r="OAP97" s="1392" t="s">
        <v>809</v>
      </c>
      <c r="OAQ97" s="1392" t="s">
        <v>809</v>
      </c>
      <c r="OAR97" s="1392" t="s">
        <v>809</v>
      </c>
      <c r="OAS97" s="1392" t="s">
        <v>809</v>
      </c>
      <c r="OAT97" s="1392" t="s">
        <v>809</v>
      </c>
      <c r="OAU97" s="1392" t="s">
        <v>809</v>
      </c>
      <c r="OAV97" s="1392" t="s">
        <v>809</v>
      </c>
      <c r="OAW97" s="1392" t="s">
        <v>809</v>
      </c>
      <c r="OAX97" s="1392" t="s">
        <v>809</v>
      </c>
      <c r="OAY97" s="1392" t="s">
        <v>809</v>
      </c>
      <c r="OAZ97" s="1392" t="s">
        <v>809</v>
      </c>
      <c r="OBA97" s="1392" t="s">
        <v>809</v>
      </c>
      <c r="OBB97" s="1392" t="s">
        <v>809</v>
      </c>
      <c r="OBC97" s="1392" t="s">
        <v>809</v>
      </c>
      <c r="OBD97" s="1392" t="s">
        <v>809</v>
      </c>
      <c r="OBE97" s="1392" t="s">
        <v>809</v>
      </c>
      <c r="OBF97" s="1392" t="s">
        <v>809</v>
      </c>
      <c r="OBG97" s="1392" t="s">
        <v>809</v>
      </c>
      <c r="OBH97" s="1392" t="s">
        <v>809</v>
      </c>
      <c r="OBI97" s="1392" t="s">
        <v>809</v>
      </c>
      <c r="OBJ97" s="1392" t="s">
        <v>809</v>
      </c>
      <c r="OBK97" s="1392" t="s">
        <v>809</v>
      </c>
      <c r="OBL97" s="1392" t="s">
        <v>809</v>
      </c>
      <c r="OBM97" s="1392" t="s">
        <v>809</v>
      </c>
      <c r="OBN97" s="1392" t="s">
        <v>809</v>
      </c>
      <c r="OBO97" s="1392" t="s">
        <v>809</v>
      </c>
      <c r="OBP97" s="1392" t="s">
        <v>809</v>
      </c>
      <c r="OBQ97" s="1392" t="s">
        <v>809</v>
      </c>
      <c r="OBR97" s="1392" t="s">
        <v>809</v>
      </c>
      <c r="OBS97" s="1392" t="s">
        <v>809</v>
      </c>
      <c r="OBT97" s="1392" t="s">
        <v>809</v>
      </c>
      <c r="OBU97" s="1392" t="s">
        <v>809</v>
      </c>
      <c r="OBV97" s="1392" t="s">
        <v>809</v>
      </c>
      <c r="OBW97" s="1392" t="s">
        <v>809</v>
      </c>
      <c r="OBX97" s="1392" t="s">
        <v>809</v>
      </c>
      <c r="OBY97" s="1392" t="s">
        <v>809</v>
      </c>
      <c r="OBZ97" s="1392" t="s">
        <v>809</v>
      </c>
      <c r="OCA97" s="1392" t="s">
        <v>809</v>
      </c>
      <c r="OCB97" s="1392" t="s">
        <v>809</v>
      </c>
      <c r="OCC97" s="1392" t="s">
        <v>809</v>
      </c>
      <c r="OCD97" s="1392" t="s">
        <v>809</v>
      </c>
      <c r="OCE97" s="1392" t="s">
        <v>809</v>
      </c>
      <c r="OCF97" s="1392" t="s">
        <v>809</v>
      </c>
      <c r="OCG97" s="1392" t="s">
        <v>809</v>
      </c>
      <c r="OCH97" s="1392" t="s">
        <v>809</v>
      </c>
      <c r="OCI97" s="1392" t="s">
        <v>809</v>
      </c>
      <c r="OCJ97" s="1392" t="s">
        <v>809</v>
      </c>
      <c r="OCK97" s="1392" t="s">
        <v>809</v>
      </c>
      <c r="OCL97" s="1392" t="s">
        <v>809</v>
      </c>
      <c r="OCM97" s="1392" t="s">
        <v>809</v>
      </c>
      <c r="OCN97" s="1392" t="s">
        <v>809</v>
      </c>
      <c r="OCO97" s="1392" t="s">
        <v>809</v>
      </c>
      <c r="OCP97" s="1392" t="s">
        <v>809</v>
      </c>
      <c r="OCQ97" s="1392" t="s">
        <v>809</v>
      </c>
      <c r="OCR97" s="1392" t="s">
        <v>809</v>
      </c>
      <c r="OCS97" s="1392" t="s">
        <v>809</v>
      </c>
      <c r="OCT97" s="1392" t="s">
        <v>809</v>
      </c>
      <c r="OCU97" s="1392" t="s">
        <v>809</v>
      </c>
      <c r="OCV97" s="1392" t="s">
        <v>809</v>
      </c>
      <c r="OCW97" s="1392" t="s">
        <v>809</v>
      </c>
      <c r="OCX97" s="1392" t="s">
        <v>809</v>
      </c>
      <c r="OCY97" s="1392" t="s">
        <v>809</v>
      </c>
      <c r="OCZ97" s="1392" t="s">
        <v>809</v>
      </c>
      <c r="ODA97" s="1392" t="s">
        <v>809</v>
      </c>
      <c r="ODB97" s="1392" t="s">
        <v>809</v>
      </c>
      <c r="ODC97" s="1392" t="s">
        <v>809</v>
      </c>
      <c r="ODD97" s="1392" t="s">
        <v>809</v>
      </c>
      <c r="ODE97" s="1392" t="s">
        <v>809</v>
      </c>
      <c r="ODF97" s="1392" t="s">
        <v>809</v>
      </c>
      <c r="ODG97" s="1392" t="s">
        <v>809</v>
      </c>
      <c r="ODH97" s="1392" t="s">
        <v>809</v>
      </c>
      <c r="ODI97" s="1392" t="s">
        <v>809</v>
      </c>
      <c r="ODJ97" s="1392" t="s">
        <v>809</v>
      </c>
      <c r="ODK97" s="1392" t="s">
        <v>809</v>
      </c>
      <c r="ODL97" s="1392" t="s">
        <v>809</v>
      </c>
      <c r="ODM97" s="1392" t="s">
        <v>809</v>
      </c>
      <c r="ODN97" s="1392" t="s">
        <v>809</v>
      </c>
      <c r="ODO97" s="1392" t="s">
        <v>809</v>
      </c>
      <c r="ODP97" s="1392" t="s">
        <v>809</v>
      </c>
      <c r="ODQ97" s="1392" t="s">
        <v>809</v>
      </c>
      <c r="ODR97" s="1392" t="s">
        <v>809</v>
      </c>
      <c r="ODS97" s="1392" t="s">
        <v>809</v>
      </c>
      <c r="ODT97" s="1392" t="s">
        <v>809</v>
      </c>
      <c r="ODU97" s="1392" t="s">
        <v>809</v>
      </c>
      <c r="ODV97" s="1392" t="s">
        <v>809</v>
      </c>
      <c r="ODW97" s="1392" t="s">
        <v>809</v>
      </c>
      <c r="ODX97" s="1392" t="s">
        <v>809</v>
      </c>
      <c r="ODY97" s="1392" t="s">
        <v>809</v>
      </c>
      <c r="ODZ97" s="1392" t="s">
        <v>809</v>
      </c>
      <c r="OEA97" s="1392" t="s">
        <v>809</v>
      </c>
      <c r="OEB97" s="1392" t="s">
        <v>809</v>
      </c>
      <c r="OEC97" s="1392" t="s">
        <v>809</v>
      </c>
      <c r="OED97" s="1392" t="s">
        <v>809</v>
      </c>
      <c r="OEE97" s="1392" t="s">
        <v>809</v>
      </c>
      <c r="OEF97" s="1392" t="s">
        <v>809</v>
      </c>
      <c r="OEG97" s="1392" t="s">
        <v>809</v>
      </c>
      <c r="OEH97" s="1392" t="s">
        <v>809</v>
      </c>
      <c r="OEI97" s="1392" t="s">
        <v>809</v>
      </c>
      <c r="OEJ97" s="1392" t="s">
        <v>809</v>
      </c>
      <c r="OEK97" s="1392" t="s">
        <v>809</v>
      </c>
      <c r="OEL97" s="1392" t="s">
        <v>809</v>
      </c>
      <c r="OEM97" s="1392" t="s">
        <v>809</v>
      </c>
      <c r="OEN97" s="1392" t="s">
        <v>809</v>
      </c>
      <c r="OEO97" s="1392" t="s">
        <v>809</v>
      </c>
      <c r="OEP97" s="1392" t="s">
        <v>809</v>
      </c>
      <c r="OEQ97" s="1392" t="s">
        <v>809</v>
      </c>
      <c r="OER97" s="1392" t="s">
        <v>809</v>
      </c>
      <c r="OES97" s="1392" t="s">
        <v>809</v>
      </c>
      <c r="OET97" s="1392" t="s">
        <v>809</v>
      </c>
      <c r="OEU97" s="1392" t="s">
        <v>809</v>
      </c>
      <c r="OEV97" s="1392" t="s">
        <v>809</v>
      </c>
      <c r="OEW97" s="1392" t="s">
        <v>809</v>
      </c>
      <c r="OEX97" s="1392" t="s">
        <v>809</v>
      </c>
      <c r="OEY97" s="1392" t="s">
        <v>809</v>
      </c>
      <c r="OEZ97" s="1392" t="s">
        <v>809</v>
      </c>
      <c r="OFA97" s="1392" t="s">
        <v>809</v>
      </c>
      <c r="OFB97" s="1392" t="s">
        <v>809</v>
      </c>
      <c r="OFC97" s="1392" t="s">
        <v>809</v>
      </c>
      <c r="OFD97" s="1392" t="s">
        <v>809</v>
      </c>
      <c r="OFE97" s="1392" t="s">
        <v>809</v>
      </c>
      <c r="OFF97" s="1392" t="s">
        <v>809</v>
      </c>
      <c r="OFG97" s="1392" t="s">
        <v>809</v>
      </c>
      <c r="OFH97" s="1392" t="s">
        <v>809</v>
      </c>
      <c r="OFI97" s="1392" t="s">
        <v>809</v>
      </c>
      <c r="OFJ97" s="1392" t="s">
        <v>809</v>
      </c>
      <c r="OFK97" s="1392" t="s">
        <v>809</v>
      </c>
      <c r="OFL97" s="1392" t="s">
        <v>809</v>
      </c>
      <c r="OFM97" s="1392" t="s">
        <v>809</v>
      </c>
      <c r="OFN97" s="1392" t="s">
        <v>809</v>
      </c>
      <c r="OFO97" s="1392" t="s">
        <v>809</v>
      </c>
      <c r="OFP97" s="1392" t="s">
        <v>809</v>
      </c>
      <c r="OFQ97" s="1392" t="s">
        <v>809</v>
      </c>
      <c r="OFR97" s="1392" t="s">
        <v>809</v>
      </c>
      <c r="OFS97" s="1392" t="s">
        <v>809</v>
      </c>
      <c r="OFT97" s="1392" t="s">
        <v>809</v>
      </c>
      <c r="OFU97" s="1392" t="s">
        <v>809</v>
      </c>
      <c r="OFV97" s="1392" t="s">
        <v>809</v>
      </c>
      <c r="OFW97" s="1392" t="s">
        <v>809</v>
      </c>
      <c r="OFX97" s="1392" t="s">
        <v>809</v>
      </c>
      <c r="OFY97" s="1392" t="s">
        <v>809</v>
      </c>
      <c r="OFZ97" s="1392" t="s">
        <v>809</v>
      </c>
      <c r="OGA97" s="1392" t="s">
        <v>809</v>
      </c>
      <c r="OGB97" s="1392" t="s">
        <v>809</v>
      </c>
      <c r="OGC97" s="1392" t="s">
        <v>809</v>
      </c>
      <c r="OGD97" s="1392" t="s">
        <v>809</v>
      </c>
      <c r="OGE97" s="1392" t="s">
        <v>809</v>
      </c>
      <c r="OGF97" s="1392" t="s">
        <v>809</v>
      </c>
      <c r="OGG97" s="1392" t="s">
        <v>809</v>
      </c>
      <c r="OGH97" s="1392" t="s">
        <v>809</v>
      </c>
      <c r="OGI97" s="1392" t="s">
        <v>809</v>
      </c>
      <c r="OGJ97" s="1392" t="s">
        <v>809</v>
      </c>
      <c r="OGK97" s="1392" t="s">
        <v>809</v>
      </c>
      <c r="OGL97" s="1392" t="s">
        <v>809</v>
      </c>
      <c r="OGM97" s="1392" t="s">
        <v>809</v>
      </c>
      <c r="OGN97" s="1392" t="s">
        <v>809</v>
      </c>
      <c r="OGO97" s="1392" t="s">
        <v>809</v>
      </c>
      <c r="OGP97" s="1392" t="s">
        <v>809</v>
      </c>
      <c r="OGQ97" s="1392" t="s">
        <v>809</v>
      </c>
      <c r="OGR97" s="1392" t="s">
        <v>809</v>
      </c>
      <c r="OGS97" s="1392" t="s">
        <v>809</v>
      </c>
      <c r="OGT97" s="1392" t="s">
        <v>809</v>
      </c>
      <c r="OGU97" s="1392" t="s">
        <v>809</v>
      </c>
      <c r="OGV97" s="1392" t="s">
        <v>809</v>
      </c>
      <c r="OGW97" s="1392" t="s">
        <v>809</v>
      </c>
      <c r="OGX97" s="1392" t="s">
        <v>809</v>
      </c>
      <c r="OGY97" s="1392" t="s">
        <v>809</v>
      </c>
      <c r="OGZ97" s="1392" t="s">
        <v>809</v>
      </c>
      <c r="OHA97" s="1392" t="s">
        <v>809</v>
      </c>
      <c r="OHB97" s="1392" t="s">
        <v>809</v>
      </c>
      <c r="OHC97" s="1392" t="s">
        <v>809</v>
      </c>
      <c r="OHD97" s="1392" t="s">
        <v>809</v>
      </c>
      <c r="OHE97" s="1392" t="s">
        <v>809</v>
      </c>
      <c r="OHF97" s="1392" t="s">
        <v>809</v>
      </c>
      <c r="OHG97" s="1392" t="s">
        <v>809</v>
      </c>
      <c r="OHH97" s="1392" t="s">
        <v>809</v>
      </c>
      <c r="OHI97" s="1392" t="s">
        <v>809</v>
      </c>
      <c r="OHJ97" s="1392" t="s">
        <v>809</v>
      </c>
      <c r="OHK97" s="1392" t="s">
        <v>809</v>
      </c>
      <c r="OHL97" s="1392" t="s">
        <v>809</v>
      </c>
      <c r="OHM97" s="1392" t="s">
        <v>809</v>
      </c>
      <c r="OHN97" s="1392" t="s">
        <v>809</v>
      </c>
      <c r="OHO97" s="1392" t="s">
        <v>809</v>
      </c>
      <c r="OHP97" s="1392" t="s">
        <v>809</v>
      </c>
      <c r="OHQ97" s="1392" t="s">
        <v>809</v>
      </c>
      <c r="OHR97" s="1392" t="s">
        <v>809</v>
      </c>
      <c r="OHS97" s="1392" t="s">
        <v>809</v>
      </c>
      <c r="OHT97" s="1392" t="s">
        <v>809</v>
      </c>
      <c r="OHU97" s="1392" t="s">
        <v>809</v>
      </c>
      <c r="OHV97" s="1392" t="s">
        <v>809</v>
      </c>
      <c r="OHW97" s="1392" t="s">
        <v>809</v>
      </c>
      <c r="OHX97" s="1392" t="s">
        <v>809</v>
      </c>
      <c r="OHY97" s="1392" t="s">
        <v>809</v>
      </c>
      <c r="OHZ97" s="1392" t="s">
        <v>809</v>
      </c>
      <c r="OIA97" s="1392" t="s">
        <v>809</v>
      </c>
      <c r="OIB97" s="1392" t="s">
        <v>809</v>
      </c>
      <c r="OIC97" s="1392" t="s">
        <v>809</v>
      </c>
      <c r="OID97" s="1392" t="s">
        <v>809</v>
      </c>
      <c r="OIE97" s="1392" t="s">
        <v>809</v>
      </c>
      <c r="OIF97" s="1392" t="s">
        <v>809</v>
      </c>
      <c r="OIG97" s="1392" t="s">
        <v>809</v>
      </c>
      <c r="OIH97" s="1392" t="s">
        <v>809</v>
      </c>
      <c r="OII97" s="1392" t="s">
        <v>809</v>
      </c>
      <c r="OIJ97" s="1392" t="s">
        <v>809</v>
      </c>
      <c r="OIK97" s="1392" t="s">
        <v>809</v>
      </c>
      <c r="OIL97" s="1392" t="s">
        <v>809</v>
      </c>
      <c r="OIM97" s="1392" t="s">
        <v>809</v>
      </c>
      <c r="OIN97" s="1392" t="s">
        <v>809</v>
      </c>
      <c r="OIO97" s="1392" t="s">
        <v>809</v>
      </c>
      <c r="OIP97" s="1392" t="s">
        <v>809</v>
      </c>
      <c r="OIQ97" s="1392" t="s">
        <v>809</v>
      </c>
      <c r="OIR97" s="1392" t="s">
        <v>809</v>
      </c>
      <c r="OIS97" s="1392" t="s">
        <v>809</v>
      </c>
      <c r="OIT97" s="1392" t="s">
        <v>809</v>
      </c>
      <c r="OIU97" s="1392" t="s">
        <v>809</v>
      </c>
      <c r="OIV97" s="1392" t="s">
        <v>809</v>
      </c>
      <c r="OIW97" s="1392" t="s">
        <v>809</v>
      </c>
      <c r="OIX97" s="1392" t="s">
        <v>809</v>
      </c>
      <c r="OIY97" s="1392" t="s">
        <v>809</v>
      </c>
      <c r="OIZ97" s="1392" t="s">
        <v>809</v>
      </c>
      <c r="OJA97" s="1392" t="s">
        <v>809</v>
      </c>
      <c r="OJB97" s="1392" t="s">
        <v>809</v>
      </c>
      <c r="OJC97" s="1392" t="s">
        <v>809</v>
      </c>
      <c r="OJD97" s="1392" t="s">
        <v>809</v>
      </c>
      <c r="OJE97" s="1392" t="s">
        <v>809</v>
      </c>
      <c r="OJF97" s="1392" t="s">
        <v>809</v>
      </c>
      <c r="OJG97" s="1392" t="s">
        <v>809</v>
      </c>
      <c r="OJH97" s="1392" t="s">
        <v>809</v>
      </c>
      <c r="OJI97" s="1392" t="s">
        <v>809</v>
      </c>
      <c r="OJJ97" s="1392" t="s">
        <v>809</v>
      </c>
      <c r="OJK97" s="1392" t="s">
        <v>809</v>
      </c>
      <c r="OJL97" s="1392" t="s">
        <v>809</v>
      </c>
      <c r="OJM97" s="1392" t="s">
        <v>809</v>
      </c>
      <c r="OJN97" s="1392" t="s">
        <v>809</v>
      </c>
      <c r="OJO97" s="1392" t="s">
        <v>809</v>
      </c>
      <c r="OJP97" s="1392" t="s">
        <v>809</v>
      </c>
      <c r="OJQ97" s="1392" t="s">
        <v>809</v>
      </c>
      <c r="OJR97" s="1392" t="s">
        <v>809</v>
      </c>
      <c r="OJS97" s="1392" t="s">
        <v>809</v>
      </c>
      <c r="OJT97" s="1392" t="s">
        <v>809</v>
      </c>
      <c r="OJU97" s="1392" t="s">
        <v>809</v>
      </c>
      <c r="OJV97" s="1392" t="s">
        <v>809</v>
      </c>
      <c r="OJW97" s="1392" t="s">
        <v>809</v>
      </c>
      <c r="OJX97" s="1392" t="s">
        <v>809</v>
      </c>
      <c r="OJY97" s="1392" t="s">
        <v>809</v>
      </c>
      <c r="OJZ97" s="1392" t="s">
        <v>809</v>
      </c>
      <c r="OKA97" s="1392" t="s">
        <v>809</v>
      </c>
      <c r="OKB97" s="1392" t="s">
        <v>809</v>
      </c>
      <c r="OKC97" s="1392" t="s">
        <v>809</v>
      </c>
      <c r="OKD97" s="1392" t="s">
        <v>809</v>
      </c>
      <c r="OKE97" s="1392" t="s">
        <v>809</v>
      </c>
      <c r="OKF97" s="1392" t="s">
        <v>809</v>
      </c>
      <c r="OKG97" s="1392" t="s">
        <v>809</v>
      </c>
      <c r="OKH97" s="1392" t="s">
        <v>809</v>
      </c>
      <c r="OKI97" s="1392" t="s">
        <v>809</v>
      </c>
      <c r="OKJ97" s="1392" t="s">
        <v>809</v>
      </c>
      <c r="OKK97" s="1392" t="s">
        <v>809</v>
      </c>
      <c r="OKL97" s="1392" t="s">
        <v>809</v>
      </c>
      <c r="OKM97" s="1392" t="s">
        <v>809</v>
      </c>
      <c r="OKN97" s="1392" t="s">
        <v>809</v>
      </c>
      <c r="OKO97" s="1392" t="s">
        <v>809</v>
      </c>
      <c r="OKP97" s="1392" t="s">
        <v>809</v>
      </c>
      <c r="OKQ97" s="1392" t="s">
        <v>809</v>
      </c>
      <c r="OKR97" s="1392" t="s">
        <v>809</v>
      </c>
      <c r="OKS97" s="1392" t="s">
        <v>809</v>
      </c>
      <c r="OKT97" s="1392" t="s">
        <v>809</v>
      </c>
      <c r="OKU97" s="1392" t="s">
        <v>809</v>
      </c>
      <c r="OKV97" s="1392" t="s">
        <v>809</v>
      </c>
      <c r="OKW97" s="1392" t="s">
        <v>809</v>
      </c>
      <c r="OKX97" s="1392" t="s">
        <v>809</v>
      </c>
      <c r="OKY97" s="1392" t="s">
        <v>809</v>
      </c>
      <c r="OKZ97" s="1392" t="s">
        <v>809</v>
      </c>
      <c r="OLA97" s="1392" t="s">
        <v>809</v>
      </c>
      <c r="OLB97" s="1392" t="s">
        <v>809</v>
      </c>
      <c r="OLC97" s="1392" t="s">
        <v>809</v>
      </c>
      <c r="OLD97" s="1392" t="s">
        <v>809</v>
      </c>
      <c r="OLE97" s="1392" t="s">
        <v>809</v>
      </c>
      <c r="OLF97" s="1392" t="s">
        <v>809</v>
      </c>
      <c r="OLG97" s="1392" t="s">
        <v>809</v>
      </c>
      <c r="OLH97" s="1392" t="s">
        <v>809</v>
      </c>
      <c r="OLI97" s="1392" t="s">
        <v>809</v>
      </c>
      <c r="OLJ97" s="1392" t="s">
        <v>809</v>
      </c>
      <c r="OLK97" s="1392" t="s">
        <v>809</v>
      </c>
      <c r="OLL97" s="1392" t="s">
        <v>809</v>
      </c>
      <c r="OLM97" s="1392" t="s">
        <v>809</v>
      </c>
      <c r="OLN97" s="1392" t="s">
        <v>809</v>
      </c>
      <c r="OLO97" s="1392" t="s">
        <v>809</v>
      </c>
      <c r="OLP97" s="1392" t="s">
        <v>809</v>
      </c>
      <c r="OLQ97" s="1392" t="s">
        <v>809</v>
      </c>
      <c r="OLR97" s="1392" t="s">
        <v>809</v>
      </c>
      <c r="OLS97" s="1392" t="s">
        <v>809</v>
      </c>
      <c r="OLT97" s="1392" t="s">
        <v>809</v>
      </c>
      <c r="OLU97" s="1392" t="s">
        <v>809</v>
      </c>
      <c r="OLV97" s="1392" t="s">
        <v>809</v>
      </c>
      <c r="OLW97" s="1392" t="s">
        <v>809</v>
      </c>
      <c r="OLX97" s="1392" t="s">
        <v>809</v>
      </c>
      <c r="OLY97" s="1392" t="s">
        <v>809</v>
      </c>
      <c r="OLZ97" s="1392" t="s">
        <v>809</v>
      </c>
      <c r="OMA97" s="1392" t="s">
        <v>809</v>
      </c>
      <c r="OMB97" s="1392" t="s">
        <v>809</v>
      </c>
      <c r="OMC97" s="1392" t="s">
        <v>809</v>
      </c>
      <c r="OMD97" s="1392" t="s">
        <v>809</v>
      </c>
      <c r="OME97" s="1392" t="s">
        <v>809</v>
      </c>
      <c r="OMF97" s="1392" t="s">
        <v>809</v>
      </c>
      <c r="OMG97" s="1392" t="s">
        <v>809</v>
      </c>
      <c r="OMH97" s="1392" t="s">
        <v>809</v>
      </c>
      <c r="OMI97" s="1392" t="s">
        <v>809</v>
      </c>
      <c r="OMJ97" s="1392" t="s">
        <v>809</v>
      </c>
      <c r="OMK97" s="1392" t="s">
        <v>809</v>
      </c>
      <c r="OML97" s="1392" t="s">
        <v>809</v>
      </c>
      <c r="OMM97" s="1392" t="s">
        <v>809</v>
      </c>
      <c r="OMN97" s="1392" t="s">
        <v>809</v>
      </c>
      <c r="OMO97" s="1392" t="s">
        <v>809</v>
      </c>
      <c r="OMP97" s="1392" t="s">
        <v>809</v>
      </c>
      <c r="OMQ97" s="1392" t="s">
        <v>809</v>
      </c>
      <c r="OMR97" s="1392" t="s">
        <v>809</v>
      </c>
      <c r="OMS97" s="1392" t="s">
        <v>809</v>
      </c>
      <c r="OMT97" s="1392" t="s">
        <v>809</v>
      </c>
      <c r="OMU97" s="1392" t="s">
        <v>809</v>
      </c>
      <c r="OMV97" s="1392" t="s">
        <v>809</v>
      </c>
      <c r="OMW97" s="1392" t="s">
        <v>809</v>
      </c>
      <c r="OMX97" s="1392" t="s">
        <v>809</v>
      </c>
      <c r="OMY97" s="1392" t="s">
        <v>809</v>
      </c>
      <c r="OMZ97" s="1392" t="s">
        <v>809</v>
      </c>
      <c r="ONA97" s="1392" t="s">
        <v>809</v>
      </c>
      <c r="ONB97" s="1392" t="s">
        <v>809</v>
      </c>
      <c r="ONC97" s="1392" t="s">
        <v>809</v>
      </c>
      <c r="OND97" s="1392" t="s">
        <v>809</v>
      </c>
      <c r="ONE97" s="1392" t="s">
        <v>809</v>
      </c>
      <c r="ONF97" s="1392" t="s">
        <v>809</v>
      </c>
      <c r="ONG97" s="1392" t="s">
        <v>809</v>
      </c>
      <c r="ONH97" s="1392" t="s">
        <v>809</v>
      </c>
      <c r="ONI97" s="1392" t="s">
        <v>809</v>
      </c>
      <c r="ONJ97" s="1392" t="s">
        <v>809</v>
      </c>
      <c r="ONK97" s="1392" t="s">
        <v>809</v>
      </c>
      <c r="ONL97" s="1392" t="s">
        <v>809</v>
      </c>
      <c r="ONM97" s="1392" t="s">
        <v>809</v>
      </c>
      <c r="ONN97" s="1392" t="s">
        <v>809</v>
      </c>
      <c r="ONO97" s="1392" t="s">
        <v>809</v>
      </c>
      <c r="ONP97" s="1392" t="s">
        <v>809</v>
      </c>
      <c r="ONQ97" s="1392" t="s">
        <v>809</v>
      </c>
      <c r="ONR97" s="1392" t="s">
        <v>809</v>
      </c>
      <c r="ONS97" s="1392" t="s">
        <v>809</v>
      </c>
      <c r="ONT97" s="1392" t="s">
        <v>809</v>
      </c>
      <c r="ONU97" s="1392" t="s">
        <v>809</v>
      </c>
      <c r="ONV97" s="1392" t="s">
        <v>809</v>
      </c>
      <c r="ONW97" s="1392" t="s">
        <v>809</v>
      </c>
      <c r="ONX97" s="1392" t="s">
        <v>809</v>
      </c>
      <c r="ONY97" s="1392" t="s">
        <v>809</v>
      </c>
      <c r="ONZ97" s="1392" t="s">
        <v>809</v>
      </c>
      <c r="OOA97" s="1392" t="s">
        <v>809</v>
      </c>
      <c r="OOB97" s="1392" t="s">
        <v>809</v>
      </c>
      <c r="OOC97" s="1392" t="s">
        <v>809</v>
      </c>
      <c r="OOD97" s="1392" t="s">
        <v>809</v>
      </c>
      <c r="OOE97" s="1392" t="s">
        <v>809</v>
      </c>
      <c r="OOF97" s="1392" t="s">
        <v>809</v>
      </c>
      <c r="OOG97" s="1392" t="s">
        <v>809</v>
      </c>
      <c r="OOH97" s="1392" t="s">
        <v>809</v>
      </c>
      <c r="OOI97" s="1392" t="s">
        <v>809</v>
      </c>
      <c r="OOJ97" s="1392" t="s">
        <v>809</v>
      </c>
      <c r="OOK97" s="1392" t="s">
        <v>809</v>
      </c>
      <c r="OOL97" s="1392" t="s">
        <v>809</v>
      </c>
      <c r="OOM97" s="1392" t="s">
        <v>809</v>
      </c>
      <c r="OON97" s="1392" t="s">
        <v>809</v>
      </c>
      <c r="OOO97" s="1392" t="s">
        <v>809</v>
      </c>
      <c r="OOP97" s="1392" t="s">
        <v>809</v>
      </c>
      <c r="OOQ97" s="1392" t="s">
        <v>809</v>
      </c>
      <c r="OOR97" s="1392" t="s">
        <v>809</v>
      </c>
      <c r="OOS97" s="1392" t="s">
        <v>809</v>
      </c>
      <c r="OOT97" s="1392" t="s">
        <v>809</v>
      </c>
      <c r="OOU97" s="1392" t="s">
        <v>809</v>
      </c>
      <c r="OOV97" s="1392" t="s">
        <v>809</v>
      </c>
      <c r="OOW97" s="1392" t="s">
        <v>809</v>
      </c>
      <c r="OOX97" s="1392" t="s">
        <v>809</v>
      </c>
      <c r="OOY97" s="1392" t="s">
        <v>809</v>
      </c>
      <c r="OOZ97" s="1392" t="s">
        <v>809</v>
      </c>
      <c r="OPA97" s="1392" t="s">
        <v>809</v>
      </c>
      <c r="OPB97" s="1392" t="s">
        <v>809</v>
      </c>
      <c r="OPC97" s="1392" t="s">
        <v>809</v>
      </c>
      <c r="OPD97" s="1392" t="s">
        <v>809</v>
      </c>
      <c r="OPE97" s="1392" t="s">
        <v>809</v>
      </c>
      <c r="OPF97" s="1392" t="s">
        <v>809</v>
      </c>
      <c r="OPG97" s="1392" t="s">
        <v>809</v>
      </c>
      <c r="OPH97" s="1392" t="s">
        <v>809</v>
      </c>
      <c r="OPI97" s="1392" t="s">
        <v>809</v>
      </c>
      <c r="OPJ97" s="1392" t="s">
        <v>809</v>
      </c>
      <c r="OPK97" s="1392" t="s">
        <v>809</v>
      </c>
      <c r="OPL97" s="1392" t="s">
        <v>809</v>
      </c>
      <c r="OPM97" s="1392" t="s">
        <v>809</v>
      </c>
      <c r="OPN97" s="1392" t="s">
        <v>809</v>
      </c>
      <c r="OPO97" s="1392" t="s">
        <v>809</v>
      </c>
      <c r="OPP97" s="1392" t="s">
        <v>809</v>
      </c>
      <c r="OPQ97" s="1392" t="s">
        <v>809</v>
      </c>
      <c r="OPR97" s="1392" t="s">
        <v>809</v>
      </c>
      <c r="OPS97" s="1392" t="s">
        <v>809</v>
      </c>
      <c r="OPT97" s="1392" t="s">
        <v>809</v>
      </c>
      <c r="OPU97" s="1392" t="s">
        <v>809</v>
      </c>
      <c r="OPV97" s="1392" t="s">
        <v>809</v>
      </c>
      <c r="OPW97" s="1392" t="s">
        <v>809</v>
      </c>
      <c r="OPX97" s="1392" t="s">
        <v>809</v>
      </c>
      <c r="OPY97" s="1392" t="s">
        <v>809</v>
      </c>
      <c r="OPZ97" s="1392" t="s">
        <v>809</v>
      </c>
      <c r="OQA97" s="1392" t="s">
        <v>809</v>
      </c>
      <c r="OQB97" s="1392" t="s">
        <v>809</v>
      </c>
      <c r="OQC97" s="1392" t="s">
        <v>809</v>
      </c>
      <c r="OQD97" s="1392" t="s">
        <v>809</v>
      </c>
      <c r="OQE97" s="1392" t="s">
        <v>809</v>
      </c>
      <c r="OQF97" s="1392" t="s">
        <v>809</v>
      </c>
      <c r="OQG97" s="1392" t="s">
        <v>809</v>
      </c>
      <c r="OQH97" s="1392" t="s">
        <v>809</v>
      </c>
      <c r="OQI97" s="1392" t="s">
        <v>809</v>
      </c>
      <c r="OQJ97" s="1392" t="s">
        <v>809</v>
      </c>
      <c r="OQK97" s="1392" t="s">
        <v>809</v>
      </c>
      <c r="OQL97" s="1392" t="s">
        <v>809</v>
      </c>
      <c r="OQM97" s="1392" t="s">
        <v>809</v>
      </c>
      <c r="OQN97" s="1392" t="s">
        <v>809</v>
      </c>
      <c r="OQO97" s="1392" t="s">
        <v>809</v>
      </c>
      <c r="OQP97" s="1392" t="s">
        <v>809</v>
      </c>
      <c r="OQQ97" s="1392" t="s">
        <v>809</v>
      </c>
      <c r="OQR97" s="1392" t="s">
        <v>809</v>
      </c>
      <c r="OQS97" s="1392" t="s">
        <v>809</v>
      </c>
      <c r="OQT97" s="1392" t="s">
        <v>809</v>
      </c>
      <c r="OQU97" s="1392" t="s">
        <v>809</v>
      </c>
      <c r="OQV97" s="1392" t="s">
        <v>809</v>
      </c>
      <c r="OQW97" s="1392" t="s">
        <v>809</v>
      </c>
      <c r="OQX97" s="1392" t="s">
        <v>809</v>
      </c>
      <c r="OQY97" s="1392" t="s">
        <v>809</v>
      </c>
      <c r="OQZ97" s="1392" t="s">
        <v>809</v>
      </c>
      <c r="ORA97" s="1392" t="s">
        <v>809</v>
      </c>
      <c r="ORB97" s="1392" t="s">
        <v>809</v>
      </c>
      <c r="ORC97" s="1392" t="s">
        <v>809</v>
      </c>
      <c r="ORD97" s="1392" t="s">
        <v>809</v>
      </c>
      <c r="ORE97" s="1392" t="s">
        <v>809</v>
      </c>
      <c r="ORF97" s="1392" t="s">
        <v>809</v>
      </c>
      <c r="ORG97" s="1392" t="s">
        <v>809</v>
      </c>
      <c r="ORH97" s="1392" t="s">
        <v>809</v>
      </c>
      <c r="ORI97" s="1392" t="s">
        <v>809</v>
      </c>
      <c r="ORJ97" s="1392" t="s">
        <v>809</v>
      </c>
      <c r="ORK97" s="1392" t="s">
        <v>809</v>
      </c>
      <c r="ORL97" s="1392" t="s">
        <v>809</v>
      </c>
      <c r="ORM97" s="1392" t="s">
        <v>809</v>
      </c>
      <c r="ORN97" s="1392" t="s">
        <v>809</v>
      </c>
      <c r="ORO97" s="1392" t="s">
        <v>809</v>
      </c>
      <c r="ORP97" s="1392" t="s">
        <v>809</v>
      </c>
      <c r="ORQ97" s="1392" t="s">
        <v>809</v>
      </c>
      <c r="ORR97" s="1392" t="s">
        <v>809</v>
      </c>
      <c r="ORS97" s="1392" t="s">
        <v>809</v>
      </c>
      <c r="ORT97" s="1392" t="s">
        <v>809</v>
      </c>
      <c r="ORU97" s="1392" t="s">
        <v>809</v>
      </c>
      <c r="ORV97" s="1392" t="s">
        <v>809</v>
      </c>
      <c r="ORW97" s="1392" t="s">
        <v>809</v>
      </c>
      <c r="ORX97" s="1392" t="s">
        <v>809</v>
      </c>
      <c r="ORY97" s="1392" t="s">
        <v>809</v>
      </c>
      <c r="ORZ97" s="1392" t="s">
        <v>809</v>
      </c>
      <c r="OSA97" s="1392" t="s">
        <v>809</v>
      </c>
      <c r="OSB97" s="1392" t="s">
        <v>809</v>
      </c>
      <c r="OSC97" s="1392" t="s">
        <v>809</v>
      </c>
      <c r="OSD97" s="1392" t="s">
        <v>809</v>
      </c>
      <c r="OSE97" s="1392" t="s">
        <v>809</v>
      </c>
      <c r="OSF97" s="1392" t="s">
        <v>809</v>
      </c>
      <c r="OSG97" s="1392" t="s">
        <v>809</v>
      </c>
      <c r="OSH97" s="1392" t="s">
        <v>809</v>
      </c>
      <c r="OSI97" s="1392" t="s">
        <v>809</v>
      </c>
      <c r="OSJ97" s="1392" t="s">
        <v>809</v>
      </c>
      <c r="OSK97" s="1392" t="s">
        <v>809</v>
      </c>
      <c r="OSL97" s="1392" t="s">
        <v>809</v>
      </c>
      <c r="OSM97" s="1392" t="s">
        <v>809</v>
      </c>
      <c r="OSN97" s="1392" t="s">
        <v>809</v>
      </c>
      <c r="OSO97" s="1392" t="s">
        <v>809</v>
      </c>
      <c r="OSP97" s="1392" t="s">
        <v>809</v>
      </c>
      <c r="OSQ97" s="1392" t="s">
        <v>809</v>
      </c>
      <c r="OSR97" s="1392" t="s">
        <v>809</v>
      </c>
      <c r="OSS97" s="1392" t="s">
        <v>809</v>
      </c>
      <c r="OST97" s="1392" t="s">
        <v>809</v>
      </c>
      <c r="OSU97" s="1392" t="s">
        <v>809</v>
      </c>
      <c r="OSV97" s="1392" t="s">
        <v>809</v>
      </c>
      <c r="OSW97" s="1392" t="s">
        <v>809</v>
      </c>
      <c r="OSX97" s="1392" t="s">
        <v>809</v>
      </c>
      <c r="OSY97" s="1392" t="s">
        <v>809</v>
      </c>
      <c r="OSZ97" s="1392" t="s">
        <v>809</v>
      </c>
      <c r="OTA97" s="1392" t="s">
        <v>809</v>
      </c>
      <c r="OTB97" s="1392" t="s">
        <v>809</v>
      </c>
      <c r="OTC97" s="1392" t="s">
        <v>809</v>
      </c>
      <c r="OTD97" s="1392" t="s">
        <v>809</v>
      </c>
      <c r="OTE97" s="1392" t="s">
        <v>809</v>
      </c>
      <c r="OTF97" s="1392" t="s">
        <v>809</v>
      </c>
      <c r="OTG97" s="1392" t="s">
        <v>809</v>
      </c>
      <c r="OTH97" s="1392" t="s">
        <v>809</v>
      </c>
      <c r="OTI97" s="1392" t="s">
        <v>809</v>
      </c>
      <c r="OTJ97" s="1392" t="s">
        <v>809</v>
      </c>
      <c r="OTK97" s="1392" t="s">
        <v>809</v>
      </c>
      <c r="OTL97" s="1392" t="s">
        <v>809</v>
      </c>
      <c r="OTM97" s="1392" t="s">
        <v>809</v>
      </c>
      <c r="OTN97" s="1392" t="s">
        <v>809</v>
      </c>
      <c r="OTO97" s="1392" t="s">
        <v>809</v>
      </c>
      <c r="OTP97" s="1392" t="s">
        <v>809</v>
      </c>
      <c r="OTQ97" s="1392" t="s">
        <v>809</v>
      </c>
      <c r="OTR97" s="1392" t="s">
        <v>809</v>
      </c>
      <c r="OTS97" s="1392" t="s">
        <v>809</v>
      </c>
      <c r="OTT97" s="1392" t="s">
        <v>809</v>
      </c>
      <c r="OTU97" s="1392" t="s">
        <v>809</v>
      </c>
      <c r="OTV97" s="1392" t="s">
        <v>809</v>
      </c>
      <c r="OTW97" s="1392" t="s">
        <v>809</v>
      </c>
      <c r="OTX97" s="1392" t="s">
        <v>809</v>
      </c>
      <c r="OTY97" s="1392" t="s">
        <v>809</v>
      </c>
      <c r="OTZ97" s="1392" t="s">
        <v>809</v>
      </c>
      <c r="OUA97" s="1392" t="s">
        <v>809</v>
      </c>
      <c r="OUB97" s="1392" t="s">
        <v>809</v>
      </c>
      <c r="OUC97" s="1392" t="s">
        <v>809</v>
      </c>
      <c r="OUD97" s="1392" t="s">
        <v>809</v>
      </c>
      <c r="OUE97" s="1392" t="s">
        <v>809</v>
      </c>
      <c r="OUF97" s="1392" t="s">
        <v>809</v>
      </c>
      <c r="OUG97" s="1392" t="s">
        <v>809</v>
      </c>
      <c r="OUH97" s="1392" t="s">
        <v>809</v>
      </c>
      <c r="OUI97" s="1392" t="s">
        <v>809</v>
      </c>
      <c r="OUJ97" s="1392" t="s">
        <v>809</v>
      </c>
      <c r="OUK97" s="1392" t="s">
        <v>809</v>
      </c>
      <c r="OUL97" s="1392" t="s">
        <v>809</v>
      </c>
      <c r="OUM97" s="1392" t="s">
        <v>809</v>
      </c>
      <c r="OUN97" s="1392" t="s">
        <v>809</v>
      </c>
      <c r="OUO97" s="1392" t="s">
        <v>809</v>
      </c>
      <c r="OUP97" s="1392" t="s">
        <v>809</v>
      </c>
      <c r="OUQ97" s="1392" t="s">
        <v>809</v>
      </c>
      <c r="OUR97" s="1392" t="s">
        <v>809</v>
      </c>
      <c r="OUS97" s="1392" t="s">
        <v>809</v>
      </c>
      <c r="OUT97" s="1392" t="s">
        <v>809</v>
      </c>
      <c r="OUU97" s="1392" t="s">
        <v>809</v>
      </c>
      <c r="OUV97" s="1392" t="s">
        <v>809</v>
      </c>
      <c r="OUW97" s="1392" t="s">
        <v>809</v>
      </c>
      <c r="OUX97" s="1392" t="s">
        <v>809</v>
      </c>
      <c r="OUY97" s="1392" t="s">
        <v>809</v>
      </c>
      <c r="OUZ97" s="1392" t="s">
        <v>809</v>
      </c>
      <c r="OVA97" s="1392" t="s">
        <v>809</v>
      </c>
      <c r="OVB97" s="1392" t="s">
        <v>809</v>
      </c>
      <c r="OVC97" s="1392" t="s">
        <v>809</v>
      </c>
      <c r="OVD97" s="1392" t="s">
        <v>809</v>
      </c>
      <c r="OVE97" s="1392" t="s">
        <v>809</v>
      </c>
      <c r="OVF97" s="1392" t="s">
        <v>809</v>
      </c>
      <c r="OVG97" s="1392" t="s">
        <v>809</v>
      </c>
      <c r="OVH97" s="1392" t="s">
        <v>809</v>
      </c>
      <c r="OVI97" s="1392" t="s">
        <v>809</v>
      </c>
      <c r="OVJ97" s="1392" t="s">
        <v>809</v>
      </c>
      <c r="OVK97" s="1392" t="s">
        <v>809</v>
      </c>
      <c r="OVL97" s="1392" t="s">
        <v>809</v>
      </c>
      <c r="OVM97" s="1392" t="s">
        <v>809</v>
      </c>
      <c r="OVN97" s="1392" t="s">
        <v>809</v>
      </c>
      <c r="OVO97" s="1392" t="s">
        <v>809</v>
      </c>
      <c r="OVP97" s="1392" t="s">
        <v>809</v>
      </c>
      <c r="OVQ97" s="1392" t="s">
        <v>809</v>
      </c>
      <c r="OVR97" s="1392" t="s">
        <v>809</v>
      </c>
      <c r="OVS97" s="1392" t="s">
        <v>809</v>
      </c>
      <c r="OVT97" s="1392" t="s">
        <v>809</v>
      </c>
      <c r="OVU97" s="1392" t="s">
        <v>809</v>
      </c>
      <c r="OVV97" s="1392" t="s">
        <v>809</v>
      </c>
      <c r="OVW97" s="1392" t="s">
        <v>809</v>
      </c>
      <c r="OVX97" s="1392" t="s">
        <v>809</v>
      </c>
      <c r="OVY97" s="1392" t="s">
        <v>809</v>
      </c>
      <c r="OVZ97" s="1392" t="s">
        <v>809</v>
      </c>
      <c r="OWA97" s="1392" t="s">
        <v>809</v>
      </c>
      <c r="OWB97" s="1392" t="s">
        <v>809</v>
      </c>
      <c r="OWC97" s="1392" t="s">
        <v>809</v>
      </c>
      <c r="OWD97" s="1392" t="s">
        <v>809</v>
      </c>
      <c r="OWE97" s="1392" t="s">
        <v>809</v>
      </c>
      <c r="OWF97" s="1392" t="s">
        <v>809</v>
      </c>
      <c r="OWG97" s="1392" t="s">
        <v>809</v>
      </c>
      <c r="OWH97" s="1392" t="s">
        <v>809</v>
      </c>
      <c r="OWI97" s="1392" t="s">
        <v>809</v>
      </c>
      <c r="OWJ97" s="1392" t="s">
        <v>809</v>
      </c>
      <c r="OWK97" s="1392" t="s">
        <v>809</v>
      </c>
      <c r="OWL97" s="1392" t="s">
        <v>809</v>
      </c>
      <c r="OWM97" s="1392" t="s">
        <v>809</v>
      </c>
      <c r="OWN97" s="1392" t="s">
        <v>809</v>
      </c>
      <c r="OWO97" s="1392" t="s">
        <v>809</v>
      </c>
      <c r="OWP97" s="1392" t="s">
        <v>809</v>
      </c>
      <c r="OWQ97" s="1392" t="s">
        <v>809</v>
      </c>
      <c r="OWR97" s="1392" t="s">
        <v>809</v>
      </c>
      <c r="OWS97" s="1392" t="s">
        <v>809</v>
      </c>
      <c r="OWT97" s="1392" t="s">
        <v>809</v>
      </c>
      <c r="OWU97" s="1392" t="s">
        <v>809</v>
      </c>
      <c r="OWV97" s="1392" t="s">
        <v>809</v>
      </c>
      <c r="OWW97" s="1392" t="s">
        <v>809</v>
      </c>
      <c r="OWX97" s="1392" t="s">
        <v>809</v>
      </c>
      <c r="OWY97" s="1392" t="s">
        <v>809</v>
      </c>
      <c r="OWZ97" s="1392" t="s">
        <v>809</v>
      </c>
      <c r="OXA97" s="1392" t="s">
        <v>809</v>
      </c>
      <c r="OXB97" s="1392" t="s">
        <v>809</v>
      </c>
      <c r="OXC97" s="1392" t="s">
        <v>809</v>
      </c>
      <c r="OXD97" s="1392" t="s">
        <v>809</v>
      </c>
      <c r="OXE97" s="1392" t="s">
        <v>809</v>
      </c>
      <c r="OXF97" s="1392" t="s">
        <v>809</v>
      </c>
      <c r="OXG97" s="1392" t="s">
        <v>809</v>
      </c>
      <c r="OXH97" s="1392" t="s">
        <v>809</v>
      </c>
      <c r="OXI97" s="1392" t="s">
        <v>809</v>
      </c>
      <c r="OXJ97" s="1392" t="s">
        <v>809</v>
      </c>
      <c r="OXK97" s="1392" t="s">
        <v>809</v>
      </c>
      <c r="OXL97" s="1392" t="s">
        <v>809</v>
      </c>
      <c r="OXM97" s="1392" t="s">
        <v>809</v>
      </c>
      <c r="OXN97" s="1392" t="s">
        <v>809</v>
      </c>
      <c r="OXO97" s="1392" t="s">
        <v>809</v>
      </c>
      <c r="OXP97" s="1392" t="s">
        <v>809</v>
      </c>
      <c r="OXQ97" s="1392" t="s">
        <v>809</v>
      </c>
      <c r="OXR97" s="1392" t="s">
        <v>809</v>
      </c>
      <c r="OXS97" s="1392" t="s">
        <v>809</v>
      </c>
      <c r="OXT97" s="1392" t="s">
        <v>809</v>
      </c>
      <c r="OXU97" s="1392" t="s">
        <v>809</v>
      </c>
      <c r="OXV97" s="1392" t="s">
        <v>809</v>
      </c>
      <c r="OXW97" s="1392" t="s">
        <v>809</v>
      </c>
      <c r="OXX97" s="1392" t="s">
        <v>809</v>
      </c>
      <c r="OXY97" s="1392" t="s">
        <v>809</v>
      </c>
      <c r="OXZ97" s="1392" t="s">
        <v>809</v>
      </c>
      <c r="OYA97" s="1392" t="s">
        <v>809</v>
      </c>
      <c r="OYB97" s="1392" t="s">
        <v>809</v>
      </c>
      <c r="OYC97" s="1392" t="s">
        <v>809</v>
      </c>
      <c r="OYD97" s="1392" t="s">
        <v>809</v>
      </c>
      <c r="OYE97" s="1392" t="s">
        <v>809</v>
      </c>
      <c r="OYF97" s="1392" t="s">
        <v>809</v>
      </c>
      <c r="OYG97" s="1392" t="s">
        <v>809</v>
      </c>
      <c r="OYH97" s="1392" t="s">
        <v>809</v>
      </c>
      <c r="OYI97" s="1392" t="s">
        <v>809</v>
      </c>
      <c r="OYJ97" s="1392" t="s">
        <v>809</v>
      </c>
      <c r="OYK97" s="1392" t="s">
        <v>809</v>
      </c>
      <c r="OYL97" s="1392" t="s">
        <v>809</v>
      </c>
      <c r="OYM97" s="1392" t="s">
        <v>809</v>
      </c>
      <c r="OYN97" s="1392" t="s">
        <v>809</v>
      </c>
      <c r="OYO97" s="1392" t="s">
        <v>809</v>
      </c>
      <c r="OYP97" s="1392" t="s">
        <v>809</v>
      </c>
      <c r="OYQ97" s="1392" t="s">
        <v>809</v>
      </c>
      <c r="OYR97" s="1392" t="s">
        <v>809</v>
      </c>
      <c r="OYS97" s="1392" t="s">
        <v>809</v>
      </c>
      <c r="OYT97" s="1392" t="s">
        <v>809</v>
      </c>
      <c r="OYU97" s="1392" t="s">
        <v>809</v>
      </c>
      <c r="OYV97" s="1392" t="s">
        <v>809</v>
      </c>
      <c r="OYW97" s="1392" t="s">
        <v>809</v>
      </c>
      <c r="OYX97" s="1392" t="s">
        <v>809</v>
      </c>
      <c r="OYY97" s="1392" t="s">
        <v>809</v>
      </c>
      <c r="OYZ97" s="1392" t="s">
        <v>809</v>
      </c>
      <c r="OZA97" s="1392" t="s">
        <v>809</v>
      </c>
      <c r="OZB97" s="1392" t="s">
        <v>809</v>
      </c>
      <c r="OZC97" s="1392" t="s">
        <v>809</v>
      </c>
      <c r="OZD97" s="1392" t="s">
        <v>809</v>
      </c>
      <c r="OZE97" s="1392" t="s">
        <v>809</v>
      </c>
      <c r="OZF97" s="1392" t="s">
        <v>809</v>
      </c>
      <c r="OZG97" s="1392" t="s">
        <v>809</v>
      </c>
      <c r="OZH97" s="1392" t="s">
        <v>809</v>
      </c>
      <c r="OZI97" s="1392" t="s">
        <v>809</v>
      </c>
      <c r="OZJ97" s="1392" t="s">
        <v>809</v>
      </c>
      <c r="OZK97" s="1392" t="s">
        <v>809</v>
      </c>
      <c r="OZL97" s="1392" t="s">
        <v>809</v>
      </c>
      <c r="OZM97" s="1392" t="s">
        <v>809</v>
      </c>
      <c r="OZN97" s="1392" t="s">
        <v>809</v>
      </c>
      <c r="OZO97" s="1392" t="s">
        <v>809</v>
      </c>
      <c r="OZP97" s="1392" t="s">
        <v>809</v>
      </c>
      <c r="OZQ97" s="1392" t="s">
        <v>809</v>
      </c>
      <c r="OZR97" s="1392" t="s">
        <v>809</v>
      </c>
      <c r="OZS97" s="1392" t="s">
        <v>809</v>
      </c>
      <c r="OZT97" s="1392" t="s">
        <v>809</v>
      </c>
      <c r="OZU97" s="1392" t="s">
        <v>809</v>
      </c>
      <c r="OZV97" s="1392" t="s">
        <v>809</v>
      </c>
      <c r="OZW97" s="1392" t="s">
        <v>809</v>
      </c>
      <c r="OZX97" s="1392" t="s">
        <v>809</v>
      </c>
      <c r="OZY97" s="1392" t="s">
        <v>809</v>
      </c>
      <c r="OZZ97" s="1392" t="s">
        <v>809</v>
      </c>
      <c r="PAA97" s="1392" t="s">
        <v>809</v>
      </c>
      <c r="PAB97" s="1392" t="s">
        <v>809</v>
      </c>
      <c r="PAC97" s="1392" t="s">
        <v>809</v>
      </c>
      <c r="PAD97" s="1392" t="s">
        <v>809</v>
      </c>
      <c r="PAE97" s="1392" t="s">
        <v>809</v>
      </c>
      <c r="PAF97" s="1392" t="s">
        <v>809</v>
      </c>
      <c r="PAG97" s="1392" t="s">
        <v>809</v>
      </c>
      <c r="PAH97" s="1392" t="s">
        <v>809</v>
      </c>
      <c r="PAI97" s="1392" t="s">
        <v>809</v>
      </c>
      <c r="PAJ97" s="1392" t="s">
        <v>809</v>
      </c>
      <c r="PAK97" s="1392" t="s">
        <v>809</v>
      </c>
      <c r="PAL97" s="1392" t="s">
        <v>809</v>
      </c>
      <c r="PAM97" s="1392" t="s">
        <v>809</v>
      </c>
      <c r="PAN97" s="1392" t="s">
        <v>809</v>
      </c>
      <c r="PAO97" s="1392" t="s">
        <v>809</v>
      </c>
      <c r="PAP97" s="1392" t="s">
        <v>809</v>
      </c>
      <c r="PAQ97" s="1392" t="s">
        <v>809</v>
      </c>
      <c r="PAR97" s="1392" t="s">
        <v>809</v>
      </c>
      <c r="PAS97" s="1392" t="s">
        <v>809</v>
      </c>
      <c r="PAT97" s="1392" t="s">
        <v>809</v>
      </c>
      <c r="PAU97" s="1392" t="s">
        <v>809</v>
      </c>
      <c r="PAV97" s="1392" t="s">
        <v>809</v>
      </c>
      <c r="PAW97" s="1392" t="s">
        <v>809</v>
      </c>
      <c r="PAX97" s="1392" t="s">
        <v>809</v>
      </c>
      <c r="PAY97" s="1392" t="s">
        <v>809</v>
      </c>
      <c r="PAZ97" s="1392" t="s">
        <v>809</v>
      </c>
      <c r="PBA97" s="1392" t="s">
        <v>809</v>
      </c>
      <c r="PBB97" s="1392" t="s">
        <v>809</v>
      </c>
      <c r="PBC97" s="1392" t="s">
        <v>809</v>
      </c>
      <c r="PBD97" s="1392" t="s">
        <v>809</v>
      </c>
      <c r="PBE97" s="1392" t="s">
        <v>809</v>
      </c>
      <c r="PBF97" s="1392" t="s">
        <v>809</v>
      </c>
      <c r="PBG97" s="1392" t="s">
        <v>809</v>
      </c>
      <c r="PBH97" s="1392" t="s">
        <v>809</v>
      </c>
      <c r="PBI97" s="1392" t="s">
        <v>809</v>
      </c>
      <c r="PBJ97" s="1392" t="s">
        <v>809</v>
      </c>
      <c r="PBK97" s="1392" t="s">
        <v>809</v>
      </c>
      <c r="PBL97" s="1392" t="s">
        <v>809</v>
      </c>
      <c r="PBM97" s="1392" t="s">
        <v>809</v>
      </c>
      <c r="PBN97" s="1392" t="s">
        <v>809</v>
      </c>
      <c r="PBO97" s="1392" t="s">
        <v>809</v>
      </c>
      <c r="PBP97" s="1392" t="s">
        <v>809</v>
      </c>
      <c r="PBQ97" s="1392" t="s">
        <v>809</v>
      </c>
      <c r="PBR97" s="1392" t="s">
        <v>809</v>
      </c>
      <c r="PBS97" s="1392" t="s">
        <v>809</v>
      </c>
      <c r="PBT97" s="1392" t="s">
        <v>809</v>
      </c>
      <c r="PBU97" s="1392" t="s">
        <v>809</v>
      </c>
      <c r="PBV97" s="1392" t="s">
        <v>809</v>
      </c>
      <c r="PBW97" s="1392" t="s">
        <v>809</v>
      </c>
      <c r="PBX97" s="1392" t="s">
        <v>809</v>
      </c>
      <c r="PBY97" s="1392" t="s">
        <v>809</v>
      </c>
      <c r="PBZ97" s="1392" t="s">
        <v>809</v>
      </c>
      <c r="PCA97" s="1392" t="s">
        <v>809</v>
      </c>
      <c r="PCB97" s="1392" t="s">
        <v>809</v>
      </c>
      <c r="PCC97" s="1392" t="s">
        <v>809</v>
      </c>
      <c r="PCD97" s="1392" t="s">
        <v>809</v>
      </c>
      <c r="PCE97" s="1392" t="s">
        <v>809</v>
      </c>
      <c r="PCF97" s="1392" t="s">
        <v>809</v>
      </c>
      <c r="PCG97" s="1392" t="s">
        <v>809</v>
      </c>
      <c r="PCH97" s="1392" t="s">
        <v>809</v>
      </c>
      <c r="PCI97" s="1392" t="s">
        <v>809</v>
      </c>
      <c r="PCJ97" s="1392" t="s">
        <v>809</v>
      </c>
      <c r="PCK97" s="1392" t="s">
        <v>809</v>
      </c>
      <c r="PCL97" s="1392" t="s">
        <v>809</v>
      </c>
      <c r="PCM97" s="1392" t="s">
        <v>809</v>
      </c>
      <c r="PCN97" s="1392" t="s">
        <v>809</v>
      </c>
      <c r="PCO97" s="1392" t="s">
        <v>809</v>
      </c>
      <c r="PCP97" s="1392" t="s">
        <v>809</v>
      </c>
      <c r="PCQ97" s="1392" t="s">
        <v>809</v>
      </c>
      <c r="PCR97" s="1392" t="s">
        <v>809</v>
      </c>
      <c r="PCS97" s="1392" t="s">
        <v>809</v>
      </c>
      <c r="PCT97" s="1392" t="s">
        <v>809</v>
      </c>
      <c r="PCU97" s="1392" t="s">
        <v>809</v>
      </c>
      <c r="PCV97" s="1392" t="s">
        <v>809</v>
      </c>
      <c r="PCW97" s="1392" t="s">
        <v>809</v>
      </c>
      <c r="PCX97" s="1392" t="s">
        <v>809</v>
      </c>
      <c r="PCY97" s="1392" t="s">
        <v>809</v>
      </c>
      <c r="PCZ97" s="1392" t="s">
        <v>809</v>
      </c>
      <c r="PDA97" s="1392" t="s">
        <v>809</v>
      </c>
      <c r="PDB97" s="1392" t="s">
        <v>809</v>
      </c>
      <c r="PDC97" s="1392" t="s">
        <v>809</v>
      </c>
      <c r="PDD97" s="1392" t="s">
        <v>809</v>
      </c>
      <c r="PDE97" s="1392" t="s">
        <v>809</v>
      </c>
      <c r="PDF97" s="1392" t="s">
        <v>809</v>
      </c>
      <c r="PDG97" s="1392" t="s">
        <v>809</v>
      </c>
      <c r="PDH97" s="1392" t="s">
        <v>809</v>
      </c>
      <c r="PDI97" s="1392" t="s">
        <v>809</v>
      </c>
      <c r="PDJ97" s="1392" t="s">
        <v>809</v>
      </c>
      <c r="PDK97" s="1392" t="s">
        <v>809</v>
      </c>
      <c r="PDL97" s="1392" t="s">
        <v>809</v>
      </c>
      <c r="PDM97" s="1392" t="s">
        <v>809</v>
      </c>
      <c r="PDN97" s="1392" t="s">
        <v>809</v>
      </c>
      <c r="PDO97" s="1392" t="s">
        <v>809</v>
      </c>
      <c r="PDP97" s="1392" t="s">
        <v>809</v>
      </c>
      <c r="PDQ97" s="1392" t="s">
        <v>809</v>
      </c>
      <c r="PDR97" s="1392" t="s">
        <v>809</v>
      </c>
      <c r="PDS97" s="1392" t="s">
        <v>809</v>
      </c>
      <c r="PDT97" s="1392" t="s">
        <v>809</v>
      </c>
      <c r="PDU97" s="1392" t="s">
        <v>809</v>
      </c>
      <c r="PDV97" s="1392" t="s">
        <v>809</v>
      </c>
      <c r="PDW97" s="1392" t="s">
        <v>809</v>
      </c>
      <c r="PDX97" s="1392" t="s">
        <v>809</v>
      </c>
      <c r="PDY97" s="1392" t="s">
        <v>809</v>
      </c>
      <c r="PDZ97" s="1392" t="s">
        <v>809</v>
      </c>
      <c r="PEA97" s="1392" t="s">
        <v>809</v>
      </c>
      <c r="PEB97" s="1392" t="s">
        <v>809</v>
      </c>
      <c r="PEC97" s="1392" t="s">
        <v>809</v>
      </c>
      <c r="PED97" s="1392" t="s">
        <v>809</v>
      </c>
      <c r="PEE97" s="1392" t="s">
        <v>809</v>
      </c>
      <c r="PEF97" s="1392" t="s">
        <v>809</v>
      </c>
      <c r="PEG97" s="1392" t="s">
        <v>809</v>
      </c>
      <c r="PEH97" s="1392" t="s">
        <v>809</v>
      </c>
      <c r="PEI97" s="1392" t="s">
        <v>809</v>
      </c>
      <c r="PEJ97" s="1392" t="s">
        <v>809</v>
      </c>
      <c r="PEK97" s="1392" t="s">
        <v>809</v>
      </c>
      <c r="PEL97" s="1392" t="s">
        <v>809</v>
      </c>
      <c r="PEM97" s="1392" t="s">
        <v>809</v>
      </c>
      <c r="PEN97" s="1392" t="s">
        <v>809</v>
      </c>
      <c r="PEO97" s="1392" t="s">
        <v>809</v>
      </c>
      <c r="PEP97" s="1392" t="s">
        <v>809</v>
      </c>
      <c r="PEQ97" s="1392" t="s">
        <v>809</v>
      </c>
      <c r="PER97" s="1392" t="s">
        <v>809</v>
      </c>
      <c r="PES97" s="1392" t="s">
        <v>809</v>
      </c>
      <c r="PET97" s="1392" t="s">
        <v>809</v>
      </c>
      <c r="PEU97" s="1392" t="s">
        <v>809</v>
      </c>
      <c r="PEV97" s="1392" t="s">
        <v>809</v>
      </c>
      <c r="PEW97" s="1392" t="s">
        <v>809</v>
      </c>
      <c r="PEX97" s="1392" t="s">
        <v>809</v>
      </c>
      <c r="PEY97" s="1392" t="s">
        <v>809</v>
      </c>
      <c r="PEZ97" s="1392" t="s">
        <v>809</v>
      </c>
      <c r="PFA97" s="1392" t="s">
        <v>809</v>
      </c>
      <c r="PFB97" s="1392" t="s">
        <v>809</v>
      </c>
      <c r="PFC97" s="1392" t="s">
        <v>809</v>
      </c>
      <c r="PFD97" s="1392" t="s">
        <v>809</v>
      </c>
      <c r="PFE97" s="1392" t="s">
        <v>809</v>
      </c>
      <c r="PFF97" s="1392" t="s">
        <v>809</v>
      </c>
      <c r="PFG97" s="1392" t="s">
        <v>809</v>
      </c>
      <c r="PFH97" s="1392" t="s">
        <v>809</v>
      </c>
      <c r="PFI97" s="1392" t="s">
        <v>809</v>
      </c>
      <c r="PFJ97" s="1392" t="s">
        <v>809</v>
      </c>
      <c r="PFK97" s="1392" t="s">
        <v>809</v>
      </c>
      <c r="PFL97" s="1392" t="s">
        <v>809</v>
      </c>
      <c r="PFM97" s="1392" t="s">
        <v>809</v>
      </c>
      <c r="PFN97" s="1392" t="s">
        <v>809</v>
      </c>
      <c r="PFO97" s="1392" t="s">
        <v>809</v>
      </c>
      <c r="PFP97" s="1392" t="s">
        <v>809</v>
      </c>
      <c r="PFQ97" s="1392" t="s">
        <v>809</v>
      </c>
      <c r="PFR97" s="1392" t="s">
        <v>809</v>
      </c>
      <c r="PFS97" s="1392" t="s">
        <v>809</v>
      </c>
      <c r="PFT97" s="1392" t="s">
        <v>809</v>
      </c>
      <c r="PFU97" s="1392" t="s">
        <v>809</v>
      </c>
      <c r="PFV97" s="1392" t="s">
        <v>809</v>
      </c>
      <c r="PFW97" s="1392" t="s">
        <v>809</v>
      </c>
      <c r="PFX97" s="1392" t="s">
        <v>809</v>
      </c>
      <c r="PFY97" s="1392" t="s">
        <v>809</v>
      </c>
      <c r="PFZ97" s="1392" t="s">
        <v>809</v>
      </c>
      <c r="PGA97" s="1392" t="s">
        <v>809</v>
      </c>
      <c r="PGB97" s="1392" t="s">
        <v>809</v>
      </c>
      <c r="PGC97" s="1392" t="s">
        <v>809</v>
      </c>
      <c r="PGD97" s="1392" t="s">
        <v>809</v>
      </c>
      <c r="PGE97" s="1392" t="s">
        <v>809</v>
      </c>
      <c r="PGF97" s="1392" t="s">
        <v>809</v>
      </c>
      <c r="PGG97" s="1392" t="s">
        <v>809</v>
      </c>
      <c r="PGH97" s="1392" t="s">
        <v>809</v>
      </c>
      <c r="PGI97" s="1392" t="s">
        <v>809</v>
      </c>
      <c r="PGJ97" s="1392" t="s">
        <v>809</v>
      </c>
      <c r="PGK97" s="1392" t="s">
        <v>809</v>
      </c>
      <c r="PGL97" s="1392" t="s">
        <v>809</v>
      </c>
      <c r="PGM97" s="1392" t="s">
        <v>809</v>
      </c>
      <c r="PGN97" s="1392" t="s">
        <v>809</v>
      </c>
      <c r="PGO97" s="1392" t="s">
        <v>809</v>
      </c>
      <c r="PGP97" s="1392" t="s">
        <v>809</v>
      </c>
      <c r="PGQ97" s="1392" t="s">
        <v>809</v>
      </c>
      <c r="PGR97" s="1392" t="s">
        <v>809</v>
      </c>
      <c r="PGS97" s="1392" t="s">
        <v>809</v>
      </c>
      <c r="PGT97" s="1392" t="s">
        <v>809</v>
      </c>
      <c r="PGU97" s="1392" t="s">
        <v>809</v>
      </c>
      <c r="PGV97" s="1392" t="s">
        <v>809</v>
      </c>
      <c r="PGW97" s="1392" t="s">
        <v>809</v>
      </c>
      <c r="PGX97" s="1392" t="s">
        <v>809</v>
      </c>
      <c r="PGY97" s="1392" t="s">
        <v>809</v>
      </c>
      <c r="PGZ97" s="1392" t="s">
        <v>809</v>
      </c>
      <c r="PHA97" s="1392" t="s">
        <v>809</v>
      </c>
      <c r="PHB97" s="1392" t="s">
        <v>809</v>
      </c>
      <c r="PHC97" s="1392" t="s">
        <v>809</v>
      </c>
      <c r="PHD97" s="1392" t="s">
        <v>809</v>
      </c>
      <c r="PHE97" s="1392" t="s">
        <v>809</v>
      </c>
      <c r="PHF97" s="1392" t="s">
        <v>809</v>
      </c>
      <c r="PHG97" s="1392" t="s">
        <v>809</v>
      </c>
      <c r="PHH97" s="1392" t="s">
        <v>809</v>
      </c>
      <c r="PHI97" s="1392" t="s">
        <v>809</v>
      </c>
      <c r="PHJ97" s="1392" t="s">
        <v>809</v>
      </c>
      <c r="PHK97" s="1392" t="s">
        <v>809</v>
      </c>
      <c r="PHL97" s="1392" t="s">
        <v>809</v>
      </c>
      <c r="PHM97" s="1392" t="s">
        <v>809</v>
      </c>
      <c r="PHN97" s="1392" t="s">
        <v>809</v>
      </c>
      <c r="PHO97" s="1392" t="s">
        <v>809</v>
      </c>
      <c r="PHP97" s="1392" t="s">
        <v>809</v>
      </c>
      <c r="PHQ97" s="1392" t="s">
        <v>809</v>
      </c>
      <c r="PHR97" s="1392" t="s">
        <v>809</v>
      </c>
      <c r="PHS97" s="1392" t="s">
        <v>809</v>
      </c>
      <c r="PHT97" s="1392" t="s">
        <v>809</v>
      </c>
      <c r="PHU97" s="1392" t="s">
        <v>809</v>
      </c>
      <c r="PHV97" s="1392" t="s">
        <v>809</v>
      </c>
      <c r="PHW97" s="1392" t="s">
        <v>809</v>
      </c>
      <c r="PHX97" s="1392" t="s">
        <v>809</v>
      </c>
      <c r="PHY97" s="1392" t="s">
        <v>809</v>
      </c>
      <c r="PHZ97" s="1392" t="s">
        <v>809</v>
      </c>
      <c r="PIA97" s="1392" t="s">
        <v>809</v>
      </c>
      <c r="PIB97" s="1392" t="s">
        <v>809</v>
      </c>
      <c r="PIC97" s="1392" t="s">
        <v>809</v>
      </c>
      <c r="PID97" s="1392" t="s">
        <v>809</v>
      </c>
      <c r="PIE97" s="1392" t="s">
        <v>809</v>
      </c>
      <c r="PIF97" s="1392" t="s">
        <v>809</v>
      </c>
      <c r="PIG97" s="1392" t="s">
        <v>809</v>
      </c>
      <c r="PIH97" s="1392" t="s">
        <v>809</v>
      </c>
      <c r="PII97" s="1392" t="s">
        <v>809</v>
      </c>
      <c r="PIJ97" s="1392" t="s">
        <v>809</v>
      </c>
      <c r="PIK97" s="1392" t="s">
        <v>809</v>
      </c>
      <c r="PIL97" s="1392" t="s">
        <v>809</v>
      </c>
      <c r="PIM97" s="1392" t="s">
        <v>809</v>
      </c>
      <c r="PIN97" s="1392" t="s">
        <v>809</v>
      </c>
      <c r="PIO97" s="1392" t="s">
        <v>809</v>
      </c>
      <c r="PIP97" s="1392" t="s">
        <v>809</v>
      </c>
      <c r="PIQ97" s="1392" t="s">
        <v>809</v>
      </c>
      <c r="PIR97" s="1392" t="s">
        <v>809</v>
      </c>
      <c r="PIS97" s="1392" t="s">
        <v>809</v>
      </c>
      <c r="PIT97" s="1392" t="s">
        <v>809</v>
      </c>
      <c r="PIU97" s="1392" t="s">
        <v>809</v>
      </c>
      <c r="PIV97" s="1392" t="s">
        <v>809</v>
      </c>
      <c r="PIW97" s="1392" t="s">
        <v>809</v>
      </c>
      <c r="PIX97" s="1392" t="s">
        <v>809</v>
      </c>
      <c r="PIY97" s="1392" t="s">
        <v>809</v>
      </c>
      <c r="PIZ97" s="1392" t="s">
        <v>809</v>
      </c>
      <c r="PJA97" s="1392" t="s">
        <v>809</v>
      </c>
      <c r="PJB97" s="1392" t="s">
        <v>809</v>
      </c>
      <c r="PJC97" s="1392" t="s">
        <v>809</v>
      </c>
      <c r="PJD97" s="1392" t="s">
        <v>809</v>
      </c>
      <c r="PJE97" s="1392" t="s">
        <v>809</v>
      </c>
      <c r="PJF97" s="1392" t="s">
        <v>809</v>
      </c>
      <c r="PJG97" s="1392" t="s">
        <v>809</v>
      </c>
      <c r="PJH97" s="1392" t="s">
        <v>809</v>
      </c>
      <c r="PJI97" s="1392" t="s">
        <v>809</v>
      </c>
      <c r="PJJ97" s="1392" t="s">
        <v>809</v>
      </c>
      <c r="PJK97" s="1392" t="s">
        <v>809</v>
      </c>
      <c r="PJL97" s="1392" t="s">
        <v>809</v>
      </c>
      <c r="PJM97" s="1392" t="s">
        <v>809</v>
      </c>
      <c r="PJN97" s="1392" t="s">
        <v>809</v>
      </c>
      <c r="PJO97" s="1392" t="s">
        <v>809</v>
      </c>
      <c r="PJP97" s="1392" t="s">
        <v>809</v>
      </c>
      <c r="PJQ97" s="1392" t="s">
        <v>809</v>
      </c>
      <c r="PJR97" s="1392" t="s">
        <v>809</v>
      </c>
      <c r="PJS97" s="1392" t="s">
        <v>809</v>
      </c>
      <c r="PJT97" s="1392" t="s">
        <v>809</v>
      </c>
      <c r="PJU97" s="1392" t="s">
        <v>809</v>
      </c>
      <c r="PJV97" s="1392" t="s">
        <v>809</v>
      </c>
      <c r="PJW97" s="1392" t="s">
        <v>809</v>
      </c>
      <c r="PJX97" s="1392" t="s">
        <v>809</v>
      </c>
      <c r="PJY97" s="1392" t="s">
        <v>809</v>
      </c>
      <c r="PJZ97" s="1392" t="s">
        <v>809</v>
      </c>
      <c r="PKA97" s="1392" t="s">
        <v>809</v>
      </c>
      <c r="PKB97" s="1392" t="s">
        <v>809</v>
      </c>
      <c r="PKC97" s="1392" t="s">
        <v>809</v>
      </c>
      <c r="PKD97" s="1392" t="s">
        <v>809</v>
      </c>
      <c r="PKE97" s="1392" t="s">
        <v>809</v>
      </c>
      <c r="PKF97" s="1392" t="s">
        <v>809</v>
      </c>
      <c r="PKG97" s="1392" t="s">
        <v>809</v>
      </c>
      <c r="PKH97" s="1392" t="s">
        <v>809</v>
      </c>
      <c r="PKI97" s="1392" t="s">
        <v>809</v>
      </c>
      <c r="PKJ97" s="1392" t="s">
        <v>809</v>
      </c>
      <c r="PKK97" s="1392" t="s">
        <v>809</v>
      </c>
      <c r="PKL97" s="1392" t="s">
        <v>809</v>
      </c>
      <c r="PKM97" s="1392" t="s">
        <v>809</v>
      </c>
      <c r="PKN97" s="1392" t="s">
        <v>809</v>
      </c>
      <c r="PKO97" s="1392" t="s">
        <v>809</v>
      </c>
      <c r="PKP97" s="1392" t="s">
        <v>809</v>
      </c>
      <c r="PKQ97" s="1392" t="s">
        <v>809</v>
      </c>
      <c r="PKR97" s="1392" t="s">
        <v>809</v>
      </c>
      <c r="PKS97" s="1392" t="s">
        <v>809</v>
      </c>
      <c r="PKT97" s="1392" t="s">
        <v>809</v>
      </c>
      <c r="PKU97" s="1392" t="s">
        <v>809</v>
      </c>
      <c r="PKV97" s="1392" t="s">
        <v>809</v>
      </c>
      <c r="PKW97" s="1392" t="s">
        <v>809</v>
      </c>
      <c r="PKX97" s="1392" t="s">
        <v>809</v>
      </c>
      <c r="PKY97" s="1392" t="s">
        <v>809</v>
      </c>
      <c r="PKZ97" s="1392" t="s">
        <v>809</v>
      </c>
      <c r="PLA97" s="1392" t="s">
        <v>809</v>
      </c>
      <c r="PLB97" s="1392" t="s">
        <v>809</v>
      </c>
      <c r="PLC97" s="1392" t="s">
        <v>809</v>
      </c>
      <c r="PLD97" s="1392" t="s">
        <v>809</v>
      </c>
      <c r="PLE97" s="1392" t="s">
        <v>809</v>
      </c>
      <c r="PLF97" s="1392" t="s">
        <v>809</v>
      </c>
      <c r="PLG97" s="1392" t="s">
        <v>809</v>
      </c>
      <c r="PLH97" s="1392" t="s">
        <v>809</v>
      </c>
      <c r="PLI97" s="1392" t="s">
        <v>809</v>
      </c>
      <c r="PLJ97" s="1392" t="s">
        <v>809</v>
      </c>
      <c r="PLK97" s="1392" t="s">
        <v>809</v>
      </c>
      <c r="PLL97" s="1392" t="s">
        <v>809</v>
      </c>
      <c r="PLM97" s="1392" t="s">
        <v>809</v>
      </c>
      <c r="PLN97" s="1392" t="s">
        <v>809</v>
      </c>
      <c r="PLO97" s="1392" t="s">
        <v>809</v>
      </c>
      <c r="PLP97" s="1392" t="s">
        <v>809</v>
      </c>
      <c r="PLQ97" s="1392" t="s">
        <v>809</v>
      </c>
      <c r="PLR97" s="1392" t="s">
        <v>809</v>
      </c>
      <c r="PLS97" s="1392" t="s">
        <v>809</v>
      </c>
      <c r="PLT97" s="1392" t="s">
        <v>809</v>
      </c>
      <c r="PLU97" s="1392" t="s">
        <v>809</v>
      </c>
      <c r="PLV97" s="1392" t="s">
        <v>809</v>
      </c>
      <c r="PLW97" s="1392" t="s">
        <v>809</v>
      </c>
      <c r="PLX97" s="1392" t="s">
        <v>809</v>
      </c>
      <c r="PLY97" s="1392" t="s">
        <v>809</v>
      </c>
      <c r="PLZ97" s="1392" t="s">
        <v>809</v>
      </c>
      <c r="PMA97" s="1392" t="s">
        <v>809</v>
      </c>
      <c r="PMB97" s="1392" t="s">
        <v>809</v>
      </c>
      <c r="PMC97" s="1392" t="s">
        <v>809</v>
      </c>
      <c r="PMD97" s="1392" t="s">
        <v>809</v>
      </c>
      <c r="PME97" s="1392" t="s">
        <v>809</v>
      </c>
      <c r="PMF97" s="1392" t="s">
        <v>809</v>
      </c>
      <c r="PMG97" s="1392" t="s">
        <v>809</v>
      </c>
      <c r="PMH97" s="1392" t="s">
        <v>809</v>
      </c>
      <c r="PMI97" s="1392" t="s">
        <v>809</v>
      </c>
      <c r="PMJ97" s="1392" t="s">
        <v>809</v>
      </c>
      <c r="PMK97" s="1392" t="s">
        <v>809</v>
      </c>
      <c r="PML97" s="1392" t="s">
        <v>809</v>
      </c>
      <c r="PMM97" s="1392" t="s">
        <v>809</v>
      </c>
      <c r="PMN97" s="1392" t="s">
        <v>809</v>
      </c>
      <c r="PMO97" s="1392" t="s">
        <v>809</v>
      </c>
      <c r="PMP97" s="1392" t="s">
        <v>809</v>
      </c>
      <c r="PMQ97" s="1392" t="s">
        <v>809</v>
      </c>
      <c r="PMR97" s="1392" t="s">
        <v>809</v>
      </c>
      <c r="PMS97" s="1392" t="s">
        <v>809</v>
      </c>
      <c r="PMT97" s="1392" t="s">
        <v>809</v>
      </c>
      <c r="PMU97" s="1392" t="s">
        <v>809</v>
      </c>
      <c r="PMV97" s="1392" t="s">
        <v>809</v>
      </c>
      <c r="PMW97" s="1392" t="s">
        <v>809</v>
      </c>
      <c r="PMX97" s="1392" t="s">
        <v>809</v>
      </c>
      <c r="PMY97" s="1392" t="s">
        <v>809</v>
      </c>
      <c r="PMZ97" s="1392" t="s">
        <v>809</v>
      </c>
      <c r="PNA97" s="1392" t="s">
        <v>809</v>
      </c>
      <c r="PNB97" s="1392" t="s">
        <v>809</v>
      </c>
      <c r="PNC97" s="1392" t="s">
        <v>809</v>
      </c>
      <c r="PND97" s="1392" t="s">
        <v>809</v>
      </c>
      <c r="PNE97" s="1392" t="s">
        <v>809</v>
      </c>
      <c r="PNF97" s="1392" t="s">
        <v>809</v>
      </c>
      <c r="PNG97" s="1392" t="s">
        <v>809</v>
      </c>
      <c r="PNH97" s="1392" t="s">
        <v>809</v>
      </c>
      <c r="PNI97" s="1392" t="s">
        <v>809</v>
      </c>
      <c r="PNJ97" s="1392" t="s">
        <v>809</v>
      </c>
      <c r="PNK97" s="1392" t="s">
        <v>809</v>
      </c>
      <c r="PNL97" s="1392" t="s">
        <v>809</v>
      </c>
      <c r="PNM97" s="1392" t="s">
        <v>809</v>
      </c>
      <c r="PNN97" s="1392" t="s">
        <v>809</v>
      </c>
      <c r="PNO97" s="1392" t="s">
        <v>809</v>
      </c>
      <c r="PNP97" s="1392" t="s">
        <v>809</v>
      </c>
      <c r="PNQ97" s="1392" t="s">
        <v>809</v>
      </c>
      <c r="PNR97" s="1392" t="s">
        <v>809</v>
      </c>
      <c r="PNS97" s="1392" t="s">
        <v>809</v>
      </c>
      <c r="PNT97" s="1392" t="s">
        <v>809</v>
      </c>
      <c r="PNU97" s="1392" t="s">
        <v>809</v>
      </c>
      <c r="PNV97" s="1392" t="s">
        <v>809</v>
      </c>
      <c r="PNW97" s="1392" t="s">
        <v>809</v>
      </c>
      <c r="PNX97" s="1392" t="s">
        <v>809</v>
      </c>
      <c r="PNY97" s="1392" t="s">
        <v>809</v>
      </c>
      <c r="PNZ97" s="1392" t="s">
        <v>809</v>
      </c>
      <c r="POA97" s="1392" t="s">
        <v>809</v>
      </c>
      <c r="POB97" s="1392" t="s">
        <v>809</v>
      </c>
      <c r="POC97" s="1392" t="s">
        <v>809</v>
      </c>
      <c r="POD97" s="1392" t="s">
        <v>809</v>
      </c>
      <c r="POE97" s="1392" t="s">
        <v>809</v>
      </c>
      <c r="POF97" s="1392" t="s">
        <v>809</v>
      </c>
      <c r="POG97" s="1392" t="s">
        <v>809</v>
      </c>
      <c r="POH97" s="1392" t="s">
        <v>809</v>
      </c>
      <c r="POI97" s="1392" t="s">
        <v>809</v>
      </c>
      <c r="POJ97" s="1392" t="s">
        <v>809</v>
      </c>
      <c r="POK97" s="1392" t="s">
        <v>809</v>
      </c>
      <c r="POL97" s="1392" t="s">
        <v>809</v>
      </c>
      <c r="POM97" s="1392" t="s">
        <v>809</v>
      </c>
      <c r="PON97" s="1392" t="s">
        <v>809</v>
      </c>
      <c r="POO97" s="1392" t="s">
        <v>809</v>
      </c>
      <c r="POP97" s="1392" t="s">
        <v>809</v>
      </c>
      <c r="POQ97" s="1392" t="s">
        <v>809</v>
      </c>
      <c r="POR97" s="1392" t="s">
        <v>809</v>
      </c>
      <c r="POS97" s="1392" t="s">
        <v>809</v>
      </c>
      <c r="POT97" s="1392" t="s">
        <v>809</v>
      </c>
      <c r="POU97" s="1392" t="s">
        <v>809</v>
      </c>
      <c r="POV97" s="1392" t="s">
        <v>809</v>
      </c>
      <c r="POW97" s="1392" t="s">
        <v>809</v>
      </c>
      <c r="POX97" s="1392" t="s">
        <v>809</v>
      </c>
      <c r="POY97" s="1392" t="s">
        <v>809</v>
      </c>
      <c r="POZ97" s="1392" t="s">
        <v>809</v>
      </c>
      <c r="PPA97" s="1392" t="s">
        <v>809</v>
      </c>
      <c r="PPB97" s="1392" t="s">
        <v>809</v>
      </c>
      <c r="PPC97" s="1392" t="s">
        <v>809</v>
      </c>
      <c r="PPD97" s="1392" t="s">
        <v>809</v>
      </c>
      <c r="PPE97" s="1392" t="s">
        <v>809</v>
      </c>
      <c r="PPF97" s="1392" t="s">
        <v>809</v>
      </c>
      <c r="PPG97" s="1392" t="s">
        <v>809</v>
      </c>
      <c r="PPH97" s="1392" t="s">
        <v>809</v>
      </c>
      <c r="PPI97" s="1392" t="s">
        <v>809</v>
      </c>
      <c r="PPJ97" s="1392" t="s">
        <v>809</v>
      </c>
      <c r="PPK97" s="1392" t="s">
        <v>809</v>
      </c>
      <c r="PPL97" s="1392" t="s">
        <v>809</v>
      </c>
      <c r="PPM97" s="1392" t="s">
        <v>809</v>
      </c>
      <c r="PPN97" s="1392" t="s">
        <v>809</v>
      </c>
      <c r="PPO97" s="1392" t="s">
        <v>809</v>
      </c>
      <c r="PPP97" s="1392" t="s">
        <v>809</v>
      </c>
      <c r="PPQ97" s="1392" t="s">
        <v>809</v>
      </c>
      <c r="PPR97" s="1392" t="s">
        <v>809</v>
      </c>
      <c r="PPS97" s="1392" t="s">
        <v>809</v>
      </c>
      <c r="PPT97" s="1392" t="s">
        <v>809</v>
      </c>
      <c r="PPU97" s="1392" t="s">
        <v>809</v>
      </c>
      <c r="PPV97" s="1392" t="s">
        <v>809</v>
      </c>
      <c r="PPW97" s="1392" t="s">
        <v>809</v>
      </c>
      <c r="PPX97" s="1392" t="s">
        <v>809</v>
      </c>
      <c r="PPY97" s="1392" t="s">
        <v>809</v>
      </c>
      <c r="PPZ97" s="1392" t="s">
        <v>809</v>
      </c>
      <c r="PQA97" s="1392" t="s">
        <v>809</v>
      </c>
      <c r="PQB97" s="1392" t="s">
        <v>809</v>
      </c>
      <c r="PQC97" s="1392" t="s">
        <v>809</v>
      </c>
      <c r="PQD97" s="1392" t="s">
        <v>809</v>
      </c>
      <c r="PQE97" s="1392" t="s">
        <v>809</v>
      </c>
      <c r="PQF97" s="1392" t="s">
        <v>809</v>
      </c>
      <c r="PQG97" s="1392" t="s">
        <v>809</v>
      </c>
      <c r="PQH97" s="1392" t="s">
        <v>809</v>
      </c>
      <c r="PQI97" s="1392" t="s">
        <v>809</v>
      </c>
      <c r="PQJ97" s="1392" t="s">
        <v>809</v>
      </c>
      <c r="PQK97" s="1392" t="s">
        <v>809</v>
      </c>
      <c r="PQL97" s="1392" t="s">
        <v>809</v>
      </c>
      <c r="PQM97" s="1392" t="s">
        <v>809</v>
      </c>
      <c r="PQN97" s="1392" t="s">
        <v>809</v>
      </c>
      <c r="PQO97" s="1392" t="s">
        <v>809</v>
      </c>
      <c r="PQP97" s="1392" t="s">
        <v>809</v>
      </c>
      <c r="PQQ97" s="1392" t="s">
        <v>809</v>
      </c>
      <c r="PQR97" s="1392" t="s">
        <v>809</v>
      </c>
      <c r="PQS97" s="1392" t="s">
        <v>809</v>
      </c>
      <c r="PQT97" s="1392" t="s">
        <v>809</v>
      </c>
      <c r="PQU97" s="1392" t="s">
        <v>809</v>
      </c>
      <c r="PQV97" s="1392" t="s">
        <v>809</v>
      </c>
      <c r="PQW97" s="1392" t="s">
        <v>809</v>
      </c>
      <c r="PQX97" s="1392" t="s">
        <v>809</v>
      </c>
      <c r="PQY97" s="1392" t="s">
        <v>809</v>
      </c>
      <c r="PQZ97" s="1392" t="s">
        <v>809</v>
      </c>
      <c r="PRA97" s="1392" t="s">
        <v>809</v>
      </c>
      <c r="PRB97" s="1392" t="s">
        <v>809</v>
      </c>
      <c r="PRC97" s="1392" t="s">
        <v>809</v>
      </c>
      <c r="PRD97" s="1392" t="s">
        <v>809</v>
      </c>
      <c r="PRE97" s="1392" t="s">
        <v>809</v>
      </c>
      <c r="PRF97" s="1392" t="s">
        <v>809</v>
      </c>
      <c r="PRG97" s="1392" t="s">
        <v>809</v>
      </c>
      <c r="PRH97" s="1392" t="s">
        <v>809</v>
      </c>
      <c r="PRI97" s="1392" t="s">
        <v>809</v>
      </c>
      <c r="PRJ97" s="1392" t="s">
        <v>809</v>
      </c>
      <c r="PRK97" s="1392" t="s">
        <v>809</v>
      </c>
      <c r="PRL97" s="1392" t="s">
        <v>809</v>
      </c>
      <c r="PRM97" s="1392" t="s">
        <v>809</v>
      </c>
      <c r="PRN97" s="1392" t="s">
        <v>809</v>
      </c>
      <c r="PRO97" s="1392" t="s">
        <v>809</v>
      </c>
      <c r="PRP97" s="1392" t="s">
        <v>809</v>
      </c>
      <c r="PRQ97" s="1392" t="s">
        <v>809</v>
      </c>
      <c r="PRR97" s="1392" t="s">
        <v>809</v>
      </c>
      <c r="PRS97" s="1392" t="s">
        <v>809</v>
      </c>
      <c r="PRT97" s="1392" t="s">
        <v>809</v>
      </c>
      <c r="PRU97" s="1392" t="s">
        <v>809</v>
      </c>
      <c r="PRV97" s="1392" t="s">
        <v>809</v>
      </c>
      <c r="PRW97" s="1392" t="s">
        <v>809</v>
      </c>
      <c r="PRX97" s="1392" t="s">
        <v>809</v>
      </c>
      <c r="PRY97" s="1392" t="s">
        <v>809</v>
      </c>
      <c r="PRZ97" s="1392" t="s">
        <v>809</v>
      </c>
      <c r="PSA97" s="1392" t="s">
        <v>809</v>
      </c>
      <c r="PSB97" s="1392" t="s">
        <v>809</v>
      </c>
      <c r="PSC97" s="1392" t="s">
        <v>809</v>
      </c>
      <c r="PSD97" s="1392" t="s">
        <v>809</v>
      </c>
      <c r="PSE97" s="1392" t="s">
        <v>809</v>
      </c>
      <c r="PSF97" s="1392" t="s">
        <v>809</v>
      </c>
      <c r="PSG97" s="1392" t="s">
        <v>809</v>
      </c>
      <c r="PSH97" s="1392" t="s">
        <v>809</v>
      </c>
      <c r="PSI97" s="1392" t="s">
        <v>809</v>
      </c>
      <c r="PSJ97" s="1392" t="s">
        <v>809</v>
      </c>
      <c r="PSK97" s="1392" t="s">
        <v>809</v>
      </c>
      <c r="PSL97" s="1392" t="s">
        <v>809</v>
      </c>
      <c r="PSM97" s="1392" t="s">
        <v>809</v>
      </c>
      <c r="PSN97" s="1392" t="s">
        <v>809</v>
      </c>
      <c r="PSO97" s="1392" t="s">
        <v>809</v>
      </c>
      <c r="PSP97" s="1392" t="s">
        <v>809</v>
      </c>
      <c r="PSQ97" s="1392" t="s">
        <v>809</v>
      </c>
      <c r="PSR97" s="1392" t="s">
        <v>809</v>
      </c>
      <c r="PSS97" s="1392" t="s">
        <v>809</v>
      </c>
      <c r="PST97" s="1392" t="s">
        <v>809</v>
      </c>
      <c r="PSU97" s="1392" t="s">
        <v>809</v>
      </c>
      <c r="PSV97" s="1392" t="s">
        <v>809</v>
      </c>
      <c r="PSW97" s="1392" t="s">
        <v>809</v>
      </c>
      <c r="PSX97" s="1392" t="s">
        <v>809</v>
      </c>
      <c r="PSY97" s="1392" t="s">
        <v>809</v>
      </c>
      <c r="PSZ97" s="1392" t="s">
        <v>809</v>
      </c>
      <c r="PTA97" s="1392" t="s">
        <v>809</v>
      </c>
      <c r="PTB97" s="1392" t="s">
        <v>809</v>
      </c>
      <c r="PTC97" s="1392" t="s">
        <v>809</v>
      </c>
      <c r="PTD97" s="1392" t="s">
        <v>809</v>
      </c>
      <c r="PTE97" s="1392" t="s">
        <v>809</v>
      </c>
      <c r="PTF97" s="1392" t="s">
        <v>809</v>
      </c>
      <c r="PTG97" s="1392" t="s">
        <v>809</v>
      </c>
      <c r="PTH97" s="1392" t="s">
        <v>809</v>
      </c>
      <c r="PTI97" s="1392" t="s">
        <v>809</v>
      </c>
      <c r="PTJ97" s="1392" t="s">
        <v>809</v>
      </c>
      <c r="PTK97" s="1392" t="s">
        <v>809</v>
      </c>
      <c r="PTL97" s="1392" t="s">
        <v>809</v>
      </c>
      <c r="PTM97" s="1392" t="s">
        <v>809</v>
      </c>
      <c r="PTN97" s="1392" t="s">
        <v>809</v>
      </c>
      <c r="PTO97" s="1392" t="s">
        <v>809</v>
      </c>
      <c r="PTP97" s="1392" t="s">
        <v>809</v>
      </c>
      <c r="PTQ97" s="1392" t="s">
        <v>809</v>
      </c>
      <c r="PTR97" s="1392" t="s">
        <v>809</v>
      </c>
      <c r="PTS97" s="1392" t="s">
        <v>809</v>
      </c>
      <c r="PTT97" s="1392" t="s">
        <v>809</v>
      </c>
      <c r="PTU97" s="1392" t="s">
        <v>809</v>
      </c>
      <c r="PTV97" s="1392" t="s">
        <v>809</v>
      </c>
      <c r="PTW97" s="1392" t="s">
        <v>809</v>
      </c>
      <c r="PTX97" s="1392" t="s">
        <v>809</v>
      </c>
      <c r="PTY97" s="1392" t="s">
        <v>809</v>
      </c>
      <c r="PTZ97" s="1392" t="s">
        <v>809</v>
      </c>
      <c r="PUA97" s="1392" t="s">
        <v>809</v>
      </c>
      <c r="PUB97" s="1392" t="s">
        <v>809</v>
      </c>
      <c r="PUC97" s="1392" t="s">
        <v>809</v>
      </c>
      <c r="PUD97" s="1392" t="s">
        <v>809</v>
      </c>
      <c r="PUE97" s="1392" t="s">
        <v>809</v>
      </c>
      <c r="PUF97" s="1392" t="s">
        <v>809</v>
      </c>
      <c r="PUG97" s="1392" t="s">
        <v>809</v>
      </c>
      <c r="PUH97" s="1392" t="s">
        <v>809</v>
      </c>
      <c r="PUI97" s="1392" t="s">
        <v>809</v>
      </c>
      <c r="PUJ97" s="1392" t="s">
        <v>809</v>
      </c>
      <c r="PUK97" s="1392" t="s">
        <v>809</v>
      </c>
      <c r="PUL97" s="1392" t="s">
        <v>809</v>
      </c>
      <c r="PUM97" s="1392" t="s">
        <v>809</v>
      </c>
      <c r="PUN97" s="1392" t="s">
        <v>809</v>
      </c>
      <c r="PUO97" s="1392" t="s">
        <v>809</v>
      </c>
      <c r="PUP97" s="1392" t="s">
        <v>809</v>
      </c>
      <c r="PUQ97" s="1392" t="s">
        <v>809</v>
      </c>
      <c r="PUR97" s="1392" t="s">
        <v>809</v>
      </c>
      <c r="PUS97" s="1392" t="s">
        <v>809</v>
      </c>
      <c r="PUT97" s="1392" t="s">
        <v>809</v>
      </c>
      <c r="PUU97" s="1392" t="s">
        <v>809</v>
      </c>
      <c r="PUV97" s="1392" t="s">
        <v>809</v>
      </c>
      <c r="PUW97" s="1392" t="s">
        <v>809</v>
      </c>
      <c r="PUX97" s="1392" t="s">
        <v>809</v>
      </c>
      <c r="PUY97" s="1392" t="s">
        <v>809</v>
      </c>
      <c r="PUZ97" s="1392" t="s">
        <v>809</v>
      </c>
      <c r="PVA97" s="1392" t="s">
        <v>809</v>
      </c>
      <c r="PVB97" s="1392" t="s">
        <v>809</v>
      </c>
      <c r="PVC97" s="1392" t="s">
        <v>809</v>
      </c>
      <c r="PVD97" s="1392" t="s">
        <v>809</v>
      </c>
      <c r="PVE97" s="1392" t="s">
        <v>809</v>
      </c>
      <c r="PVF97" s="1392" t="s">
        <v>809</v>
      </c>
      <c r="PVG97" s="1392" t="s">
        <v>809</v>
      </c>
      <c r="PVH97" s="1392" t="s">
        <v>809</v>
      </c>
      <c r="PVI97" s="1392" t="s">
        <v>809</v>
      </c>
      <c r="PVJ97" s="1392" t="s">
        <v>809</v>
      </c>
      <c r="PVK97" s="1392" t="s">
        <v>809</v>
      </c>
      <c r="PVL97" s="1392" t="s">
        <v>809</v>
      </c>
      <c r="PVM97" s="1392" t="s">
        <v>809</v>
      </c>
      <c r="PVN97" s="1392" t="s">
        <v>809</v>
      </c>
      <c r="PVO97" s="1392" t="s">
        <v>809</v>
      </c>
      <c r="PVP97" s="1392" t="s">
        <v>809</v>
      </c>
      <c r="PVQ97" s="1392" t="s">
        <v>809</v>
      </c>
      <c r="PVR97" s="1392" t="s">
        <v>809</v>
      </c>
      <c r="PVS97" s="1392" t="s">
        <v>809</v>
      </c>
      <c r="PVT97" s="1392" t="s">
        <v>809</v>
      </c>
      <c r="PVU97" s="1392" t="s">
        <v>809</v>
      </c>
      <c r="PVV97" s="1392" t="s">
        <v>809</v>
      </c>
      <c r="PVW97" s="1392" t="s">
        <v>809</v>
      </c>
      <c r="PVX97" s="1392" t="s">
        <v>809</v>
      </c>
      <c r="PVY97" s="1392" t="s">
        <v>809</v>
      </c>
      <c r="PVZ97" s="1392" t="s">
        <v>809</v>
      </c>
      <c r="PWA97" s="1392" t="s">
        <v>809</v>
      </c>
      <c r="PWB97" s="1392" t="s">
        <v>809</v>
      </c>
      <c r="PWC97" s="1392" t="s">
        <v>809</v>
      </c>
      <c r="PWD97" s="1392" t="s">
        <v>809</v>
      </c>
      <c r="PWE97" s="1392" t="s">
        <v>809</v>
      </c>
      <c r="PWF97" s="1392" t="s">
        <v>809</v>
      </c>
      <c r="PWG97" s="1392" t="s">
        <v>809</v>
      </c>
      <c r="PWH97" s="1392" t="s">
        <v>809</v>
      </c>
      <c r="PWI97" s="1392" t="s">
        <v>809</v>
      </c>
      <c r="PWJ97" s="1392" t="s">
        <v>809</v>
      </c>
      <c r="PWK97" s="1392" t="s">
        <v>809</v>
      </c>
      <c r="PWL97" s="1392" t="s">
        <v>809</v>
      </c>
      <c r="PWM97" s="1392" t="s">
        <v>809</v>
      </c>
      <c r="PWN97" s="1392" t="s">
        <v>809</v>
      </c>
      <c r="PWO97" s="1392" t="s">
        <v>809</v>
      </c>
      <c r="PWP97" s="1392" t="s">
        <v>809</v>
      </c>
      <c r="PWQ97" s="1392" t="s">
        <v>809</v>
      </c>
      <c r="PWR97" s="1392" t="s">
        <v>809</v>
      </c>
      <c r="PWS97" s="1392" t="s">
        <v>809</v>
      </c>
      <c r="PWT97" s="1392" t="s">
        <v>809</v>
      </c>
      <c r="PWU97" s="1392" t="s">
        <v>809</v>
      </c>
      <c r="PWV97" s="1392" t="s">
        <v>809</v>
      </c>
      <c r="PWW97" s="1392" t="s">
        <v>809</v>
      </c>
      <c r="PWX97" s="1392" t="s">
        <v>809</v>
      </c>
      <c r="PWY97" s="1392" t="s">
        <v>809</v>
      </c>
      <c r="PWZ97" s="1392" t="s">
        <v>809</v>
      </c>
      <c r="PXA97" s="1392" t="s">
        <v>809</v>
      </c>
      <c r="PXB97" s="1392" t="s">
        <v>809</v>
      </c>
      <c r="PXC97" s="1392" t="s">
        <v>809</v>
      </c>
      <c r="PXD97" s="1392" t="s">
        <v>809</v>
      </c>
      <c r="PXE97" s="1392" t="s">
        <v>809</v>
      </c>
      <c r="PXF97" s="1392" t="s">
        <v>809</v>
      </c>
      <c r="PXG97" s="1392" t="s">
        <v>809</v>
      </c>
      <c r="PXH97" s="1392" t="s">
        <v>809</v>
      </c>
      <c r="PXI97" s="1392" t="s">
        <v>809</v>
      </c>
      <c r="PXJ97" s="1392" t="s">
        <v>809</v>
      </c>
      <c r="PXK97" s="1392" t="s">
        <v>809</v>
      </c>
      <c r="PXL97" s="1392" t="s">
        <v>809</v>
      </c>
      <c r="PXM97" s="1392" t="s">
        <v>809</v>
      </c>
      <c r="PXN97" s="1392" t="s">
        <v>809</v>
      </c>
      <c r="PXO97" s="1392" t="s">
        <v>809</v>
      </c>
      <c r="PXP97" s="1392" t="s">
        <v>809</v>
      </c>
      <c r="PXQ97" s="1392" t="s">
        <v>809</v>
      </c>
      <c r="PXR97" s="1392" t="s">
        <v>809</v>
      </c>
      <c r="PXS97" s="1392" t="s">
        <v>809</v>
      </c>
      <c r="PXT97" s="1392" t="s">
        <v>809</v>
      </c>
      <c r="PXU97" s="1392" t="s">
        <v>809</v>
      </c>
      <c r="PXV97" s="1392" t="s">
        <v>809</v>
      </c>
      <c r="PXW97" s="1392" t="s">
        <v>809</v>
      </c>
      <c r="PXX97" s="1392" t="s">
        <v>809</v>
      </c>
      <c r="PXY97" s="1392" t="s">
        <v>809</v>
      </c>
      <c r="PXZ97" s="1392" t="s">
        <v>809</v>
      </c>
      <c r="PYA97" s="1392" t="s">
        <v>809</v>
      </c>
      <c r="PYB97" s="1392" t="s">
        <v>809</v>
      </c>
      <c r="PYC97" s="1392" t="s">
        <v>809</v>
      </c>
      <c r="PYD97" s="1392" t="s">
        <v>809</v>
      </c>
      <c r="PYE97" s="1392" t="s">
        <v>809</v>
      </c>
      <c r="PYF97" s="1392" t="s">
        <v>809</v>
      </c>
      <c r="PYG97" s="1392" t="s">
        <v>809</v>
      </c>
      <c r="PYH97" s="1392" t="s">
        <v>809</v>
      </c>
      <c r="PYI97" s="1392" t="s">
        <v>809</v>
      </c>
      <c r="PYJ97" s="1392" t="s">
        <v>809</v>
      </c>
      <c r="PYK97" s="1392" t="s">
        <v>809</v>
      </c>
      <c r="PYL97" s="1392" t="s">
        <v>809</v>
      </c>
      <c r="PYM97" s="1392" t="s">
        <v>809</v>
      </c>
      <c r="PYN97" s="1392" t="s">
        <v>809</v>
      </c>
      <c r="PYO97" s="1392" t="s">
        <v>809</v>
      </c>
      <c r="PYP97" s="1392" t="s">
        <v>809</v>
      </c>
      <c r="PYQ97" s="1392" t="s">
        <v>809</v>
      </c>
      <c r="PYR97" s="1392" t="s">
        <v>809</v>
      </c>
      <c r="PYS97" s="1392" t="s">
        <v>809</v>
      </c>
      <c r="PYT97" s="1392" t="s">
        <v>809</v>
      </c>
      <c r="PYU97" s="1392" t="s">
        <v>809</v>
      </c>
      <c r="PYV97" s="1392" t="s">
        <v>809</v>
      </c>
      <c r="PYW97" s="1392" t="s">
        <v>809</v>
      </c>
      <c r="PYX97" s="1392" t="s">
        <v>809</v>
      </c>
      <c r="PYY97" s="1392" t="s">
        <v>809</v>
      </c>
      <c r="PYZ97" s="1392" t="s">
        <v>809</v>
      </c>
      <c r="PZA97" s="1392" t="s">
        <v>809</v>
      </c>
      <c r="PZB97" s="1392" t="s">
        <v>809</v>
      </c>
      <c r="PZC97" s="1392" t="s">
        <v>809</v>
      </c>
      <c r="PZD97" s="1392" t="s">
        <v>809</v>
      </c>
      <c r="PZE97" s="1392" t="s">
        <v>809</v>
      </c>
      <c r="PZF97" s="1392" t="s">
        <v>809</v>
      </c>
      <c r="PZG97" s="1392" t="s">
        <v>809</v>
      </c>
      <c r="PZH97" s="1392" t="s">
        <v>809</v>
      </c>
      <c r="PZI97" s="1392" t="s">
        <v>809</v>
      </c>
      <c r="PZJ97" s="1392" t="s">
        <v>809</v>
      </c>
      <c r="PZK97" s="1392" t="s">
        <v>809</v>
      </c>
      <c r="PZL97" s="1392" t="s">
        <v>809</v>
      </c>
      <c r="PZM97" s="1392" t="s">
        <v>809</v>
      </c>
      <c r="PZN97" s="1392" t="s">
        <v>809</v>
      </c>
      <c r="PZO97" s="1392" t="s">
        <v>809</v>
      </c>
      <c r="PZP97" s="1392" t="s">
        <v>809</v>
      </c>
      <c r="PZQ97" s="1392" t="s">
        <v>809</v>
      </c>
      <c r="PZR97" s="1392" t="s">
        <v>809</v>
      </c>
      <c r="PZS97" s="1392" t="s">
        <v>809</v>
      </c>
      <c r="PZT97" s="1392" t="s">
        <v>809</v>
      </c>
      <c r="PZU97" s="1392" t="s">
        <v>809</v>
      </c>
      <c r="PZV97" s="1392" t="s">
        <v>809</v>
      </c>
      <c r="PZW97" s="1392" t="s">
        <v>809</v>
      </c>
      <c r="PZX97" s="1392" t="s">
        <v>809</v>
      </c>
      <c r="PZY97" s="1392" t="s">
        <v>809</v>
      </c>
      <c r="PZZ97" s="1392" t="s">
        <v>809</v>
      </c>
      <c r="QAA97" s="1392" t="s">
        <v>809</v>
      </c>
      <c r="QAB97" s="1392" t="s">
        <v>809</v>
      </c>
      <c r="QAC97" s="1392" t="s">
        <v>809</v>
      </c>
      <c r="QAD97" s="1392" t="s">
        <v>809</v>
      </c>
      <c r="QAE97" s="1392" t="s">
        <v>809</v>
      </c>
      <c r="QAF97" s="1392" t="s">
        <v>809</v>
      </c>
      <c r="QAG97" s="1392" t="s">
        <v>809</v>
      </c>
      <c r="QAH97" s="1392" t="s">
        <v>809</v>
      </c>
      <c r="QAI97" s="1392" t="s">
        <v>809</v>
      </c>
      <c r="QAJ97" s="1392" t="s">
        <v>809</v>
      </c>
      <c r="QAK97" s="1392" t="s">
        <v>809</v>
      </c>
      <c r="QAL97" s="1392" t="s">
        <v>809</v>
      </c>
      <c r="QAM97" s="1392" t="s">
        <v>809</v>
      </c>
      <c r="QAN97" s="1392" t="s">
        <v>809</v>
      </c>
      <c r="QAO97" s="1392" t="s">
        <v>809</v>
      </c>
      <c r="QAP97" s="1392" t="s">
        <v>809</v>
      </c>
      <c r="QAQ97" s="1392" t="s">
        <v>809</v>
      </c>
      <c r="QAR97" s="1392" t="s">
        <v>809</v>
      </c>
      <c r="QAS97" s="1392" t="s">
        <v>809</v>
      </c>
      <c r="QAT97" s="1392" t="s">
        <v>809</v>
      </c>
      <c r="QAU97" s="1392" t="s">
        <v>809</v>
      </c>
      <c r="QAV97" s="1392" t="s">
        <v>809</v>
      </c>
      <c r="QAW97" s="1392" t="s">
        <v>809</v>
      </c>
      <c r="QAX97" s="1392" t="s">
        <v>809</v>
      </c>
      <c r="QAY97" s="1392" t="s">
        <v>809</v>
      </c>
      <c r="QAZ97" s="1392" t="s">
        <v>809</v>
      </c>
      <c r="QBA97" s="1392" t="s">
        <v>809</v>
      </c>
      <c r="QBB97" s="1392" t="s">
        <v>809</v>
      </c>
      <c r="QBC97" s="1392" t="s">
        <v>809</v>
      </c>
      <c r="QBD97" s="1392" t="s">
        <v>809</v>
      </c>
      <c r="QBE97" s="1392" t="s">
        <v>809</v>
      </c>
      <c r="QBF97" s="1392" t="s">
        <v>809</v>
      </c>
      <c r="QBG97" s="1392" t="s">
        <v>809</v>
      </c>
      <c r="QBH97" s="1392" t="s">
        <v>809</v>
      </c>
      <c r="QBI97" s="1392" t="s">
        <v>809</v>
      </c>
      <c r="QBJ97" s="1392" t="s">
        <v>809</v>
      </c>
      <c r="QBK97" s="1392" t="s">
        <v>809</v>
      </c>
      <c r="QBL97" s="1392" t="s">
        <v>809</v>
      </c>
      <c r="QBM97" s="1392" t="s">
        <v>809</v>
      </c>
      <c r="QBN97" s="1392" t="s">
        <v>809</v>
      </c>
      <c r="QBO97" s="1392" t="s">
        <v>809</v>
      </c>
      <c r="QBP97" s="1392" t="s">
        <v>809</v>
      </c>
      <c r="QBQ97" s="1392" t="s">
        <v>809</v>
      </c>
      <c r="QBR97" s="1392" t="s">
        <v>809</v>
      </c>
      <c r="QBS97" s="1392" t="s">
        <v>809</v>
      </c>
      <c r="QBT97" s="1392" t="s">
        <v>809</v>
      </c>
      <c r="QBU97" s="1392" t="s">
        <v>809</v>
      </c>
      <c r="QBV97" s="1392" t="s">
        <v>809</v>
      </c>
      <c r="QBW97" s="1392" t="s">
        <v>809</v>
      </c>
      <c r="QBX97" s="1392" t="s">
        <v>809</v>
      </c>
      <c r="QBY97" s="1392" t="s">
        <v>809</v>
      </c>
      <c r="QBZ97" s="1392" t="s">
        <v>809</v>
      </c>
      <c r="QCA97" s="1392" t="s">
        <v>809</v>
      </c>
      <c r="QCB97" s="1392" t="s">
        <v>809</v>
      </c>
      <c r="QCC97" s="1392" t="s">
        <v>809</v>
      </c>
      <c r="QCD97" s="1392" t="s">
        <v>809</v>
      </c>
      <c r="QCE97" s="1392" t="s">
        <v>809</v>
      </c>
      <c r="QCF97" s="1392" t="s">
        <v>809</v>
      </c>
      <c r="QCG97" s="1392" t="s">
        <v>809</v>
      </c>
      <c r="QCH97" s="1392" t="s">
        <v>809</v>
      </c>
      <c r="QCI97" s="1392" t="s">
        <v>809</v>
      </c>
      <c r="QCJ97" s="1392" t="s">
        <v>809</v>
      </c>
      <c r="QCK97" s="1392" t="s">
        <v>809</v>
      </c>
      <c r="QCL97" s="1392" t="s">
        <v>809</v>
      </c>
      <c r="QCM97" s="1392" t="s">
        <v>809</v>
      </c>
      <c r="QCN97" s="1392" t="s">
        <v>809</v>
      </c>
      <c r="QCO97" s="1392" t="s">
        <v>809</v>
      </c>
      <c r="QCP97" s="1392" t="s">
        <v>809</v>
      </c>
      <c r="QCQ97" s="1392" t="s">
        <v>809</v>
      </c>
      <c r="QCR97" s="1392" t="s">
        <v>809</v>
      </c>
      <c r="QCS97" s="1392" t="s">
        <v>809</v>
      </c>
      <c r="QCT97" s="1392" t="s">
        <v>809</v>
      </c>
      <c r="QCU97" s="1392" t="s">
        <v>809</v>
      </c>
      <c r="QCV97" s="1392" t="s">
        <v>809</v>
      </c>
      <c r="QCW97" s="1392" t="s">
        <v>809</v>
      </c>
      <c r="QCX97" s="1392" t="s">
        <v>809</v>
      </c>
      <c r="QCY97" s="1392" t="s">
        <v>809</v>
      </c>
      <c r="QCZ97" s="1392" t="s">
        <v>809</v>
      </c>
      <c r="QDA97" s="1392" t="s">
        <v>809</v>
      </c>
      <c r="QDB97" s="1392" t="s">
        <v>809</v>
      </c>
      <c r="QDC97" s="1392" t="s">
        <v>809</v>
      </c>
      <c r="QDD97" s="1392" t="s">
        <v>809</v>
      </c>
      <c r="QDE97" s="1392" t="s">
        <v>809</v>
      </c>
      <c r="QDF97" s="1392" t="s">
        <v>809</v>
      </c>
      <c r="QDG97" s="1392" t="s">
        <v>809</v>
      </c>
      <c r="QDH97" s="1392" t="s">
        <v>809</v>
      </c>
      <c r="QDI97" s="1392" t="s">
        <v>809</v>
      </c>
      <c r="QDJ97" s="1392" t="s">
        <v>809</v>
      </c>
      <c r="QDK97" s="1392" t="s">
        <v>809</v>
      </c>
      <c r="QDL97" s="1392" t="s">
        <v>809</v>
      </c>
      <c r="QDM97" s="1392" t="s">
        <v>809</v>
      </c>
      <c r="QDN97" s="1392" t="s">
        <v>809</v>
      </c>
      <c r="QDO97" s="1392" t="s">
        <v>809</v>
      </c>
      <c r="QDP97" s="1392" t="s">
        <v>809</v>
      </c>
      <c r="QDQ97" s="1392" t="s">
        <v>809</v>
      </c>
      <c r="QDR97" s="1392" t="s">
        <v>809</v>
      </c>
      <c r="QDS97" s="1392" t="s">
        <v>809</v>
      </c>
      <c r="QDT97" s="1392" t="s">
        <v>809</v>
      </c>
      <c r="QDU97" s="1392" t="s">
        <v>809</v>
      </c>
      <c r="QDV97" s="1392" t="s">
        <v>809</v>
      </c>
      <c r="QDW97" s="1392" t="s">
        <v>809</v>
      </c>
      <c r="QDX97" s="1392" t="s">
        <v>809</v>
      </c>
      <c r="QDY97" s="1392" t="s">
        <v>809</v>
      </c>
      <c r="QDZ97" s="1392" t="s">
        <v>809</v>
      </c>
      <c r="QEA97" s="1392" t="s">
        <v>809</v>
      </c>
      <c r="QEB97" s="1392" t="s">
        <v>809</v>
      </c>
      <c r="QEC97" s="1392" t="s">
        <v>809</v>
      </c>
      <c r="QED97" s="1392" t="s">
        <v>809</v>
      </c>
      <c r="QEE97" s="1392" t="s">
        <v>809</v>
      </c>
      <c r="QEF97" s="1392" t="s">
        <v>809</v>
      </c>
      <c r="QEG97" s="1392" t="s">
        <v>809</v>
      </c>
      <c r="QEH97" s="1392" t="s">
        <v>809</v>
      </c>
      <c r="QEI97" s="1392" t="s">
        <v>809</v>
      </c>
      <c r="QEJ97" s="1392" t="s">
        <v>809</v>
      </c>
      <c r="QEK97" s="1392" t="s">
        <v>809</v>
      </c>
      <c r="QEL97" s="1392" t="s">
        <v>809</v>
      </c>
      <c r="QEM97" s="1392" t="s">
        <v>809</v>
      </c>
      <c r="QEN97" s="1392" t="s">
        <v>809</v>
      </c>
      <c r="QEO97" s="1392" t="s">
        <v>809</v>
      </c>
      <c r="QEP97" s="1392" t="s">
        <v>809</v>
      </c>
      <c r="QEQ97" s="1392" t="s">
        <v>809</v>
      </c>
      <c r="QER97" s="1392" t="s">
        <v>809</v>
      </c>
      <c r="QES97" s="1392" t="s">
        <v>809</v>
      </c>
      <c r="QET97" s="1392" t="s">
        <v>809</v>
      </c>
      <c r="QEU97" s="1392" t="s">
        <v>809</v>
      </c>
      <c r="QEV97" s="1392" t="s">
        <v>809</v>
      </c>
      <c r="QEW97" s="1392" t="s">
        <v>809</v>
      </c>
      <c r="QEX97" s="1392" t="s">
        <v>809</v>
      </c>
      <c r="QEY97" s="1392" t="s">
        <v>809</v>
      </c>
      <c r="QEZ97" s="1392" t="s">
        <v>809</v>
      </c>
      <c r="QFA97" s="1392" t="s">
        <v>809</v>
      </c>
      <c r="QFB97" s="1392" t="s">
        <v>809</v>
      </c>
      <c r="QFC97" s="1392" t="s">
        <v>809</v>
      </c>
      <c r="QFD97" s="1392" t="s">
        <v>809</v>
      </c>
      <c r="QFE97" s="1392" t="s">
        <v>809</v>
      </c>
      <c r="QFF97" s="1392" t="s">
        <v>809</v>
      </c>
      <c r="QFG97" s="1392" t="s">
        <v>809</v>
      </c>
      <c r="QFH97" s="1392" t="s">
        <v>809</v>
      </c>
      <c r="QFI97" s="1392" t="s">
        <v>809</v>
      </c>
      <c r="QFJ97" s="1392" t="s">
        <v>809</v>
      </c>
      <c r="QFK97" s="1392" t="s">
        <v>809</v>
      </c>
      <c r="QFL97" s="1392" t="s">
        <v>809</v>
      </c>
      <c r="QFM97" s="1392" t="s">
        <v>809</v>
      </c>
      <c r="QFN97" s="1392" t="s">
        <v>809</v>
      </c>
      <c r="QFO97" s="1392" t="s">
        <v>809</v>
      </c>
      <c r="QFP97" s="1392" t="s">
        <v>809</v>
      </c>
      <c r="QFQ97" s="1392" t="s">
        <v>809</v>
      </c>
      <c r="QFR97" s="1392" t="s">
        <v>809</v>
      </c>
      <c r="QFS97" s="1392" t="s">
        <v>809</v>
      </c>
      <c r="QFT97" s="1392" t="s">
        <v>809</v>
      </c>
      <c r="QFU97" s="1392" t="s">
        <v>809</v>
      </c>
      <c r="QFV97" s="1392" t="s">
        <v>809</v>
      </c>
      <c r="QFW97" s="1392" t="s">
        <v>809</v>
      </c>
      <c r="QFX97" s="1392" t="s">
        <v>809</v>
      </c>
      <c r="QFY97" s="1392" t="s">
        <v>809</v>
      </c>
      <c r="QFZ97" s="1392" t="s">
        <v>809</v>
      </c>
      <c r="QGA97" s="1392" t="s">
        <v>809</v>
      </c>
      <c r="QGB97" s="1392" t="s">
        <v>809</v>
      </c>
      <c r="QGC97" s="1392" t="s">
        <v>809</v>
      </c>
      <c r="QGD97" s="1392" t="s">
        <v>809</v>
      </c>
      <c r="QGE97" s="1392" t="s">
        <v>809</v>
      </c>
      <c r="QGF97" s="1392" t="s">
        <v>809</v>
      </c>
      <c r="QGG97" s="1392" t="s">
        <v>809</v>
      </c>
      <c r="QGH97" s="1392" t="s">
        <v>809</v>
      </c>
      <c r="QGI97" s="1392" t="s">
        <v>809</v>
      </c>
      <c r="QGJ97" s="1392" t="s">
        <v>809</v>
      </c>
      <c r="QGK97" s="1392" t="s">
        <v>809</v>
      </c>
      <c r="QGL97" s="1392" t="s">
        <v>809</v>
      </c>
      <c r="QGM97" s="1392" t="s">
        <v>809</v>
      </c>
      <c r="QGN97" s="1392" t="s">
        <v>809</v>
      </c>
      <c r="QGO97" s="1392" t="s">
        <v>809</v>
      </c>
      <c r="QGP97" s="1392" t="s">
        <v>809</v>
      </c>
      <c r="QGQ97" s="1392" t="s">
        <v>809</v>
      </c>
      <c r="QGR97" s="1392" t="s">
        <v>809</v>
      </c>
      <c r="QGS97" s="1392" t="s">
        <v>809</v>
      </c>
      <c r="QGT97" s="1392" t="s">
        <v>809</v>
      </c>
      <c r="QGU97" s="1392" t="s">
        <v>809</v>
      </c>
      <c r="QGV97" s="1392" t="s">
        <v>809</v>
      </c>
      <c r="QGW97" s="1392" t="s">
        <v>809</v>
      </c>
      <c r="QGX97" s="1392" t="s">
        <v>809</v>
      </c>
      <c r="QGY97" s="1392" t="s">
        <v>809</v>
      </c>
      <c r="QGZ97" s="1392" t="s">
        <v>809</v>
      </c>
      <c r="QHA97" s="1392" t="s">
        <v>809</v>
      </c>
      <c r="QHB97" s="1392" t="s">
        <v>809</v>
      </c>
      <c r="QHC97" s="1392" t="s">
        <v>809</v>
      </c>
      <c r="QHD97" s="1392" t="s">
        <v>809</v>
      </c>
      <c r="QHE97" s="1392" t="s">
        <v>809</v>
      </c>
      <c r="QHF97" s="1392" t="s">
        <v>809</v>
      </c>
      <c r="QHG97" s="1392" t="s">
        <v>809</v>
      </c>
      <c r="QHH97" s="1392" t="s">
        <v>809</v>
      </c>
      <c r="QHI97" s="1392" t="s">
        <v>809</v>
      </c>
      <c r="QHJ97" s="1392" t="s">
        <v>809</v>
      </c>
      <c r="QHK97" s="1392" t="s">
        <v>809</v>
      </c>
      <c r="QHL97" s="1392" t="s">
        <v>809</v>
      </c>
      <c r="QHM97" s="1392" t="s">
        <v>809</v>
      </c>
      <c r="QHN97" s="1392" t="s">
        <v>809</v>
      </c>
      <c r="QHO97" s="1392" t="s">
        <v>809</v>
      </c>
      <c r="QHP97" s="1392" t="s">
        <v>809</v>
      </c>
      <c r="QHQ97" s="1392" t="s">
        <v>809</v>
      </c>
      <c r="QHR97" s="1392" t="s">
        <v>809</v>
      </c>
      <c r="QHS97" s="1392" t="s">
        <v>809</v>
      </c>
      <c r="QHT97" s="1392" t="s">
        <v>809</v>
      </c>
      <c r="QHU97" s="1392" t="s">
        <v>809</v>
      </c>
      <c r="QHV97" s="1392" t="s">
        <v>809</v>
      </c>
      <c r="QHW97" s="1392" t="s">
        <v>809</v>
      </c>
      <c r="QHX97" s="1392" t="s">
        <v>809</v>
      </c>
      <c r="QHY97" s="1392" t="s">
        <v>809</v>
      </c>
      <c r="QHZ97" s="1392" t="s">
        <v>809</v>
      </c>
      <c r="QIA97" s="1392" t="s">
        <v>809</v>
      </c>
      <c r="QIB97" s="1392" t="s">
        <v>809</v>
      </c>
      <c r="QIC97" s="1392" t="s">
        <v>809</v>
      </c>
      <c r="QID97" s="1392" t="s">
        <v>809</v>
      </c>
      <c r="QIE97" s="1392" t="s">
        <v>809</v>
      </c>
      <c r="QIF97" s="1392" t="s">
        <v>809</v>
      </c>
      <c r="QIG97" s="1392" t="s">
        <v>809</v>
      </c>
      <c r="QIH97" s="1392" t="s">
        <v>809</v>
      </c>
      <c r="QII97" s="1392" t="s">
        <v>809</v>
      </c>
      <c r="QIJ97" s="1392" t="s">
        <v>809</v>
      </c>
      <c r="QIK97" s="1392" t="s">
        <v>809</v>
      </c>
      <c r="QIL97" s="1392" t="s">
        <v>809</v>
      </c>
      <c r="QIM97" s="1392" t="s">
        <v>809</v>
      </c>
      <c r="QIN97" s="1392" t="s">
        <v>809</v>
      </c>
      <c r="QIO97" s="1392" t="s">
        <v>809</v>
      </c>
      <c r="QIP97" s="1392" t="s">
        <v>809</v>
      </c>
      <c r="QIQ97" s="1392" t="s">
        <v>809</v>
      </c>
      <c r="QIR97" s="1392" t="s">
        <v>809</v>
      </c>
      <c r="QIS97" s="1392" t="s">
        <v>809</v>
      </c>
      <c r="QIT97" s="1392" t="s">
        <v>809</v>
      </c>
      <c r="QIU97" s="1392" t="s">
        <v>809</v>
      </c>
      <c r="QIV97" s="1392" t="s">
        <v>809</v>
      </c>
      <c r="QIW97" s="1392" t="s">
        <v>809</v>
      </c>
      <c r="QIX97" s="1392" t="s">
        <v>809</v>
      </c>
      <c r="QIY97" s="1392" t="s">
        <v>809</v>
      </c>
      <c r="QIZ97" s="1392" t="s">
        <v>809</v>
      </c>
      <c r="QJA97" s="1392" t="s">
        <v>809</v>
      </c>
      <c r="QJB97" s="1392" t="s">
        <v>809</v>
      </c>
      <c r="QJC97" s="1392" t="s">
        <v>809</v>
      </c>
      <c r="QJD97" s="1392" t="s">
        <v>809</v>
      </c>
      <c r="QJE97" s="1392" t="s">
        <v>809</v>
      </c>
      <c r="QJF97" s="1392" t="s">
        <v>809</v>
      </c>
      <c r="QJG97" s="1392" t="s">
        <v>809</v>
      </c>
      <c r="QJH97" s="1392" t="s">
        <v>809</v>
      </c>
      <c r="QJI97" s="1392" t="s">
        <v>809</v>
      </c>
      <c r="QJJ97" s="1392" t="s">
        <v>809</v>
      </c>
      <c r="QJK97" s="1392" t="s">
        <v>809</v>
      </c>
      <c r="QJL97" s="1392" t="s">
        <v>809</v>
      </c>
      <c r="QJM97" s="1392" t="s">
        <v>809</v>
      </c>
      <c r="QJN97" s="1392" t="s">
        <v>809</v>
      </c>
      <c r="QJO97" s="1392" t="s">
        <v>809</v>
      </c>
      <c r="QJP97" s="1392" t="s">
        <v>809</v>
      </c>
      <c r="QJQ97" s="1392" t="s">
        <v>809</v>
      </c>
      <c r="QJR97" s="1392" t="s">
        <v>809</v>
      </c>
      <c r="QJS97" s="1392" t="s">
        <v>809</v>
      </c>
      <c r="QJT97" s="1392" t="s">
        <v>809</v>
      </c>
      <c r="QJU97" s="1392" t="s">
        <v>809</v>
      </c>
      <c r="QJV97" s="1392" t="s">
        <v>809</v>
      </c>
      <c r="QJW97" s="1392" t="s">
        <v>809</v>
      </c>
      <c r="QJX97" s="1392" t="s">
        <v>809</v>
      </c>
      <c r="QJY97" s="1392" t="s">
        <v>809</v>
      </c>
      <c r="QJZ97" s="1392" t="s">
        <v>809</v>
      </c>
      <c r="QKA97" s="1392" t="s">
        <v>809</v>
      </c>
      <c r="QKB97" s="1392" t="s">
        <v>809</v>
      </c>
      <c r="QKC97" s="1392" t="s">
        <v>809</v>
      </c>
      <c r="QKD97" s="1392" t="s">
        <v>809</v>
      </c>
      <c r="QKE97" s="1392" t="s">
        <v>809</v>
      </c>
      <c r="QKF97" s="1392" t="s">
        <v>809</v>
      </c>
      <c r="QKG97" s="1392" t="s">
        <v>809</v>
      </c>
      <c r="QKH97" s="1392" t="s">
        <v>809</v>
      </c>
      <c r="QKI97" s="1392" t="s">
        <v>809</v>
      </c>
      <c r="QKJ97" s="1392" t="s">
        <v>809</v>
      </c>
      <c r="QKK97" s="1392" t="s">
        <v>809</v>
      </c>
      <c r="QKL97" s="1392" t="s">
        <v>809</v>
      </c>
      <c r="QKM97" s="1392" t="s">
        <v>809</v>
      </c>
      <c r="QKN97" s="1392" t="s">
        <v>809</v>
      </c>
      <c r="QKO97" s="1392" t="s">
        <v>809</v>
      </c>
      <c r="QKP97" s="1392" t="s">
        <v>809</v>
      </c>
      <c r="QKQ97" s="1392" t="s">
        <v>809</v>
      </c>
      <c r="QKR97" s="1392" t="s">
        <v>809</v>
      </c>
      <c r="QKS97" s="1392" t="s">
        <v>809</v>
      </c>
      <c r="QKT97" s="1392" t="s">
        <v>809</v>
      </c>
      <c r="QKU97" s="1392" t="s">
        <v>809</v>
      </c>
      <c r="QKV97" s="1392" t="s">
        <v>809</v>
      </c>
      <c r="QKW97" s="1392" t="s">
        <v>809</v>
      </c>
      <c r="QKX97" s="1392" t="s">
        <v>809</v>
      </c>
      <c r="QKY97" s="1392" t="s">
        <v>809</v>
      </c>
      <c r="QKZ97" s="1392" t="s">
        <v>809</v>
      </c>
      <c r="QLA97" s="1392" t="s">
        <v>809</v>
      </c>
      <c r="QLB97" s="1392" t="s">
        <v>809</v>
      </c>
      <c r="QLC97" s="1392" t="s">
        <v>809</v>
      </c>
      <c r="QLD97" s="1392" t="s">
        <v>809</v>
      </c>
      <c r="QLE97" s="1392" t="s">
        <v>809</v>
      </c>
      <c r="QLF97" s="1392" t="s">
        <v>809</v>
      </c>
      <c r="QLG97" s="1392" t="s">
        <v>809</v>
      </c>
      <c r="QLH97" s="1392" t="s">
        <v>809</v>
      </c>
      <c r="QLI97" s="1392" t="s">
        <v>809</v>
      </c>
      <c r="QLJ97" s="1392" t="s">
        <v>809</v>
      </c>
      <c r="QLK97" s="1392" t="s">
        <v>809</v>
      </c>
      <c r="QLL97" s="1392" t="s">
        <v>809</v>
      </c>
      <c r="QLM97" s="1392" t="s">
        <v>809</v>
      </c>
      <c r="QLN97" s="1392" t="s">
        <v>809</v>
      </c>
      <c r="QLO97" s="1392" t="s">
        <v>809</v>
      </c>
      <c r="QLP97" s="1392" t="s">
        <v>809</v>
      </c>
      <c r="QLQ97" s="1392" t="s">
        <v>809</v>
      </c>
      <c r="QLR97" s="1392" t="s">
        <v>809</v>
      </c>
      <c r="QLS97" s="1392" t="s">
        <v>809</v>
      </c>
      <c r="QLT97" s="1392" t="s">
        <v>809</v>
      </c>
      <c r="QLU97" s="1392" t="s">
        <v>809</v>
      </c>
      <c r="QLV97" s="1392" t="s">
        <v>809</v>
      </c>
      <c r="QLW97" s="1392" t="s">
        <v>809</v>
      </c>
      <c r="QLX97" s="1392" t="s">
        <v>809</v>
      </c>
      <c r="QLY97" s="1392" t="s">
        <v>809</v>
      </c>
      <c r="QLZ97" s="1392" t="s">
        <v>809</v>
      </c>
      <c r="QMA97" s="1392" t="s">
        <v>809</v>
      </c>
      <c r="QMB97" s="1392" t="s">
        <v>809</v>
      </c>
      <c r="QMC97" s="1392" t="s">
        <v>809</v>
      </c>
      <c r="QMD97" s="1392" t="s">
        <v>809</v>
      </c>
      <c r="QME97" s="1392" t="s">
        <v>809</v>
      </c>
      <c r="QMF97" s="1392" t="s">
        <v>809</v>
      </c>
      <c r="QMG97" s="1392" t="s">
        <v>809</v>
      </c>
      <c r="QMH97" s="1392" t="s">
        <v>809</v>
      </c>
      <c r="QMI97" s="1392" t="s">
        <v>809</v>
      </c>
      <c r="QMJ97" s="1392" t="s">
        <v>809</v>
      </c>
      <c r="QMK97" s="1392" t="s">
        <v>809</v>
      </c>
      <c r="QML97" s="1392" t="s">
        <v>809</v>
      </c>
      <c r="QMM97" s="1392" t="s">
        <v>809</v>
      </c>
      <c r="QMN97" s="1392" t="s">
        <v>809</v>
      </c>
      <c r="QMO97" s="1392" t="s">
        <v>809</v>
      </c>
      <c r="QMP97" s="1392" t="s">
        <v>809</v>
      </c>
      <c r="QMQ97" s="1392" t="s">
        <v>809</v>
      </c>
      <c r="QMR97" s="1392" t="s">
        <v>809</v>
      </c>
      <c r="QMS97" s="1392" t="s">
        <v>809</v>
      </c>
      <c r="QMT97" s="1392" t="s">
        <v>809</v>
      </c>
      <c r="QMU97" s="1392" t="s">
        <v>809</v>
      </c>
      <c r="QMV97" s="1392" t="s">
        <v>809</v>
      </c>
      <c r="QMW97" s="1392" t="s">
        <v>809</v>
      </c>
      <c r="QMX97" s="1392" t="s">
        <v>809</v>
      </c>
      <c r="QMY97" s="1392" t="s">
        <v>809</v>
      </c>
      <c r="QMZ97" s="1392" t="s">
        <v>809</v>
      </c>
      <c r="QNA97" s="1392" t="s">
        <v>809</v>
      </c>
      <c r="QNB97" s="1392" t="s">
        <v>809</v>
      </c>
      <c r="QNC97" s="1392" t="s">
        <v>809</v>
      </c>
      <c r="QND97" s="1392" t="s">
        <v>809</v>
      </c>
      <c r="QNE97" s="1392" t="s">
        <v>809</v>
      </c>
      <c r="QNF97" s="1392" t="s">
        <v>809</v>
      </c>
      <c r="QNG97" s="1392" t="s">
        <v>809</v>
      </c>
      <c r="QNH97" s="1392" t="s">
        <v>809</v>
      </c>
      <c r="QNI97" s="1392" t="s">
        <v>809</v>
      </c>
      <c r="QNJ97" s="1392" t="s">
        <v>809</v>
      </c>
      <c r="QNK97" s="1392" t="s">
        <v>809</v>
      </c>
      <c r="QNL97" s="1392" t="s">
        <v>809</v>
      </c>
      <c r="QNM97" s="1392" t="s">
        <v>809</v>
      </c>
      <c r="QNN97" s="1392" t="s">
        <v>809</v>
      </c>
      <c r="QNO97" s="1392" t="s">
        <v>809</v>
      </c>
      <c r="QNP97" s="1392" t="s">
        <v>809</v>
      </c>
      <c r="QNQ97" s="1392" t="s">
        <v>809</v>
      </c>
      <c r="QNR97" s="1392" t="s">
        <v>809</v>
      </c>
      <c r="QNS97" s="1392" t="s">
        <v>809</v>
      </c>
      <c r="QNT97" s="1392" t="s">
        <v>809</v>
      </c>
      <c r="QNU97" s="1392" t="s">
        <v>809</v>
      </c>
      <c r="QNV97" s="1392" t="s">
        <v>809</v>
      </c>
      <c r="QNW97" s="1392" t="s">
        <v>809</v>
      </c>
      <c r="QNX97" s="1392" t="s">
        <v>809</v>
      </c>
      <c r="QNY97" s="1392" t="s">
        <v>809</v>
      </c>
      <c r="QNZ97" s="1392" t="s">
        <v>809</v>
      </c>
      <c r="QOA97" s="1392" t="s">
        <v>809</v>
      </c>
      <c r="QOB97" s="1392" t="s">
        <v>809</v>
      </c>
      <c r="QOC97" s="1392" t="s">
        <v>809</v>
      </c>
      <c r="QOD97" s="1392" t="s">
        <v>809</v>
      </c>
      <c r="QOE97" s="1392" t="s">
        <v>809</v>
      </c>
      <c r="QOF97" s="1392" t="s">
        <v>809</v>
      </c>
      <c r="QOG97" s="1392" t="s">
        <v>809</v>
      </c>
      <c r="QOH97" s="1392" t="s">
        <v>809</v>
      </c>
      <c r="QOI97" s="1392" t="s">
        <v>809</v>
      </c>
      <c r="QOJ97" s="1392" t="s">
        <v>809</v>
      </c>
      <c r="QOK97" s="1392" t="s">
        <v>809</v>
      </c>
      <c r="QOL97" s="1392" t="s">
        <v>809</v>
      </c>
      <c r="QOM97" s="1392" t="s">
        <v>809</v>
      </c>
      <c r="QON97" s="1392" t="s">
        <v>809</v>
      </c>
      <c r="QOO97" s="1392" t="s">
        <v>809</v>
      </c>
      <c r="QOP97" s="1392" t="s">
        <v>809</v>
      </c>
      <c r="QOQ97" s="1392" t="s">
        <v>809</v>
      </c>
      <c r="QOR97" s="1392" t="s">
        <v>809</v>
      </c>
      <c r="QOS97" s="1392" t="s">
        <v>809</v>
      </c>
      <c r="QOT97" s="1392" t="s">
        <v>809</v>
      </c>
      <c r="QOU97" s="1392" t="s">
        <v>809</v>
      </c>
      <c r="QOV97" s="1392" t="s">
        <v>809</v>
      </c>
      <c r="QOW97" s="1392" t="s">
        <v>809</v>
      </c>
      <c r="QOX97" s="1392" t="s">
        <v>809</v>
      </c>
      <c r="QOY97" s="1392" t="s">
        <v>809</v>
      </c>
      <c r="QOZ97" s="1392" t="s">
        <v>809</v>
      </c>
      <c r="QPA97" s="1392" t="s">
        <v>809</v>
      </c>
      <c r="QPB97" s="1392" t="s">
        <v>809</v>
      </c>
      <c r="QPC97" s="1392" t="s">
        <v>809</v>
      </c>
      <c r="QPD97" s="1392" t="s">
        <v>809</v>
      </c>
      <c r="QPE97" s="1392" t="s">
        <v>809</v>
      </c>
      <c r="QPF97" s="1392" t="s">
        <v>809</v>
      </c>
      <c r="QPG97" s="1392" t="s">
        <v>809</v>
      </c>
      <c r="QPH97" s="1392" t="s">
        <v>809</v>
      </c>
      <c r="QPI97" s="1392" t="s">
        <v>809</v>
      </c>
      <c r="QPJ97" s="1392" t="s">
        <v>809</v>
      </c>
      <c r="QPK97" s="1392" t="s">
        <v>809</v>
      </c>
      <c r="QPL97" s="1392" t="s">
        <v>809</v>
      </c>
      <c r="QPM97" s="1392" t="s">
        <v>809</v>
      </c>
      <c r="QPN97" s="1392" t="s">
        <v>809</v>
      </c>
      <c r="QPO97" s="1392" t="s">
        <v>809</v>
      </c>
      <c r="QPP97" s="1392" t="s">
        <v>809</v>
      </c>
      <c r="QPQ97" s="1392" t="s">
        <v>809</v>
      </c>
      <c r="QPR97" s="1392" t="s">
        <v>809</v>
      </c>
      <c r="QPS97" s="1392" t="s">
        <v>809</v>
      </c>
      <c r="QPT97" s="1392" t="s">
        <v>809</v>
      </c>
      <c r="QPU97" s="1392" t="s">
        <v>809</v>
      </c>
      <c r="QPV97" s="1392" t="s">
        <v>809</v>
      </c>
      <c r="QPW97" s="1392" t="s">
        <v>809</v>
      </c>
      <c r="QPX97" s="1392" t="s">
        <v>809</v>
      </c>
      <c r="QPY97" s="1392" t="s">
        <v>809</v>
      </c>
      <c r="QPZ97" s="1392" t="s">
        <v>809</v>
      </c>
      <c r="QQA97" s="1392" t="s">
        <v>809</v>
      </c>
      <c r="QQB97" s="1392" t="s">
        <v>809</v>
      </c>
      <c r="QQC97" s="1392" t="s">
        <v>809</v>
      </c>
      <c r="QQD97" s="1392" t="s">
        <v>809</v>
      </c>
      <c r="QQE97" s="1392" t="s">
        <v>809</v>
      </c>
      <c r="QQF97" s="1392" t="s">
        <v>809</v>
      </c>
      <c r="QQG97" s="1392" t="s">
        <v>809</v>
      </c>
      <c r="QQH97" s="1392" t="s">
        <v>809</v>
      </c>
      <c r="QQI97" s="1392" t="s">
        <v>809</v>
      </c>
      <c r="QQJ97" s="1392" t="s">
        <v>809</v>
      </c>
      <c r="QQK97" s="1392" t="s">
        <v>809</v>
      </c>
      <c r="QQL97" s="1392" t="s">
        <v>809</v>
      </c>
      <c r="QQM97" s="1392" t="s">
        <v>809</v>
      </c>
      <c r="QQN97" s="1392" t="s">
        <v>809</v>
      </c>
      <c r="QQO97" s="1392" t="s">
        <v>809</v>
      </c>
      <c r="QQP97" s="1392" t="s">
        <v>809</v>
      </c>
      <c r="QQQ97" s="1392" t="s">
        <v>809</v>
      </c>
      <c r="QQR97" s="1392" t="s">
        <v>809</v>
      </c>
      <c r="QQS97" s="1392" t="s">
        <v>809</v>
      </c>
      <c r="QQT97" s="1392" t="s">
        <v>809</v>
      </c>
      <c r="QQU97" s="1392" t="s">
        <v>809</v>
      </c>
      <c r="QQV97" s="1392" t="s">
        <v>809</v>
      </c>
      <c r="QQW97" s="1392" t="s">
        <v>809</v>
      </c>
      <c r="QQX97" s="1392" t="s">
        <v>809</v>
      </c>
      <c r="QQY97" s="1392" t="s">
        <v>809</v>
      </c>
      <c r="QQZ97" s="1392" t="s">
        <v>809</v>
      </c>
      <c r="QRA97" s="1392" t="s">
        <v>809</v>
      </c>
      <c r="QRB97" s="1392" t="s">
        <v>809</v>
      </c>
      <c r="QRC97" s="1392" t="s">
        <v>809</v>
      </c>
      <c r="QRD97" s="1392" t="s">
        <v>809</v>
      </c>
      <c r="QRE97" s="1392" t="s">
        <v>809</v>
      </c>
      <c r="QRF97" s="1392" t="s">
        <v>809</v>
      </c>
      <c r="QRG97" s="1392" t="s">
        <v>809</v>
      </c>
      <c r="QRH97" s="1392" t="s">
        <v>809</v>
      </c>
      <c r="QRI97" s="1392" t="s">
        <v>809</v>
      </c>
      <c r="QRJ97" s="1392" t="s">
        <v>809</v>
      </c>
      <c r="QRK97" s="1392" t="s">
        <v>809</v>
      </c>
      <c r="QRL97" s="1392" t="s">
        <v>809</v>
      </c>
      <c r="QRM97" s="1392" t="s">
        <v>809</v>
      </c>
      <c r="QRN97" s="1392" t="s">
        <v>809</v>
      </c>
      <c r="QRO97" s="1392" t="s">
        <v>809</v>
      </c>
      <c r="QRP97" s="1392" t="s">
        <v>809</v>
      </c>
      <c r="QRQ97" s="1392" t="s">
        <v>809</v>
      </c>
      <c r="QRR97" s="1392" t="s">
        <v>809</v>
      </c>
      <c r="QRS97" s="1392" t="s">
        <v>809</v>
      </c>
      <c r="QRT97" s="1392" t="s">
        <v>809</v>
      </c>
      <c r="QRU97" s="1392" t="s">
        <v>809</v>
      </c>
      <c r="QRV97" s="1392" t="s">
        <v>809</v>
      </c>
      <c r="QRW97" s="1392" t="s">
        <v>809</v>
      </c>
      <c r="QRX97" s="1392" t="s">
        <v>809</v>
      </c>
      <c r="QRY97" s="1392" t="s">
        <v>809</v>
      </c>
      <c r="QRZ97" s="1392" t="s">
        <v>809</v>
      </c>
      <c r="QSA97" s="1392" t="s">
        <v>809</v>
      </c>
      <c r="QSB97" s="1392" t="s">
        <v>809</v>
      </c>
      <c r="QSC97" s="1392" t="s">
        <v>809</v>
      </c>
      <c r="QSD97" s="1392" t="s">
        <v>809</v>
      </c>
      <c r="QSE97" s="1392" t="s">
        <v>809</v>
      </c>
      <c r="QSF97" s="1392" t="s">
        <v>809</v>
      </c>
      <c r="QSG97" s="1392" t="s">
        <v>809</v>
      </c>
      <c r="QSH97" s="1392" t="s">
        <v>809</v>
      </c>
      <c r="QSI97" s="1392" t="s">
        <v>809</v>
      </c>
      <c r="QSJ97" s="1392" t="s">
        <v>809</v>
      </c>
      <c r="QSK97" s="1392" t="s">
        <v>809</v>
      </c>
      <c r="QSL97" s="1392" t="s">
        <v>809</v>
      </c>
      <c r="QSM97" s="1392" t="s">
        <v>809</v>
      </c>
      <c r="QSN97" s="1392" t="s">
        <v>809</v>
      </c>
      <c r="QSO97" s="1392" t="s">
        <v>809</v>
      </c>
      <c r="QSP97" s="1392" t="s">
        <v>809</v>
      </c>
      <c r="QSQ97" s="1392" t="s">
        <v>809</v>
      </c>
      <c r="QSR97" s="1392" t="s">
        <v>809</v>
      </c>
      <c r="QSS97" s="1392" t="s">
        <v>809</v>
      </c>
      <c r="QST97" s="1392" t="s">
        <v>809</v>
      </c>
      <c r="QSU97" s="1392" t="s">
        <v>809</v>
      </c>
      <c r="QSV97" s="1392" t="s">
        <v>809</v>
      </c>
      <c r="QSW97" s="1392" t="s">
        <v>809</v>
      </c>
      <c r="QSX97" s="1392" t="s">
        <v>809</v>
      </c>
      <c r="QSY97" s="1392" t="s">
        <v>809</v>
      </c>
      <c r="QSZ97" s="1392" t="s">
        <v>809</v>
      </c>
      <c r="QTA97" s="1392" t="s">
        <v>809</v>
      </c>
      <c r="QTB97" s="1392" t="s">
        <v>809</v>
      </c>
      <c r="QTC97" s="1392" t="s">
        <v>809</v>
      </c>
      <c r="QTD97" s="1392" t="s">
        <v>809</v>
      </c>
      <c r="QTE97" s="1392" t="s">
        <v>809</v>
      </c>
      <c r="QTF97" s="1392" t="s">
        <v>809</v>
      </c>
      <c r="QTG97" s="1392" t="s">
        <v>809</v>
      </c>
      <c r="QTH97" s="1392" t="s">
        <v>809</v>
      </c>
      <c r="QTI97" s="1392" t="s">
        <v>809</v>
      </c>
      <c r="QTJ97" s="1392" t="s">
        <v>809</v>
      </c>
      <c r="QTK97" s="1392" t="s">
        <v>809</v>
      </c>
      <c r="QTL97" s="1392" t="s">
        <v>809</v>
      </c>
      <c r="QTM97" s="1392" t="s">
        <v>809</v>
      </c>
      <c r="QTN97" s="1392" t="s">
        <v>809</v>
      </c>
      <c r="QTO97" s="1392" t="s">
        <v>809</v>
      </c>
      <c r="QTP97" s="1392" t="s">
        <v>809</v>
      </c>
      <c r="QTQ97" s="1392" t="s">
        <v>809</v>
      </c>
      <c r="QTR97" s="1392" t="s">
        <v>809</v>
      </c>
      <c r="QTS97" s="1392" t="s">
        <v>809</v>
      </c>
      <c r="QTT97" s="1392" t="s">
        <v>809</v>
      </c>
      <c r="QTU97" s="1392" t="s">
        <v>809</v>
      </c>
      <c r="QTV97" s="1392" t="s">
        <v>809</v>
      </c>
      <c r="QTW97" s="1392" t="s">
        <v>809</v>
      </c>
      <c r="QTX97" s="1392" t="s">
        <v>809</v>
      </c>
      <c r="QTY97" s="1392" t="s">
        <v>809</v>
      </c>
      <c r="QTZ97" s="1392" t="s">
        <v>809</v>
      </c>
      <c r="QUA97" s="1392" t="s">
        <v>809</v>
      </c>
      <c r="QUB97" s="1392" t="s">
        <v>809</v>
      </c>
      <c r="QUC97" s="1392" t="s">
        <v>809</v>
      </c>
      <c r="QUD97" s="1392" t="s">
        <v>809</v>
      </c>
      <c r="QUE97" s="1392" t="s">
        <v>809</v>
      </c>
      <c r="QUF97" s="1392" t="s">
        <v>809</v>
      </c>
      <c r="QUG97" s="1392" t="s">
        <v>809</v>
      </c>
      <c r="QUH97" s="1392" t="s">
        <v>809</v>
      </c>
      <c r="QUI97" s="1392" t="s">
        <v>809</v>
      </c>
      <c r="QUJ97" s="1392" t="s">
        <v>809</v>
      </c>
      <c r="QUK97" s="1392" t="s">
        <v>809</v>
      </c>
      <c r="QUL97" s="1392" t="s">
        <v>809</v>
      </c>
      <c r="QUM97" s="1392" t="s">
        <v>809</v>
      </c>
      <c r="QUN97" s="1392" t="s">
        <v>809</v>
      </c>
      <c r="QUO97" s="1392" t="s">
        <v>809</v>
      </c>
      <c r="QUP97" s="1392" t="s">
        <v>809</v>
      </c>
      <c r="QUQ97" s="1392" t="s">
        <v>809</v>
      </c>
      <c r="QUR97" s="1392" t="s">
        <v>809</v>
      </c>
      <c r="QUS97" s="1392" t="s">
        <v>809</v>
      </c>
      <c r="QUT97" s="1392" t="s">
        <v>809</v>
      </c>
      <c r="QUU97" s="1392" t="s">
        <v>809</v>
      </c>
      <c r="QUV97" s="1392" t="s">
        <v>809</v>
      </c>
      <c r="QUW97" s="1392" t="s">
        <v>809</v>
      </c>
      <c r="QUX97" s="1392" t="s">
        <v>809</v>
      </c>
      <c r="QUY97" s="1392" t="s">
        <v>809</v>
      </c>
      <c r="QUZ97" s="1392" t="s">
        <v>809</v>
      </c>
      <c r="QVA97" s="1392" t="s">
        <v>809</v>
      </c>
      <c r="QVB97" s="1392" t="s">
        <v>809</v>
      </c>
      <c r="QVC97" s="1392" t="s">
        <v>809</v>
      </c>
      <c r="QVD97" s="1392" t="s">
        <v>809</v>
      </c>
      <c r="QVE97" s="1392" t="s">
        <v>809</v>
      </c>
      <c r="QVF97" s="1392" t="s">
        <v>809</v>
      </c>
      <c r="QVG97" s="1392" t="s">
        <v>809</v>
      </c>
      <c r="QVH97" s="1392" t="s">
        <v>809</v>
      </c>
      <c r="QVI97" s="1392" t="s">
        <v>809</v>
      </c>
      <c r="QVJ97" s="1392" t="s">
        <v>809</v>
      </c>
      <c r="QVK97" s="1392" t="s">
        <v>809</v>
      </c>
      <c r="QVL97" s="1392" t="s">
        <v>809</v>
      </c>
      <c r="QVM97" s="1392" t="s">
        <v>809</v>
      </c>
      <c r="QVN97" s="1392" t="s">
        <v>809</v>
      </c>
      <c r="QVO97" s="1392" t="s">
        <v>809</v>
      </c>
      <c r="QVP97" s="1392" t="s">
        <v>809</v>
      </c>
      <c r="QVQ97" s="1392" t="s">
        <v>809</v>
      </c>
      <c r="QVR97" s="1392" t="s">
        <v>809</v>
      </c>
      <c r="QVS97" s="1392" t="s">
        <v>809</v>
      </c>
      <c r="QVT97" s="1392" t="s">
        <v>809</v>
      </c>
      <c r="QVU97" s="1392" t="s">
        <v>809</v>
      </c>
      <c r="QVV97" s="1392" t="s">
        <v>809</v>
      </c>
      <c r="QVW97" s="1392" t="s">
        <v>809</v>
      </c>
      <c r="QVX97" s="1392" t="s">
        <v>809</v>
      </c>
      <c r="QVY97" s="1392" t="s">
        <v>809</v>
      </c>
      <c r="QVZ97" s="1392" t="s">
        <v>809</v>
      </c>
      <c r="QWA97" s="1392" t="s">
        <v>809</v>
      </c>
      <c r="QWB97" s="1392" t="s">
        <v>809</v>
      </c>
      <c r="QWC97" s="1392" t="s">
        <v>809</v>
      </c>
      <c r="QWD97" s="1392" t="s">
        <v>809</v>
      </c>
      <c r="QWE97" s="1392" t="s">
        <v>809</v>
      </c>
      <c r="QWF97" s="1392" t="s">
        <v>809</v>
      </c>
      <c r="QWG97" s="1392" t="s">
        <v>809</v>
      </c>
      <c r="QWH97" s="1392" t="s">
        <v>809</v>
      </c>
      <c r="QWI97" s="1392" t="s">
        <v>809</v>
      </c>
      <c r="QWJ97" s="1392" t="s">
        <v>809</v>
      </c>
      <c r="QWK97" s="1392" t="s">
        <v>809</v>
      </c>
      <c r="QWL97" s="1392" t="s">
        <v>809</v>
      </c>
      <c r="QWM97" s="1392" t="s">
        <v>809</v>
      </c>
      <c r="QWN97" s="1392" t="s">
        <v>809</v>
      </c>
      <c r="QWO97" s="1392" t="s">
        <v>809</v>
      </c>
      <c r="QWP97" s="1392" t="s">
        <v>809</v>
      </c>
      <c r="QWQ97" s="1392" t="s">
        <v>809</v>
      </c>
      <c r="QWR97" s="1392" t="s">
        <v>809</v>
      </c>
      <c r="QWS97" s="1392" t="s">
        <v>809</v>
      </c>
      <c r="QWT97" s="1392" t="s">
        <v>809</v>
      </c>
      <c r="QWU97" s="1392" t="s">
        <v>809</v>
      </c>
      <c r="QWV97" s="1392" t="s">
        <v>809</v>
      </c>
      <c r="QWW97" s="1392" t="s">
        <v>809</v>
      </c>
      <c r="QWX97" s="1392" t="s">
        <v>809</v>
      </c>
      <c r="QWY97" s="1392" t="s">
        <v>809</v>
      </c>
      <c r="QWZ97" s="1392" t="s">
        <v>809</v>
      </c>
      <c r="QXA97" s="1392" t="s">
        <v>809</v>
      </c>
      <c r="QXB97" s="1392" t="s">
        <v>809</v>
      </c>
      <c r="QXC97" s="1392" t="s">
        <v>809</v>
      </c>
      <c r="QXD97" s="1392" t="s">
        <v>809</v>
      </c>
      <c r="QXE97" s="1392" t="s">
        <v>809</v>
      </c>
      <c r="QXF97" s="1392" t="s">
        <v>809</v>
      </c>
      <c r="QXG97" s="1392" t="s">
        <v>809</v>
      </c>
      <c r="QXH97" s="1392" t="s">
        <v>809</v>
      </c>
      <c r="QXI97" s="1392" t="s">
        <v>809</v>
      </c>
      <c r="QXJ97" s="1392" t="s">
        <v>809</v>
      </c>
      <c r="QXK97" s="1392" t="s">
        <v>809</v>
      </c>
      <c r="QXL97" s="1392" t="s">
        <v>809</v>
      </c>
      <c r="QXM97" s="1392" t="s">
        <v>809</v>
      </c>
      <c r="QXN97" s="1392" t="s">
        <v>809</v>
      </c>
      <c r="QXO97" s="1392" t="s">
        <v>809</v>
      </c>
      <c r="QXP97" s="1392" t="s">
        <v>809</v>
      </c>
      <c r="QXQ97" s="1392" t="s">
        <v>809</v>
      </c>
      <c r="QXR97" s="1392" t="s">
        <v>809</v>
      </c>
      <c r="QXS97" s="1392" t="s">
        <v>809</v>
      </c>
      <c r="QXT97" s="1392" t="s">
        <v>809</v>
      </c>
      <c r="QXU97" s="1392" t="s">
        <v>809</v>
      </c>
      <c r="QXV97" s="1392" t="s">
        <v>809</v>
      </c>
      <c r="QXW97" s="1392" t="s">
        <v>809</v>
      </c>
      <c r="QXX97" s="1392" t="s">
        <v>809</v>
      </c>
      <c r="QXY97" s="1392" t="s">
        <v>809</v>
      </c>
      <c r="QXZ97" s="1392" t="s">
        <v>809</v>
      </c>
      <c r="QYA97" s="1392" t="s">
        <v>809</v>
      </c>
      <c r="QYB97" s="1392" t="s">
        <v>809</v>
      </c>
      <c r="QYC97" s="1392" t="s">
        <v>809</v>
      </c>
      <c r="QYD97" s="1392" t="s">
        <v>809</v>
      </c>
      <c r="QYE97" s="1392" t="s">
        <v>809</v>
      </c>
      <c r="QYF97" s="1392" t="s">
        <v>809</v>
      </c>
      <c r="QYG97" s="1392" t="s">
        <v>809</v>
      </c>
      <c r="QYH97" s="1392" t="s">
        <v>809</v>
      </c>
      <c r="QYI97" s="1392" t="s">
        <v>809</v>
      </c>
      <c r="QYJ97" s="1392" t="s">
        <v>809</v>
      </c>
      <c r="QYK97" s="1392" t="s">
        <v>809</v>
      </c>
      <c r="QYL97" s="1392" t="s">
        <v>809</v>
      </c>
      <c r="QYM97" s="1392" t="s">
        <v>809</v>
      </c>
      <c r="QYN97" s="1392" t="s">
        <v>809</v>
      </c>
      <c r="QYO97" s="1392" t="s">
        <v>809</v>
      </c>
      <c r="QYP97" s="1392" t="s">
        <v>809</v>
      </c>
      <c r="QYQ97" s="1392" t="s">
        <v>809</v>
      </c>
      <c r="QYR97" s="1392" t="s">
        <v>809</v>
      </c>
      <c r="QYS97" s="1392" t="s">
        <v>809</v>
      </c>
      <c r="QYT97" s="1392" t="s">
        <v>809</v>
      </c>
      <c r="QYU97" s="1392" t="s">
        <v>809</v>
      </c>
      <c r="QYV97" s="1392" t="s">
        <v>809</v>
      </c>
      <c r="QYW97" s="1392" t="s">
        <v>809</v>
      </c>
      <c r="QYX97" s="1392" t="s">
        <v>809</v>
      </c>
      <c r="QYY97" s="1392" t="s">
        <v>809</v>
      </c>
      <c r="QYZ97" s="1392" t="s">
        <v>809</v>
      </c>
      <c r="QZA97" s="1392" t="s">
        <v>809</v>
      </c>
      <c r="QZB97" s="1392" t="s">
        <v>809</v>
      </c>
      <c r="QZC97" s="1392" t="s">
        <v>809</v>
      </c>
      <c r="QZD97" s="1392" t="s">
        <v>809</v>
      </c>
      <c r="QZE97" s="1392" t="s">
        <v>809</v>
      </c>
      <c r="QZF97" s="1392" t="s">
        <v>809</v>
      </c>
      <c r="QZG97" s="1392" t="s">
        <v>809</v>
      </c>
      <c r="QZH97" s="1392" t="s">
        <v>809</v>
      </c>
      <c r="QZI97" s="1392" t="s">
        <v>809</v>
      </c>
      <c r="QZJ97" s="1392" t="s">
        <v>809</v>
      </c>
      <c r="QZK97" s="1392" t="s">
        <v>809</v>
      </c>
      <c r="QZL97" s="1392" t="s">
        <v>809</v>
      </c>
      <c r="QZM97" s="1392" t="s">
        <v>809</v>
      </c>
      <c r="QZN97" s="1392" t="s">
        <v>809</v>
      </c>
      <c r="QZO97" s="1392" t="s">
        <v>809</v>
      </c>
      <c r="QZP97" s="1392" t="s">
        <v>809</v>
      </c>
      <c r="QZQ97" s="1392" t="s">
        <v>809</v>
      </c>
      <c r="QZR97" s="1392" t="s">
        <v>809</v>
      </c>
      <c r="QZS97" s="1392" t="s">
        <v>809</v>
      </c>
      <c r="QZT97" s="1392" t="s">
        <v>809</v>
      </c>
      <c r="QZU97" s="1392" t="s">
        <v>809</v>
      </c>
      <c r="QZV97" s="1392" t="s">
        <v>809</v>
      </c>
      <c r="QZW97" s="1392" t="s">
        <v>809</v>
      </c>
      <c r="QZX97" s="1392" t="s">
        <v>809</v>
      </c>
      <c r="QZY97" s="1392" t="s">
        <v>809</v>
      </c>
      <c r="QZZ97" s="1392" t="s">
        <v>809</v>
      </c>
      <c r="RAA97" s="1392" t="s">
        <v>809</v>
      </c>
      <c r="RAB97" s="1392" t="s">
        <v>809</v>
      </c>
      <c r="RAC97" s="1392" t="s">
        <v>809</v>
      </c>
      <c r="RAD97" s="1392" t="s">
        <v>809</v>
      </c>
      <c r="RAE97" s="1392" t="s">
        <v>809</v>
      </c>
      <c r="RAF97" s="1392" t="s">
        <v>809</v>
      </c>
      <c r="RAG97" s="1392" t="s">
        <v>809</v>
      </c>
      <c r="RAH97" s="1392" t="s">
        <v>809</v>
      </c>
      <c r="RAI97" s="1392" t="s">
        <v>809</v>
      </c>
      <c r="RAJ97" s="1392" t="s">
        <v>809</v>
      </c>
      <c r="RAK97" s="1392" t="s">
        <v>809</v>
      </c>
      <c r="RAL97" s="1392" t="s">
        <v>809</v>
      </c>
      <c r="RAM97" s="1392" t="s">
        <v>809</v>
      </c>
      <c r="RAN97" s="1392" t="s">
        <v>809</v>
      </c>
      <c r="RAO97" s="1392" t="s">
        <v>809</v>
      </c>
      <c r="RAP97" s="1392" t="s">
        <v>809</v>
      </c>
      <c r="RAQ97" s="1392" t="s">
        <v>809</v>
      </c>
      <c r="RAR97" s="1392" t="s">
        <v>809</v>
      </c>
      <c r="RAS97" s="1392" t="s">
        <v>809</v>
      </c>
      <c r="RAT97" s="1392" t="s">
        <v>809</v>
      </c>
      <c r="RAU97" s="1392" t="s">
        <v>809</v>
      </c>
      <c r="RAV97" s="1392" t="s">
        <v>809</v>
      </c>
      <c r="RAW97" s="1392" t="s">
        <v>809</v>
      </c>
      <c r="RAX97" s="1392" t="s">
        <v>809</v>
      </c>
      <c r="RAY97" s="1392" t="s">
        <v>809</v>
      </c>
      <c r="RAZ97" s="1392" t="s">
        <v>809</v>
      </c>
      <c r="RBA97" s="1392" t="s">
        <v>809</v>
      </c>
      <c r="RBB97" s="1392" t="s">
        <v>809</v>
      </c>
      <c r="RBC97" s="1392" t="s">
        <v>809</v>
      </c>
      <c r="RBD97" s="1392" t="s">
        <v>809</v>
      </c>
      <c r="RBE97" s="1392" t="s">
        <v>809</v>
      </c>
      <c r="RBF97" s="1392" t="s">
        <v>809</v>
      </c>
      <c r="RBG97" s="1392" t="s">
        <v>809</v>
      </c>
      <c r="RBH97" s="1392" t="s">
        <v>809</v>
      </c>
      <c r="RBI97" s="1392" t="s">
        <v>809</v>
      </c>
      <c r="RBJ97" s="1392" t="s">
        <v>809</v>
      </c>
      <c r="RBK97" s="1392" t="s">
        <v>809</v>
      </c>
      <c r="RBL97" s="1392" t="s">
        <v>809</v>
      </c>
      <c r="RBM97" s="1392" t="s">
        <v>809</v>
      </c>
      <c r="RBN97" s="1392" t="s">
        <v>809</v>
      </c>
      <c r="RBO97" s="1392" t="s">
        <v>809</v>
      </c>
      <c r="RBP97" s="1392" t="s">
        <v>809</v>
      </c>
      <c r="RBQ97" s="1392" t="s">
        <v>809</v>
      </c>
      <c r="RBR97" s="1392" t="s">
        <v>809</v>
      </c>
      <c r="RBS97" s="1392" t="s">
        <v>809</v>
      </c>
      <c r="RBT97" s="1392" t="s">
        <v>809</v>
      </c>
      <c r="RBU97" s="1392" t="s">
        <v>809</v>
      </c>
      <c r="RBV97" s="1392" t="s">
        <v>809</v>
      </c>
      <c r="RBW97" s="1392" t="s">
        <v>809</v>
      </c>
      <c r="RBX97" s="1392" t="s">
        <v>809</v>
      </c>
      <c r="RBY97" s="1392" t="s">
        <v>809</v>
      </c>
      <c r="RBZ97" s="1392" t="s">
        <v>809</v>
      </c>
      <c r="RCA97" s="1392" t="s">
        <v>809</v>
      </c>
      <c r="RCB97" s="1392" t="s">
        <v>809</v>
      </c>
      <c r="RCC97" s="1392" t="s">
        <v>809</v>
      </c>
      <c r="RCD97" s="1392" t="s">
        <v>809</v>
      </c>
      <c r="RCE97" s="1392" t="s">
        <v>809</v>
      </c>
      <c r="RCF97" s="1392" t="s">
        <v>809</v>
      </c>
      <c r="RCG97" s="1392" t="s">
        <v>809</v>
      </c>
      <c r="RCH97" s="1392" t="s">
        <v>809</v>
      </c>
      <c r="RCI97" s="1392" t="s">
        <v>809</v>
      </c>
      <c r="RCJ97" s="1392" t="s">
        <v>809</v>
      </c>
      <c r="RCK97" s="1392" t="s">
        <v>809</v>
      </c>
      <c r="RCL97" s="1392" t="s">
        <v>809</v>
      </c>
      <c r="RCM97" s="1392" t="s">
        <v>809</v>
      </c>
      <c r="RCN97" s="1392" t="s">
        <v>809</v>
      </c>
      <c r="RCO97" s="1392" t="s">
        <v>809</v>
      </c>
      <c r="RCP97" s="1392" t="s">
        <v>809</v>
      </c>
      <c r="RCQ97" s="1392" t="s">
        <v>809</v>
      </c>
      <c r="RCR97" s="1392" t="s">
        <v>809</v>
      </c>
      <c r="RCS97" s="1392" t="s">
        <v>809</v>
      </c>
      <c r="RCT97" s="1392" t="s">
        <v>809</v>
      </c>
      <c r="RCU97" s="1392" t="s">
        <v>809</v>
      </c>
      <c r="RCV97" s="1392" t="s">
        <v>809</v>
      </c>
      <c r="RCW97" s="1392" t="s">
        <v>809</v>
      </c>
      <c r="RCX97" s="1392" t="s">
        <v>809</v>
      </c>
      <c r="RCY97" s="1392" t="s">
        <v>809</v>
      </c>
      <c r="RCZ97" s="1392" t="s">
        <v>809</v>
      </c>
      <c r="RDA97" s="1392" t="s">
        <v>809</v>
      </c>
      <c r="RDB97" s="1392" t="s">
        <v>809</v>
      </c>
      <c r="RDC97" s="1392" t="s">
        <v>809</v>
      </c>
      <c r="RDD97" s="1392" t="s">
        <v>809</v>
      </c>
      <c r="RDE97" s="1392" t="s">
        <v>809</v>
      </c>
      <c r="RDF97" s="1392" t="s">
        <v>809</v>
      </c>
      <c r="RDG97" s="1392" t="s">
        <v>809</v>
      </c>
      <c r="RDH97" s="1392" t="s">
        <v>809</v>
      </c>
      <c r="RDI97" s="1392" t="s">
        <v>809</v>
      </c>
      <c r="RDJ97" s="1392" t="s">
        <v>809</v>
      </c>
      <c r="RDK97" s="1392" t="s">
        <v>809</v>
      </c>
      <c r="RDL97" s="1392" t="s">
        <v>809</v>
      </c>
      <c r="RDM97" s="1392" t="s">
        <v>809</v>
      </c>
      <c r="RDN97" s="1392" t="s">
        <v>809</v>
      </c>
      <c r="RDO97" s="1392" t="s">
        <v>809</v>
      </c>
      <c r="RDP97" s="1392" t="s">
        <v>809</v>
      </c>
      <c r="RDQ97" s="1392" t="s">
        <v>809</v>
      </c>
      <c r="RDR97" s="1392" t="s">
        <v>809</v>
      </c>
      <c r="RDS97" s="1392" t="s">
        <v>809</v>
      </c>
      <c r="RDT97" s="1392" t="s">
        <v>809</v>
      </c>
      <c r="RDU97" s="1392" t="s">
        <v>809</v>
      </c>
      <c r="RDV97" s="1392" t="s">
        <v>809</v>
      </c>
      <c r="RDW97" s="1392" t="s">
        <v>809</v>
      </c>
      <c r="RDX97" s="1392" t="s">
        <v>809</v>
      </c>
      <c r="RDY97" s="1392" t="s">
        <v>809</v>
      </c>
      <c r="RDZ97" s="1392" t="s">
        <v>809</v>
      </c>
      <c r="REA97" s="1392" t="s">
        <v>809</v>
      </c>
      <c r="REB97" s="1392" t="s">
        <v>809</v>
      </c>
      <c r="REC97" s="1392" t="s">
        <v>809</v>
      </c>
      <c r="RED97" s="1392" t="s">
        <v>809</v>
      </c>
      <c r="REE97" s="1392" t="s">
        <v>809</v>
      </c>
      <c r="REF97" s="1392" t="s">
        <v>809</v>
      </c>
      <c r="REG97" s="1392" t="s">
        <v>809</v>
      </c>
      <c r="REH97" s="1392" t="s">
        <v>809</v>
      </c>
      <c r="REI97" s="1392" t="s">
        <v>809</v>
      </c>
      <c r="REJ97" s="1392" t="s">
        <v>809</v>
      </c>
      <c r="REK97" s="1392" t="s">
        <v>809</v>
      </c>
      <c r="REL97" s="1392" t="s">
        <v>809</v>
      </c>
      <c r="REM97" s="1392" t="s">
        <v>809</v>
      </c>
      <c r="REN97" s="1392" t="s">
        <v>809</v>
      </c>
      <c r="REO97" s="1392" t="s">
        <v>809</v>
      </c>
      <c r="REP97" s="1392" t="s">
        <v>809</v>
      </c>
      <c r="REQ97" s="1392" t="s">
        <v>809</v>
      </c>
      <c r="RER97" s="1392" t="s">
        <v>809</v>
      </c>
      <c r="RES97" s="1392" t="s">
        <v>809</v>
      </c>
      <c r="RET97" s="1392" t="s">
        <v>809</v>
      </c>
      <c r="REU97" s="1392" t="s">
        <v>809</v>
      </c>
      <c r="REV97" s="1392" t="s">
        <v>809</v>
      </c>
      <c r="REW97" s="1392" t="s">
        <v>809</v>
      </c>
      <c r="REX97" s="1392" t="s">
        <v>809</v>
      </c>
      <c r="REY97" s="1392" t="s">
        <v>809</v>
      </c>
      <c r="REZ97" s="1392" t="s">
        <v>809</v>
      </c>
      <c r="RFA97" s="1392" t="s">
        <v>809</v>
      </c>
      <c r="RFB97" s="1392" t="s">
        <v>809</v>
      </c>
      <c r="RFC97" s="1392" t="s">
        <v>809</v>
      </c>
      <c r="RFD97" s="1392" t="s">
        <v>809</v>
      </c>
      <c r="RFE97" s="1392" t="s">
        <v>809</v>
      </c>
      <c r="RFF97" s="1392" t="s">
        <v>809</v>
      </c>
      <c r="RFG97" s="1392" t="s">
        <v>809</v>
      </c>
      <c r="RFH97" s="1392" t="s">
        <v>809</v>
      </c>
      <c r="RFI97" s="1392" t="s">
        <v>809</v>
      </c>
      <c r="RFJ97" s="1392" t="s">
        <v>809</v>
      </c>
      <c r="RFK97" s="1392" t="s">
        <v>809</v>
      </c>
      <c r="RFL97" s="1392" t="s">
        <v>809</v>
      </c>
      <c r="RFM97" s="1392" t="s">
        <v>809</v>
      </c>
      <c r="RFN97" s="1392" t="s">
        <v>809</v>
      </c>
      <c r="RFO97" s="1392" t="s">
        <v>809</v>
      </c>
      <c r="RFP97" s="1392" t="s">
        <v>809</v>
      </c>
      <c r="RFQ97" s="1392" t="s">
        <v>809</v>
      </c>
      <c r="RFR97" s="1392" t="s">
        <v>809</v>
      </c>
      <c r="RFS97" s="1392" t="s">
        <v>809</v>
      </c>
      <c r="RFT97" s="1392" t="s">
        <v>809</v>
      </c>
      <c r="RFU97" s="1392" t="s">
        <v>809</v>
      </c>
      <c r="RFV97" s="1392" t="s">
        <v>809</v>
      </c>
      <c r="RFW97" s="1392" t="s">
        <v>809</v>
      </c>
      <c r="RFX97" s="1392" t="s">
        <v>809</v>
      </c>
      <c r="RFY97" s="1392" t="s">
        <v>809</v>
      </c>
      <c r="RFZ97" s="1392" t="s">
        <v>809</v>
      </c>
      <c r="RGA97" s="1392" t="s">
        <v>809</v>
      </c>
      <c r="RGB97" s="1392" t="s">
        <v>809</v>
      </c>
      <c r="RGC97" s="1392" t="s">
        <v>809</v>
      </c>
      <c r="RGD97" s="1392" t="s">
        <v>809</v>
      </c>
      <c r="RGE97" s="1392" t="s">
        <v>809</v>
      </c>
      <c r="RGF97" s="1392" t="s">
        <v>809</v>
      </c>
      <c r="RGG97" s="1392" t="s">
        <v>809</v>
      </c>
      <c r="RGH97" s="1392" t="s">
        <v>809</v>
      </c>
      <c r="RGI97" s="1392" t="s">
        <v>809</v>
      </c>
      <c r="RGJ97" s="1392" t="s">
        <v>809</v>
      </c>
      <c r="RGK97" s="1392" t="s">
        <v>809</v>
      </c>
      <c r="RGL97" s="1392" t="s">
        <v>809</v>
      </c>
      <c r="RGM97" s="1392" t="s">
        <v>809</v>
      </c>
      <c r="RGN97" s="1392" t="s">
        <v>809</v>
      </c>
      <c r="RGO97" s="1392" t="s">
        <v>809</v>
      </c>
      <c r="RGP97" s="1392" t="s">
        <v>809</v>
      </c>
      <c r="RGQ97" s="1392" t="s">
        <v>809</v>
      </c>
      <c r="RGR97" s="1392" t="s">
        <v>809</v>
      </c>
      <c r="RGS97" s="1392" t="s">
        <v>809</v>
      </c>
      <c r="RGT97" s="1392" t="s">
        <v>809</v>
      </c>
      <c r="RGU97" s="1392" t="s">
        <v>809</v>
      </c>
      <c r="RGV97" s="1392" t="s">
        <v>809</v>
      </c>
      <c r="RGW97" s="1392" t="s">
        <v>809</v>
      </c>
      <c r="RGX97" s="1392" t="s">
        <v>809</v>
      </c>
      <c r="RGY97" s="1392" t="s">
        <v>809</v>
      </c>
      <c r="RGZ97" s="1392" t="s">
        <v>809</v>
      </c>
      <c r="RHA97" s="1392" t="s">
        <v>809</v>
      </c>
      <c r="RHB97" s="1392" t="s">
        <v>809</v>
      </c>
      <c r="RHC97" s="1392" t="s">
        <v>809</v>
      </c>
      <c r="RHD97" s="1392" t="s">
        <v>809</v>
      </c>
      <c r="RHE97" s="1392" t="s">
        <v>809</v>
      </c>
      <c r="RHF97" s="1392" t="s">
        <v>809</v>
      </c>
      <c r="RHG97" s="1392" t="s">
        <v>809</v>
      </c>
      <c r="RHH97" s="1392" t="s">
        <v>809</v>
      </c>
      <c r="RHI97" s="1392" t="s">
        <v>809</v>
      </c>
      <c r="RHJ97" s="1392" t="s">
        <v>809</v>
      </c>
      <c r="RHK97" s="1392" t="s">
        <v>809</v>
      </c>
      <c r="RHL97" s="1392" t="s">
        <v>809</v>
      </c>
      <c r="RHM97" s="1392" t="s">
        <v>809</v>
      </c>
      <c r="RHN97" s="1392" t="s">
        <v>809</v>
      </c>
      <c r="RHO97" s="1392" t="s">
        <v>809</v>
      </c>
      <c r="RHP97" s="1392" t="s">
        <v>809</v>
      </c>
      <c r="RHQ97" s="1392" t="s">
        <v>809</v>
      </c>
      <c r="RHR97" s="1392" t="s">
        <v>809</v>
      </c>
      <c r="RHS97" s="1392" t="s">
        <v>809</v>
      </c>
      <c r="RHT97" s="1392" t="s">
        <v>809</v>
      </c>
      <c r="RHU97" s="1392" t="s">
        <v>809</v>
      </c>
      <c r="RHV97" s="1392" t="s">
        <v>809</v>
      </c>
      <c r="RHW97" s="1392" t="s">
        <v>809</v>
      </c>
      <c r="RHX97" s="1392" t="s">
        <v>809</v>
      </c>
      <c r="RHY97" s="1392" t="s">
        <v>809</v>
      </c>
      <c r="RHZ97" s="1392" t="s">
        <v>809</v>
      </c>
      <c r="RIA97" s="1392" t="s">
        <v>809</v>
      </c>
      <c r="RIB97" s="1392" t="s">
        <v>809</v>
      </c>
      <c r="RIC97" s="1392" t="s">
        <v>809</v>
      </c>
      <c r="RID97" s="1392" t="s">
        <v>809</v>
      </c>
      <c r="RIE97" s="1392" t="s">
        <v>809</v>
      </c>
      <c r="RIF97" s="1392" t="s">
        <v>809</v>
      </c>
      <c r="RIG97" s="1392" t="s">
        <v>809</v>
      </c>
      <c r="RIH97" s="1392" t="s">
        <v>809</v>
      </c>
      <c r="RII97" s="1392" t="s">
        <v>809</v>
      </c>
      <c r="RIJ97" s="1392" t="s">
        <v>809</v>
      </c>
      <c r="RIK97" s="1392" t="s">
        <v>809</v>
      </c>
      <c r="RIL97" s="1392" t="s">
        <v>809</v>
      </c>
      <c r="RIM97" s="1392" t="s">
        <v>809</v>
      </c>
      <c r="RIN97" s="1392" t="s">
        <v>809</v>
      </c>
      <c r="RIO97" s="1392" t="s">
        <v>809</v>
      </c>
      <c r="RIP97" s="1392" t="s">
        <v>809</v>
      </c>
      <c r="RIQ97" s="1392" t="s">
        <v>809</v>
      </c>
      <c r="RIR97" s="1392" t="s">
        <v>809</v>
      </c>
      <c r="RIS97" s="1392" t="s">
        <v>809</v>
      </c>
      <c r="RIT97" s="1392" t="s">
        <v>809</v>
      </c>
      <c r="RIU97" s="1392" t="s">
        <v>809</v>
      </c>
      <c r="RIV97" s="1392" t="s">
        <v>809</v>
      </c>
      <c r="RIW97" s="1392" t="s">
        <v>809</v>
      </c>
      <c r="RIX97" s="1392" t="s">
        <v>809</v>
      </c>
      <c r="RIY97" s="1392" t="s">
        <v>809</v>
      </c>
      <c r="RIZ97" s="1392" t="s">
        <v>809</v>
      </c>
      <c r="RJA97" s="1392" t="s">
        <v>809</v>
      </c>
      <c r="RJB97" s="1392" t="s">
        <v>809</v>
      </c>
      <c r="RJC97" s="1392" t="s">
        <v>809</v>
      </c>
      <c r="RJD97" s="1392" t="s">
        <v>809</v>
      </c>
      <c r="RJE97" s="1392" t="s">
        <v>809</v>
      </c>
      <c r="RJF97" s="1392" t="s">
        <v>809</v>
      </c>
      <c r="RJG97" s="1392" t="s">
        <v>809</v>
      </c>
      <c r="RJH97" s="1392" t="s">
        <v>809</v>
      </c>
      <c r="RJI97" s="1392" t="s">
        <v>809</v>
      </c>
      <c r="RJJ97" s="1392" t="s">
        <v>809</v>
      </c>
      <c r="RJK97" s="1392" t="s">
        <v>809</v>
      </c>
      <c r="RJL97" s="1392" t="s">
        <v>809</v>
      </c>
      <c r="RJM97" s="1392" t="s">
        <v>809</v>
      </c>
      <c r="RJN97" s="1392" t="s">
        <v>809</v>
      </c>
      <c r="RJO97" s="1392" t="s">
        <v>809</v>
      </c>
      <c r="RJP97" s="1392" t="s">
        <v>809</v>
      </c>
      <c r="RJQ97" s="1392" t="s">
        <v>809</v>
      </c>
      <c r="RJR97" s="1392" t="s">
        <v>809</v>
      </c>
      <c r="RJS97" s="1392" t="s">
        <v>809</v>
      </c>
      <c r="RJT97" s="1392" t="s">
        <v>809</v>
      </c>
      <c r="RJU97" s="1392" t="s">
        <v>809</v>
      </c>
      <c r="RJV97" s="1392" t="s">
        <v>809</v>
      </c>
      <c r="RJW97" s="1392" t="s">
        <v>809</v>
      </c>
      <c r="RJX97" s="1392" t="s">
        <v>809</v>
      </c>
      <c r="RJY97" s="1392" t="s">
        <v>809</v>
      </c>
      <c r="RJZ97" s="1392" t="s">
        <v>809</v>
      </c>
      <c r="RKA97" s="1392" t="s">
        <v>809</v>
      </c>
      <c r="RKB97" s="1392" t="s">
        <v>809</v>
      </c>
      <c r="RKC97" s="1392" t="s">
        <v>809</v>
      </c>
      <c r="RKD97" s="1392" t="s">
        <v>809</v>
      </c>
      <c r="RKE97" s="1392" t="s">
        <v>809</v>
      </c>
      <c r="RKF97" s="1392" t="s">
        <v>809</v>
      </c>
      <c r="RKG97" s="1392" t="s">
        <v>809</v>
      </c>
      <c r="RKH97" s="1392" t="s">
        <v>809</v>
      </c>
      <c r="RKI97" s="1392" t="s">
        <v>809</v>
      </c>
      <c r="RKJ97" s="1392" t="s">
        <v>809</v>
      </c>
      <c r="RKK97" s="1392" t="s">
        <v>809</v>
      </c>
      <c r="RKL97" s="1392" t="s">
        <v>809</v>
      </c>
      <c r="RKM97" s="1392" t="s">
        <v>809</v>
      </c>
      <c r="RKN97" s="1392" t="s">
        <v>809</v>
      </c>
      <c r="RKO97" s="1392" t="s">
        <v>809</v>
      </c>
      <c r="RKP97" s="1392" t="s">
        <v>809</v>
      </c>
      <c r="RKQ97" s="1392" t="s">
        <v>809</v>
      </c>
      <c r="RKR97" s="1392" t="s">
        <v>809</v>
      </c>
      <c r="RKS97" s="1392" t="s">
        <v>809</v>
      </c>
      <c r="RKT97" s="1392" t="s">
        <v>809</v>
      </c>
      <c r="RKU97" s="1392" t="s">
        <v>809</v>
      </c>
      <c r="RKV97" s="1392" t="s">
        <v>809</v>
      </c>
      <c r="RKW97" s="1392" t="s">
        <v>809</v>
      </c>
      <c r="RKX97" s="1392" t="s">
        <v>809</v>
      </c>
      <c r="RKY97" s="1392" t="s">
        <v>809</v>
      </c>
      <c r="RKZ97" s="1392" t="s">
        <v>809</v>
      </c>
      <c r="RLA97" s="1392" t="s">
        <v>809</v>
      </c>
      <c r="RLB97" s="1392" t="s">
        <v>809</v>
      </c>
      <c r="RLC97" s="1392" t="s">
        <v>809</v>
      </c>
      <c r="RLD97" s="1392" t="s">
        <v>809</v>
      </c>
      <c r="RLE97" s="1392" t="s">
        <v>809</v>
      </c>
      <c r="RLF97" s="1392" t="s">
        <v>809</v>
      </c>
      <c r="RLG97" s="1392" t="s">
        <v>809</v>
      </c>
      <c r="RLH97" s="1392" t="s">
        <v>809</v>
      </c>
      <c r="RLI97" s="1392" t="s">
        <v>809</v>
      </c>
      <c r="RLJ97" s="1392" t="s">
        <v>809</v>
      </c>
      <c r="RLK97" s="1392" t="s">
        <v>809</v>
      </c>
      <c r="RLL97" s="1392" t="s">
        <v>809</v>
      </c>
      <c r="RLM97" s="1392" t="s">
        <v>809</v>
      </c>
      <c r="RLN97" s="1392" t="s">
        <v>809</v>
      </c>
      <c r="RLO97" s="1392" t="s">
        <v>809</v>
      </c>
      <c r="RLP97" s="1392" t="s">
        <v>809</v>
      </c>
      <c r="RLQ97" s="1392" t="s">
        <v>809</v>
      </c>
      <c r="RLR97" s="1392" t="s">
        <v>809</v>
      </c>
      <c r="RLS97" s="1392" t="s">
        <v>809</v>
      </c>
      <c r="RLT97" s="1392" t="s">
        <v>809</v>
      </c>
      <c r="RLU97" s="1392" t="s">
        <v>809</v>
      </c>
      <c r="RLV97" s="1392" t="s">
        <v>809</v>
      </c>
      <c r="RLW97" s="1392" t="s">
        <v>809</v>
      </c>
      <c r="RLX97" s="1392" t="s">
        <v>809</v>
      </c>
      <c r="RLY97" s="1392" t="s">
        <v>809</v>
      </c>
      <c r="RLZ97" s="1392" t="s">
        <v>809</v>
      </c>
      <c r="RMA97" s="1392" t="s">
        <v>809</v>
      </c>
      <c r="RMB97" s="1392" t="s">
        <v>809</v>
      </c>
      <c r="RMC97" s="1392" t="s">
        <v>809</v>
      </c>
      <c r="RMD97" s="1392" t="s">
        <v>809</v>
      </c>
      <c r="RME97" s="1392" t="s">
        <v>809</v>
      </c>
      <c r="RMF97" s="1392" t="s">
        <v>809</v>
      </c>
      <c r="RMG97" s="1392" t="s">
        <v>809</v>
      </c>
      <c r="RMH97" s="1392" t="s">
        <v>809</v>
      </c>
      <c r="RMI97" s="1392" t="s">
        <v>809</v>
      </c>
      <c r="RMJ97" s="1392" t="s">
        <v>809</v>
      </c>
      <c r="RMK97" s="1392" t="s">
        <v>809</v>
      </c>
      <c r="RML97" s="1392" t="s">
        <v>809</v>
      </c>
      <c r="RMM97" s="1392" t="s">
        <v>809</v>
      </c>
      <c r="RMN97" s="1392" t="s">
        <v>809</v>
      </c>
      <c r="RMO97" s="1392" t="s">
        <v>809</v>
      </c>
      <c r="RMP97" s="1392" t="s">
        <v>809</v>
      </c>
      <c r="RMQ97" s="1392" t="s">
        <v>809</v>
      </c>
      <c r="RMR97" s="1392" t="s">
        <v>809</v>
      </c>
      <c r="RMS97" s="1392" t="s">
        <v>809</v>
      </c>
      <c r="RMT97" s="1392" t="s">
        <v>809</v>
      </c>
      <c r="RMU97" s="1392" t="s">
        <v>809</v>
      </c>
      <c r="RMV97" s="1392" t="s">
        <v>809</v>
      </c>
      <c r="RMW97" s="1392" t="s">
        <v>809</v>
      </c>
      <c r="RMX97" s="1392" t="s">
        <v>809</v>
      </c>
      <c r="RMY97" s="1392" t="s">
        <v>809</v>
      </c>
      <c r="RMZ97" s="1392" t="s">
        <v>809</v>
      </c>
      <c r="RNA97" s="1392" t="s">
        <v>809</v>
      </c>
      <c r="RNB97" s="1392" t="s">
        <v>809</v>
      </c>
      <c r="RNC97" s="1392" t="s">
        <v>809</v>
      </c>
      <c r="RND97" s="1392" t="s">
        <v>809</v>
      </c>
      <c r="RNE97" s="1392" t="s">
        <v>809</v>
      </c>
      <c r="RNF97" s="1392" t="s">
        <v>809</v>
      </c>
      <c r="RNG97" s="1392" t="s">
        <v>809</v>
      </c>
      <c r="RNH97" s="1392" t="s">
        <v>809</v>
      </c>
      <c r="RNI97" s="1392" t="s">
        <v>809</v>
      </c>
      <c r="RNJ97" s="1392" t="s">
        <v>809</v>
      </c>
      <c r="RNK97" s="1392" t="s">
        <v>809</v>
      </c>
      <c r="RNL97" s="1392" t="s">
        <v>809</v>
      </c>
      <c r="RNM97" s="1392" t="s">
        <v>809</v>
      </c>
      <c r="RNN97" s="1392" t="s">
        <v>809</v>
      </c>
      <c r="RNO97" s="1392" t="s">
        <v>809</v>
      </c>
      <c r="RNP97" s="1392" t="s">
        <v>809</v>
      </c>
      <c r="RNQ97" s="1392" t="s">
        <v>809</v>
      </c>
      <c r="RNR97" s="1392" t="s">
        <v>809</v>
      </c>
      <c r="RNS97" s="1392" t="s">
        <v>809</v>
      </c>
      <c r="RNT97" s="1392" t="s">
        <v>809</v>
      </c>
      <c r="RNU97" s="1392" t="s">
        <v>809</v>
      </c>
      <c r="RNV97" s="1392" t="s">
        <v>809</v>
      </c>
      <c r="RNW97" s="1392" t="s">
        <v>809</v>
      </c>
      <c r="RNX97" s="1392" t="s">
        <v>809</v>
      </c>
      <c r="RNY97" s="1392" t="s">
        <v>809</v>
      </c>
      <c r="RNZ97" s="1392" t="s">
        <v>809</v>
      </c>
      <c r="ROA97" s="1392" t="s">
        <v>809</v>
      </c>
      <c r="ROB97" s="1392" t="s">
        <v>809</v>
      </c>
      <c r="ROC97" s="1392" t="s">
        <v>809</v>
      </c>
      <c r="ROD97" s="1392" t="s">
        <v>809</v>
      </c>
      <c r="ROE97" s="1392" t="s">
        <v>809</v>
      </c>
      <c r="ROF97" s="1392" t="s">
        <v>809</v>
      </c>
      <c r="ROG97" s="1392" t="s">
        <v>809</v>
      </c>
      <c r="ROH97" s="1392" t="s">
        <v>809</v>
      </c>
      <c r="ROI97" s="1392" t="s">
        <v>809</v>
      </c>
      <c r="ROJ97" s="1392" t="s">
        <v>809</v>
      </c>
      <c r="ROK97" s="1392" t="s">
        <v>809</v>
      </c>
      <c r="ROL97" s="1392" t="s">
        <v>809</v>
      </c>
      <c r="ROM97" s="1392" t="s">
        <v>809</v>
      </c>
      <c r="RON97" s="1392" t="s">
        <v>809</v>
      </c>
      <c r="ROO97" s="1392" t="s">
        <v>809</v>
      </c>
      <c r="ROP97" s="1392" t="s">
        <v>809</v>
      </c>
      <c r="ROQ97" s="1392" t="s">
        <v>809</v>
      </c>
      <c r="ROR97" s="1392" t="s">
        <v>809</v>
      </c>
      <c r="ROS97" s="1392" t="s">
        <v>809</v>
      </c>
      <c r="ROT97" s="1392" t="s">
        <v>809</v>
      </c>
      <c r="ROU97" s="1392" t="s">
        <v>809</v>
      </c>
      <c r="ROV97" s="1392" t="s">
        <v>809</v>
      </c>
      <c r="ROW97" s="1392" t="s">
        <v>809</v>
      </c>
      <c r="ROX97" s="1392" t="s">
        <v>809</v>
      </c>
      <c r="ROY97" s="1392" t="s">
        <v>809</v>
      </c>
      <c r="ROZ97" s="1392" t="s">
        <v>809</v>
      </c>
      <c r="RPA97" s="1392" t="s">
        <v>809</v>
      </c>
      <c r="RPB97" s="1392" t="s">
        <v>809</v>
      </c>
      <c r="RPC97" s="1392" t="s">
        <v>809</v>
      </c>
      <c r="RPD97" s="1392" t="s">
        <v>809</v>
      </c>
      <c r="RPE97" s="1392" t="s">
        <v>809</v>
      </c>
      <c r="RPF97" s="1392" t="s">
        <v>809</v>
      </c>
      <c r="RPG97" s="1392" t="s">
        <v>809</v>
      </c>
      <c r="RPH97" s="1392" t="s">
        <v>809</v>
      </c>
      <c r="RPI97" s="1392" t="s">
        <v>809</v>
      </c>
      <c r="RPJ97" s="1392" t="s">
        <v>809</v>
      </c>
      <c r="RPK97" s="1392" t="s">
        <v>809</v>
      </c>
      <c r="RPL97" s="1392" t="s">
        <v>809</v>
      </c>
      <c r="RPM97" s="1392" t="s">
        <v>809</v>
      </c>
      <c r="RPN97" s="1392" t="s">
        <v>809</v>
      </c>
      <c r="RPO97" s="1392" t="s">
        <v>809</v>
      </c>
      <c r="RPP97" s="1392" t="s">
        <v>809</v>
      </c>
      <c r="RPQ97" s="1392" t="s">
        <v>809</v>
      </c>
      <c r="RPR97" s="1392" t="s">
        <v>809</v>
      </c>
      <c r="RPS97" s="1392" t="s">
        <v>809</v>
      </c>
      <c r="RPT97" s="1392" t="s">
        <v>809</v>
      </c>
      <c r="RPU97" s="1392" t="s">
        <v>809</v>
      </c>
      <c r="RPV97" s="1392" t="s">
        <v>809</v>
      </c>
      <c r="RPW97" s="1392" t="s">
        <v>809</v>
      </c>
      <c r="RPX97" s="1392" t="s">
        <v>809</v>
      </c>
      <c r="RPY97" s="1392" t="s">
        <v>809</v>
      </c>
      <c r="RPZ97" s="1392" t="s">
        <v>809</v>
      </c>
      <c r="RQA97" s="1392" t="s">
        <v>809</v>
      </c>
      <c r="RQB97" s="1392" t="s">
        <v>809</v>
      </c>
      <c r="RQC97" s="1392" t="s">
        <v>809</v>
      </c>
      <c r="RQD97" s="1392" t="s">
        <v>809</v>
      </c>
      <c r="RQE97" s="1392" t="s">
        <v>809</v>
      </c>
      <c r="RQF97" s="1392" t="s">
        <v>809</v>
      </c>
      <c r="RQG97" s="1392" t="s">
        <v>809</v>
      </c>
      <c r="RQH97" s="1392" t="s">
        <v>809</v>
      </c>
      <c r="RQI97" s="1392" t="s">
        <v>809</v>
      </c>
      <c r="RQJ97" s="1392" t="s">
        <v>809</v>
      </c>
      <c r="RQK97" s="1392" t="s">
        <v>809</v>
      </c>
      <c r="RQL97" s="1392" t="s">
        <v>809</v>
      </c>
      <c r="RQM97" s="1392" t="s">
        <v>809</v>
      </c>
      <c r="RQN97" s="1392" t="s">
        <v>809</v>
      </c>
      <c r="RQO97" s="1392" t="s">
        <v>809</v>
      </c>
      <c r="RQP97" s="1392" t="s">
        <v>809</v>
      </c>
      <c r="RQQ97" s="1392" t="s">
        <v>809</v>
      </c>
      <c r="RQR97" s="1392" t="s">
        <v>809</v>
      </c>
      <c r="RQS97" s="1392" t="s">
        <v>809</v>
      </c>
      <c r="RQT97" s="1392" t="s">
        <v>809</v>
      </c>
      <c r="RQU97" s="1392" t="s">
        <v>809</v>
      </c>
      <c r="RQV97" s="1392" t="s">
        <v>809</v>
      </c>
      <c r="RQW97" s="1392" t="s">
        <v>809</v>
      </c>
      <c r="RQX97" s="1392" t="s">
        <v>809</v>
      </c>
      <c r="RQY97" s="1392" t="s">
        <v>809</v>
      </c>
      <c r="RQZ97" s="1392" t="s">
        <v>809</v>
      </c>
      <c r="RRA97" s="1392" t="s">
        <v>809</v>
      </c>
      <c r="RRB97" s="1392" t="s">
        <v>809</v>
      </c>
      <c r="RRC97" s="1392" t="s">
        <v>809</v>
      </c>
      <c r="RRD97" s="1392" t="s">
        <v>809</v>
      </c>
      <c r="RRE97" s="1392" t="s">
        <v>809</v>
      </c>
      <c r="RRF97" s="1392" t="s">
        <v>809</v>
      </c>
      <c r="RRG97" s="1392" t="s">
        <v>809</v>
      </c>
      <c r="RRH97" s="1392" t="s">
        <v>809</v>
      </c>
      <c r="RRI97" s="1392" t="s">
        <v>809</v>
      </c>
      <c r="RRJ97" s="1392" t="s">
        <v>809</v>
      </c>
      <c r="RRK97" s="1392" t="s">
        <v>809</v>
      </c>
      <c r="RRL97" s="1392" t="s">
        <v>809</v>
      </c>
      <c r="RRM97" s="1392" t="s">
        <v>809</v>
      </c>
      <c r="RRN97" s="1392" t="s">
        <v>809</v>
      </c>
      <c r="RRO97" s="1392" t="s">
        <v>809</v>
      </c>
      <c r="RRP97" s="1392" t="s">
        <v>809</v>
      </c>
      <c r="RRQ97" s="1392" t="s">
        <v>809</v>
      </c>
      <c r="RRR97" s="1392" t="s">
        <v>809</v>
      </c>
      <c r="RRS97" s="1392" t="s">
        <v>809</v>
      </c>
      <c r="RRT97" s="1392" t="s">
        <v>809</v>
      </c>
      <c r="RRU97" s="1392" t="s">
        <v>809</v>
      </c>
      <c r="RRV97" s="1392" t="s">
        <v>809</v>
      </c>
      <c r="RRW97" s="1392" t="s">
        <v>809</v>
      </c>
      <c r="RRX97" s="1392" t="s">
        <v>809</v>
      </c>
      <c r="RRY97" s="1392" t="s">
        <v>809</v>
      </c>
      <c r="RRZ97" s="1392" t="s">
        <v>809</v>
      </c>
      <c r="RSA97" s="1392" t="s">
        <v>809</v>
      </c>
      <c r="RSB97" s="1392" t="s">
        <v>809</v>
      </c>
      <c r="RSC97" s="1392" t="s">
        <v>809</v>
      </c>
      <c r="RSD97" s="1392" t="s">
        <v>809</v>
      </c>
      <c r="RSE97" s="1392" t="s">
        <v>809</v>
      </c>
      <c r="RSF97" s="1392" t="s">
        <v>809</v>
      </c>
      <c r="RSG97" s="1392" t="s">
        <v>809</v>
      </c>
      <c r="RSH97" s="1392" t="s">
        <v>809</v>
      </c>
      <c r="RSI97" s="1392" t="s">
        <v>809</v>
      </c>
      <c r="RSJ97" s="1392" t="s">
        <v>809</v>
      </c>
      <c r="RSK97" s="1392" t="s">
        <v>809</v>
      </c>
      <c r="RSL97" s="1392" t="s">
        <v>809</v>
      </c>
      <c r="RSM97" s="1392" t="s">
        <v>809</v>
      </c>
      <c r="RSN97" s="1392" t="s">
        <v>809</v>
      </c>
      <c r="RSO97" s="1392" t="s">
        <v>809</v>
      </c>
      <c r="RSP97" s="1392" t="s">
        <v>809</v>
      </c>
      <c r="RSQ97" s="1392" t="s">
        <v>809</v>
      </c>
      <c r="RSR97" s="1392" t="s">
        <v>809</v>
      </c>
      <c r="RSS97" s="1392" t="s">
        <v>809</v>
      </c>
      <c r="RST97" s="1392" t="s">
        <v>809</v>
      </c>
      <c r="RSU97" s="1392" t="s">
        <v>809</v>
      </c>
      <c r="RSV97" s="1392" t="s">
        <v>809</v>
      </c>
      <c r="RSW97" s="1392" t="s">
        <v>809</v>
      </c>
      <c r="RSX97" s="1392" t="s">
        <v>809</v>
      </c>
      <c r="RSY97" s="1392" t="s">
        <v>809</v>
      </c>
      <c r="RSZ97" s="1392" t="s">
        <v>809</v>
      </c>
      <c r="RTA97" s="1392" t="s">
        <v>809</v>
      </c>
      <c r="RTB97" s="1392" t="s">
        <v>809</v>
      </c>
      <c r="RTC97" s="1392" t="s">
        <v>809</v>
      </c>
      <c r="RTD97" s="1392" t="s">
        <v>809</v>
      </c>
      <c r="RTE97" s="1392" t="s">
        <v>809</v>
      </c>
      <c r="RTF97" s="1392" t="s">
        <v>809</v>
      </c>
      <c r="RTG97" s="1392" t="s">
        <v>809</v>
      </c>
      <c r="RTH97" s="1392" t="s">
        <v>809</v>
      </c>
      <c r="RTI97" s="1392" t="s">
        <v>809</v>
      </c>
      <c r="RTJ97" s="1392" t="s">
        <v>809</v>
      </c>
      <c r="RTK97" s="1392" t="s">
        <v>809</v>
      </c>
      <c r="RTL97" s="1392" t="s">
        <v>809</v>
      </c>
      <c r="RTM97" s="1392" t="s">
        <v>809</v>
      </c>
      <c r="RTN97" s="1392" t="s">
        <v>809</v>
      </c>
      <c r="RTO97" s="1392" t="s">
        <v>809</v>
      </c>
      <c r="RTP97" s="1392" t="s">
        <v>809</v>
      </c>
      <c r="RTQ97" s="1392" t="s">
        <v>809</v>
      </c>
      <c r="RTR97" s="1392" t="s">
        <v>809</v>
      </c>
      <c r="RTS97" s="1392" t="s">
        <v>809</v>
      </c>
      <c r="RTT97" s="1392" t="s">
        <v>809</v>
      </c>
      <c r="RTU97" s="1392" t="s">
        <v>809</v>
      </c>
      <c r="RTV97" s="1392" t="s">
        <v>809</v>
      </c>
      <c r="RTW97" s="1392" t="s">
        <v>809</v>
      </c>
      <c r="RTX97" s="1392" t="s">
        <v>809</v>
      </c>
      <c r="RTY97" s="1392" t="s">
        <v>809</v>
      </c>
      <c r="RTZ97" s="1392" t="s">
        <v>809</v>
      </c>
      <c r="RUA97" s="1392" t="s">
        <v>809</v>
      </c>
      <c r="RUB97" s="1392" t="s">
        <v>809</v>
      </c>
      <c r="RUC97" s="1392" t="s">
        <v>809</v>
      </c>
      <c r="RUD97" s="1392" t="s">
        <v>809</v>
      </c>
      <c r="RUE97" s="1392" t="s">
        <v>809</v>
      </c>
      <c r="RUF97" s="1392" t="s">
        <v>809</v>
      </c>
      <c r="RUG97" s="1392" t="s">
        <v>809</v>
      </c>
      <c r="RUH97" s="1392" t="s">
        <v>809</v>
      </c>
      <c r="RUI97" s="1392" t="s">
        <v>809</v>
      </c>
      <c r="RUJ97" s="1392" t="s">
        <v>809</v>
      </c>
      <c r="RUK97" s="1392" t="s">
        <v>809</v>
      </c>
      <c r="RUL97" s="1392" t="s">
        <v>809</v>
      </c>
      <c r="RUM97" s="1392" t="s">
        <v>809</v>
      </c>
      <c r="RUN97" s="1392" t="s">
        <v>809</v>
      </c>
      <c r="RUO97" s="1392" t="s">
        <v>809</v>
      </c>
      <c r="RUP97" s="1392" t="s">
        <v>809</v>
      </c>
      <c r="RUQ97" s="1392" t="s">
        <v>809</v>
      </c>
      <c r="RUR97" s="1392" t="s">
        <v>809</v>
      </c>
      <c r="RUS97" s="1392" t="s">
        <v>809</v>
      </c>
      <c r="RUT97" s="1392" t="s">
        <v>809</v>
      </c>
      <c r="RUU97" s="1392" t="s">
        <v>809</v>
      </c>
      <c r="RUV97" s="1392" t="s">
        <v>809</v>
      </c>
      <c r="RUW97" s="1392" t="s">
        <v>809</v>
      </c>
      <c r="RUX97" s="1392" t="s">
        <v>809</v>
      </c>
      <c r="RUY97" s="1392" t="s">
        <v>809</v>
      </c>
      <c r="RUZ97" s="1392" t="s">
        <v>809</v>
      </c>
      <c r="RVA97" s="1392" t="s">
        <v>809</v>
      </c>
      <c r="RVB97" s="1392" t="s">
        <v>809</v>
      </c>
      <c r="RVC97" s="1392" t="s">
        <v>809</v>
      </c>
      <c r="RVD97" s="1392" t="s">
        <v>809</v>
      </c>
      <c r="RVE97" s="1392" t="s">
        <v>809</v>
      </c>
      <c r="RVF97" s="1392" t="s">
        <v>809</v>
      </c>
      <c r="RVG97" s="1392" t="s">
        <v>809</v>
      </c>
      <c r="RVH97" s="1392" t="s">
        <v>809</v>
      </c>
      <c r="RVI97" s="1392" t="s">
        <v>809</v>
      </c>
      <c r="RVJ97" s="1392" t="s">
        <v>809</v>
      </c>
      <c r="RVK97" s="1392" t="s">
        <v>809</v>
      </c>
      <c r="RVL97" s="1392" t="s">
        <v>809</v>
      </c>
      <c r="RVM97" s="1392" t="s">
        <v>809</v>
      </c>
      <c r="RVN97" s="1392" t="s">
        <v>809</v>
      </c>
      <c r="RVO97" s="1392" t="s">
        <v>809</v>
      </c>
      <c r="RVP97" s="1392" t="s">
        <v>809</v>
      </c>
      <c r="RVQ97" s="1392" t="s">
        <v>809</v>
      </c>
      <c r="RVR97" s="1392" t="s">
        <v>809</v>
      </c>
      <c r="RVS97" s="1392" t="s">
        <v>809</v>
      </c>
      <c r="RVT97" s="1392" t="s">
        <v>809</v>
      </c>
      <c r="RVU97" s="1392" t="s">
        <v>809</v>
      </c>
      <c r="RVV97" s="1392" t="s">
        <v>809</v>
      </c>
      <c r="RVW97" s="1392" t="s">
        <v>809</v>
      </c>
      <c r="RVX97" s="1392" t="s">
        <v>809</v>
      </c>
      <c r="RVY97" s="1392" t="s">
        <v>809</v>
      </c>
      <c r="RVZ97" s="1392" t="s">
        <v>809</v>
      </c>
      <c r="RWA97" s="1392" t="s">
        <v>809</v>
      </c>
      <c r="RWB97" s="1392" t="s">
        <v>809</v>
      </c>
      <c r="RWC97" s="1392" t="s">
        <v>809</v>
      </c>
      <c r="RWD97" s="1392" t="s">
        <v>809</v>
      </c>
      <c r="RWE97" s="1392" t="s">
        <v>809</v>
      </c>
      <c r="RWF97" s="1392" t="s">
        <v>809</v>
      </c>
      <c r="RWG97" s="1392" t="s">
        <v>809</v>
      </c>
      <c r="RWH97" s="1392" t="s">
        <v>809</v>
      </c>
      <c r="RWI97" s="1392" t="s">
        <v>809</v>
      </c>
      <c r="RWJ97" s="1392" t="s">
        <v>809</v>
      </c>
      <c r="RWK97" s="1392" t="s">
        <v>809</v>
      </c>
      <c r="RWL97" s="1392" t="s">
        <v>809</v>
      </c>
      <c r="RWM97" s="1392" t="s">
        <v>809</v>
      </c>
      <c r="RWN97" s="1392" t="s">
        <v>809</v>
      </c>
      <c r="RWO97" s="1392" t="s">
        <v>809</v>
      </c>
      <c r="RWP97" s="1392" t="s">
        <v>809</v>
      </c>
      <c r="RWQ97" s="1392" t="s">
        <v>809</v>
      </c>
      <c r="RWR97" s="1392" t="s">
        <v>809</v>
      </c>
      <c r="RWS97" s="1392" t="s">
        <v>809</v>
      </c>
      <c r="RWT97" s="1392" t="s">
        <v>809</v>
      </c>
      <c r="RWU97" s="1392" t="s">
        <v>809</v>
      </c>
      <c r="RWV97" s="1392" t="s">
        <v>809</v>
      </c>
      <c r="RWW97" s="1392" t="s">
        <v>809</v>
      </c>
      <c r="RWX97" s="1392" t="s">
        <v>809</v>
      </c>
      <c r="RWY97" s="1392" t="s">
        <v>809</v>
      </c>
      <c r="RWZ97" s="1392" t="s">
        <v>809</v>
      </c>
      <c r="RXA97" s="1392" t="s">
        <v>809</v>
      </c>
      <c r="RXB97" s="1392" t="s">
        <v>809</v>
      </c>
      <c r="RXC97" s="1392" t="s">
        <v>809</v>
      </c>
      <c r="RXD97" s="1392" t="s">
        <v>809</v>
      </c>
      <c r="RXE97" s="1392" t="s">
        <v>809</v>
      </c>
      <c r="RXF97" s="1392" t="s">
        <v>809</v>
      </c>
      <c r="RXG97" s="1392" t="s">
        <v>809</v>
      </c>
      <c r="RXH97" s="1392" t="s">
        <v>809</v>
      </c>
      <c r="RXI97" s="1392" t="s">
        <v>809</v>
      </c>
      <c r="RXJ97" s="1392" t="s">
        <v>809</v>
      </c>
      <c r="RXK97" s="1392" t="s">
        <v>809</v>
      </c>
      <c r="RXL97" s="1392" t="s">
        <v>809</v>
      </c>
      <c r="RXM97" s="1392" t="s">
        <v>809</v>
      </c>
      <c r="RXN97" s="1392" t="s">
        <v>809</v>
      </c>
      <c r="RXO97" s="1392" t="s">
        <v>809</v>
      </c>
      <c r="RXP97" s="1392" t="s">
        <v>809</v>
      </c>
      <c r="RXQ97" s="1392" t="s">
        <v>809</v>
      </c>
      <c r="RXR97" s="1392" t="s">
        <v>809</v>
      </c>
      <c r="RXS97" s="1392" t="s">
        <v>809</v>
      </c>
      <c r="RXT97" s="1392" t="s">
        <v>809</v>
      </c>
      <c r="RXU97" s="1392" t="s">
        <v>809</v>
      </c>
      <c r="RXV97" s="1392" t="s">
        <v>809</v>
      </c>
      <c r="RXW97" s="1392" t="s">
        <v>809</v>
      </c>
      <c r="RXX97" s="1392" t="s">
        <v>809</v>
      </c>
      <c r="RXY97" s="1392" t="s">
        <v>809</v>
      </c>
      <c r="RXZ97" s="1392" t="s">
        <v>809</v>
      </c>
      <c r="RYA97" s="1392" t="s">
        <v>809</v>
      </c>
      <c r="RYB97" s="1392" t="s">
        <v>809</v>
      </c>
      <c r="RYC97" s="1392" t="s">
        <v>809</v>
      </c>
      <c r="RYD97" s="1392" t="s">
        <v>809</v>
      </c>
      <c r="RYE97" s="1392" t="s">
        <v>809</v>
      </c>
      <c r="RYF97" s="1392" t="s">
        <v>809</v>
      </c>
      <c r="RYG97" s="1392" t="s">
        <v>809</v>
      </c>
      <c r="RYH97" s="1392" t="s">
        <v>809</v>
      </c>
      <c r="RYI97" s="1392" t="s">
        <v>809</v>
      </c>
      <c r="RYJ97" s="1392" t="s">
        <v>809</v>
      </c>
      <c r="RYK97" s="1392" t="s">
        <v>809</v>
      </c>
      <c r="RYL97" s="1392" t="s">
        <v>809</v>
      </c>
      <c r="RYM97" s="1392" t="s">
        <v>809</v>
      </c>
      <c r="RYN97" s="1392" t="s">
        <v>809</v>
      </c>
      <c r="RYO97" s="1392" t="s">
        <v>809</v>
      </c>
      <c r="RYP97" s="1392" t="s">
        <v>809</v>
      </c>
      <c r="RYQ97" s="1392" t="s">
        <v>809</v>
      </c>
      <c r="RYR97" s="1392" t="s">
        <v>809</v>
      </c>
      <c r="RYS97" s="1392" t="s">
        <v>809</v>
      </c>
      <c r="RYT97" s="1392" t="s">
        <v>809</v>
      </c>
      <c r="RYU97" s="1392" t="s">
        <v>809</v>
      </c>
      <c r="RYV97" s="1392" t="s">
        <v>809</v>
      </c>
      <c r="RYW97" s="1392" t="s">
        <v>809</v>
      </c>
      <c r="RYX97" s="1392" t="s">
        <v>809</v>
      </c>
      <c r="RYY97" s="1392" t="s">
        <v>809</v>
      </c>
      <c r="RYZ97" s="1392" t="s">
        <v>809</v>
      </c>
      <c r="RZA97" s="1392" t="s">
        <v>809</v>
      </c>
      <c r="RZB97" s="1392" t="s">
        <v>809</v>
      </c>
      <c r="RZC97" s="1392" t="s">
        <v>809</v>
      </c>
      <c r="RZD97" s="1392" t="s">
        <v>809</v>
      </c>
      <c r="RZE97" s="1392" t="s">
        <v>809</v>
      </c>
      <c r="RZF97" s="1392" t="s">
        <v>809</v>
      </c>
      <c r="RZG97" s="1392" t="s">
        <v>809</v>
      </c>
      <c r="RZH97" s="1392" t="s">
        <v>809</v>
      </c>
      <c r="RZI97" s="1392" t="s">
        <v>809</v>
      </c>
      <c r="RZJ97" s="1392" t="s">
        <v>809</v>
      </c>
      <c r="RZK97" s="1392" t="s">
        <v>809</v>
      </c>
      <c r="RZL97" s="1392" t="s">
        <v>809</v>
      </c>
      <c r="RZM97" s="1392" t="s">
        <v>809</v>
      </c>
      <c r="RZN97" s="1392" t="s">
        <v>809</v>
      </c>
      <c r="RZO97" s="1392" t="s">
        <v>809</v>
      </c>
      <c r="RZP97" s="1392" t="s">
        <v>809</v>
      </c>
      <c r="RZQ97" s="1392" t="s">
        <v>809</v>
      </c>
      <c r="RZR97" s="1392" t="s">
        <v>809</v>
      </c>
      <c r="RZS97" s="1392" t="s">
        <v>809</v>
      </c>
      <c r="RZT97" s="1392" t="s">
        <v>809</v>
      </c>
      <c r="RZU97" s="1392" t="s">
        <v>809</v>
      </c>
      <c r="RZV97" s="1392" t="s">
        <v>809</v>
      </c>
      <c r="RZW97" s="1392" t="s">
        <v>809</v>
      </c>
      <c r="RZX97" s="1392" t="s">
        <v>809</v>
      </c>
      <c r="RZY97" s="1392" t="s">
        <v>809</v>
      </c>
      <c r="RZZ97" s="1392" t="s">
        <v>809</v>
      </c>
      <c r="SAA97" s="1392" t="s">
        <v>809</v>
      </c>
      <c r="SAB97" s="1392" t="s">
        <v>809</v>
      </c>
      <c r="SAC97" s="1392" t="s">
        <v>809</v>
      </c>
      <c r="SAD97" s="1392" t="s">
        <v>809</v>
      </c>
      <c r="SAE97" s="1392" t="s">
        <v>809</v>
      </c>
      <c r="SAF97" s="1392" t="s">
        <v>809</v>
      </c>
      <c r="SAG97" s="1392" t="s">
        <v>809</v>
      </c>
      <c r="SAH97" s="1392" t="s">
        <v>809</v>
      </c>
      <c r="SAI97" s="1392" t="s">
        <v>809</v>
      </c>
      <c r="SAJ97" s="1392" t="s">
        <v>809</v>
      </c>
      <c r="SAK97" s="1392" t="s">
        <v>809</v>
      </c>
      <c r="SAL97" s="1392" t="s">
        <v>809</v>
      </c>
      <c r="SAM97" s="1392" t="s">
        <v>809</v>
      </c>
      <c r="SAN97" s="1392" t="s">
        <v>809</v>
      </c>
      <c r="SAO97" s="1392" t="s">
        <v>809</v>
      </c>
      <c r="SAP97" s="1392" t="s">
        <v>809</v>
      </c>
      <c r="SAQ97" s="1392" t="s">
        <v>809</v>
      </c>
      <c r="SAR97" s="1392" t="s">
        <v>809</v>
      </c>
      <c r="SAS97" s="1392" t="s">
        <v>809</v>
      </c>
      <c r="SAT97" s="1392" t="s">
        <v>809</v>
      </c>
      <c r="SAU97" s="1392" t="s">
        <v>809</v>
      </c>
      <c r="SAV97" s="1392" t="s">
        <v>809</v>
      </c>
      <c r="SAW97" s="1392" t="s">
        <v>809</v>
      </c>
      <c r="SAX97" s="1392" t="s">
        <v>809</v>
      </c>
      <c r="SAY97" s="1392" t="s">
        <v>809</v>
      </c>
      <c r="SAZ97" s="1392" t="s">
        <v>809</v>
      </c>
      <c r="SBA97" s="1392" t="s">
        <v>809</v>
      </c>
      <c r="SBB97" s="1392" t="s">
        <v>809</v>
      </c>
      <c r="SBC97" s="1392" t="s">
        <v>809</v>
      </c>
      <c r="SBD97" s="1392" t="s">
        <v>809</v>
      </c>
      <c r="SBE97" s="1392" t="s">
        <v>809</v>
      </c>
      <c r="SBF97" s="1392" t="s">
        <v>809</v>
      </c>
      <c r="SBG97" s="1392" t="s">
        <v>809</v>
      </c>
      <c r="SBH97" s="1392" t="s">
        <v>809</v>
      </c>
      <c r="SBI97" s="1392" t="s">
        <v>809</v>
      </c>
      <c r="SBJ97" s="1392" t="s">
        <v>809</v>
      </c>
      <c r="SBK97" s="1392" t="s">
        <v>809</v>
      </c>
      <c r="SBL97" s="1392" t="s">
        <v>809</v>
      </c>
      <c r="SBM97" s="1392" t="s">
        <v>809</v>
      </c>
      <c r="SBN97" s="1392" t="s">
        <v>809</v>
      </c>
      <c r="SBO97" s="1392" t="s">
        <v>809</v>
      </c>
      <c r="SBP97" s="1392" t="s">
        <v>809</v>
      </c>
      <c r="SBQ97" s="1392" t="s">
        <v>809</v>
      </c>
      <c r="SBR97" s="1392" t="s">
        <v>809</v>
      </c>
      <c r="SBS97" s="1392" t="s">
        <v>809</v>
      </c>
      <c r="SBT97" s="1392" t="s">
        <v>809</v>
      </c>
      <c r="SBU97" s="1392" t="s">
        <v>809</v>
      </c>
      <c r="SBV97" s="1392" t="s">
        <v>809</v>
      </c>
      <c r="SBW97" s="1392" t="s">
        <v>809</v>
      </c>
      <c r="SBX97" s="1392" t="s">
        <v>809</v>
      </c>
      <c r="SBY97" s="1392" t="s">
        <v>809</v>
      </c>
      <c r="SBZ97" s="1392" t="s">
        <v>809</v>
      </c>
      <c r="SCA97" s="1392" t="s">
        <v>809</v>
      </c>
      <c r="SCB97" s="1392" t="s">
        <v>809</v>
      </c>
      <c r="SCC97" s="1392" t="s">
        <v>809</v>
      </c>
      <c r="SCD97" s="1392" t="s">
        <v>809</v>
      </c>
      <c r="SCE97" s="1392" t="s">
        <v>809</v>
      </c>
      <c r="SCF97" s="1392" t="s">
        <v>809</v>
      </c>
      <c r="SCG97" s="1392" t="s">
        <v>809</v>
      </c>
      <c r="SCH97" s="1392" t="s">
        <v>809</v>
      </c>
      <c r="SCI97" s="1392" t="s">
        <v>809</v>
      </c>
      <c r="SCJ97" s="1392" t="s">
        <v>809</v>
      </c>
      <c r="SCK97" s="1392" t="s">
        <v>809</v>
      </c>
      <c r="SCL97" s="1392" t="s">
        <v>809</v>
      </c>
      <c r="SCM97" s="1392" t="s">
        <v>809</v>
      </c>
      <c r="SCN97" s="1392" t="s">
        <v>809</v>
      </c>
      <c r="SCO97" s="1392" t="s">
        <v>809</v>
      </c>
      <c r="SCP97" s="1392" t="s">
        <v>809</v>
      </c>
      <c r="SCQ97" s="1392" t="s">
        <v>809</v>
      </c>
      <c r="SCR97" s="1392" t="s">
        <v>809</v>
      </c>
      <c r="SCS97" s="1392" t="s">
        <v>809</v>
      </c>
      <c r="SCT97" s="1392" t="s">
        <v>809</v>
      </c>
      <c r="SCU97" s="1392" t="s">
        <v>809</v>
      </c>
      <c r="SCV97" s="1392" t="s">
        <v>809</v>
      </c>
      <c r="SCW97" s="1392" t="s">
        <v>809</v>
      </c>
      <c r="SCX97" s="1392" t="s">
        <v>809</v>
      </c>
      <c r="SCY97" s="1392" t="s">
        <v>809</v>
      </c>
      <c r="SCZ97" s="1392" t="s">
        <v>809</v>
      </c>
      <c r="SDA97" s="1392" t="s">
        <v>809</v>
      </c>
      <c r="SDB97" s="1392" t="s">
        <v>809</v>
      </c>
      <c r="SDC97" s="1392" t="s">
        <v>809</v>
      </c>
      <c r="SDD97" s="1392" t="s">
        <v>809</v>
      </c>
      <c r="SDE97" s="1392" t="s">
        <v>809</v>
      </c>
      <c r="SDF97" s="1392" t="s">
        <v>809</v>
      </c>
      <c r="SDG97" s="1392" t="s">
        <v>809</v>
      </c>
      <c r="SDH97" s="1392" t="s">
        <v>809</v>
      </c>
      <c r="SDI97" s="1392" t="s">
        <v>809</v>
      </c>
      <c r="SDJ97" s="1392" t="s">
        <v>809</v>
      </c>
      <c r="SDK97" s="1392" t="s">
        <v>809</v>
      </c>
      <c r="SDL97" s="1392" t="s">
        <v>809</v>
      </c>
      <c r="SDM97" s="1392" t="s">
        <v>809</v>
      </c>
      <c r="SDN97" s="1392" t="s">
        <v>809</v>
      </c>
      <c r="SDO97" s="1392" t="s">
        <v>809</v>
      </c>
      <c r="SDP97" s="1392" t="s">
        <v>809</v>
      </c>
      <c r="SDQ97" s="1392" t="s">
        <v>809</v>
      </c>
      <c r="SDR97" s="1392" t="s">
        <v>809</v>
      </c>
      <c r="SDS97" s="1392" t="s">
        <v>809</v>
      </c>
      <c r="SDT97" s="1392" t="s">
        <v>809</v>
      </c>
      <c r="SDU97" s="1392" t="s">
        <v>809</v>
      </c>
      <c r="SDV97" s="1392" t="s">
        <v>809</v>
      </c>
      <c r="SDW97" s="1392" t="s">
        <v>809</v>
      </c>
      <c r="SDX97" s="1392" t="s">
        <v>809</v>
      </c>
      <c r="SDY97" s="1392" t="s">
        <v>809</v>
      </c>
      <c r="SDZ97" s="1392" t="s">
        <v>809</v>
      </c>
      <c r="SEA97" s="1392" t="s">
        <v>809</v>
      </c>
      <c r="SEB97" s="1392" t="s">
        <v>809</v>
      </c>
      <c r="SEC97" s="1392" t="s">
        <v>809</v>
      </c>
      <c r="SED97" s="1392" t="s">
        <v>809</v>
      </c>
      <c r="SEE97" s="1392" t="s">
        <v>809</v>
      </c>
      <c r="SEF97" s="1392" t="s">
        <v>809</v>
      </c>
      <c r="SEG97" s="1392" t="s">
        <v>809</v>
      </c>
      <c r="SEH97" s="1392" t="s">
        <v>809</v>
      </c>
      <c r="SEI97" s="1392" t="s">
        <v>809</v>
      </c>
      <c r="SEJ97" s="1392" t="s">
        <v>809</v>
      </c>
      <c r="SEK97" s="1392" t="s">
        <v>809</v>
      </c>
      <c r="SEL97" s="1392" t="s">
        <v>809</v>
      </c>
      <c r="SEM97" s="1392" t="s">
        <v>809</v>
      </c>
      <c r="SEN97" s="1392" t="s">
        <v>809</v>
      </c>
      <c r="SEO97" s="1392" t="s">
        <v>809</v>
      </c>
      <c r="SEP97" s="1392" t="s">
        <v>809</v>
      </c>
      <c r="SEQ97" s="1392" t="s">
        <v>809</v>
      </c>
      <c r="SER97" s="1392" t="s">
        <v>809</v>
      </c>
      <c r="SES97" s="1392" t="s">
        <v>809</v>
      </c>
      <c r="SET97" s="1392" t="s">
        <v>809</v>
      </c>
      <c r="SEU97" s="1392" t="s">
        <v>809</v>
      </c>
      <c r="SEV97" s="1392" t="s">
        <v>809</v>
      </c>
      <c r="SEW97" s="1392" t="s">
        <v>809</v>
      </c>
      <c r="SEX97" s="1392" t="s">
        <v>809</v>
      </c>
      <c r="SEY97" s="1392" t="s">
        <v>809</v>
      </c>
      <c r="SEZ97" s="1392" t="s">
        <v>809</v>
      </c>
      <c r="SFA97" s="1392" t="s">
        <v>809</v>
      </c>
      <c r="SFB97" s="1392" t="s">
        <v>809</v>
      </c>
      <c r="SFC97" s="1392" t="s">
        <v>809</v>
      </c>
      <c r="SFD97" s="1392" t="s">
        <v>809</v>
      </c>
      <c r="SFE97" s="1392" t="s">
        <v>809</v>
      </c>
      <c r="SFF97" s="1392" t="s">
        <v>809</v>
      </c>
      <c r="SFG97" s="1392" t="s">
        <v>809</v>
      </c>
      <c r="SFH97" s="1392" t="s">
        <v>809</v>
      </c>
      <c r="SFI97" s="1392" t="s">
        <v>809</v>
      </c>
      <c r="SFJ97" s="1392" t="s">
        <v>809</v>
      </c>
      <c r="SFK97" s="1392" t="s">
        <v>809</v>
      </c>
      <c r="SFL97" s="1392" t="s">
        <v>809</v>
      </c>
      <c r="SFM97" s="1392" t="s">
        <v>809</v>
      </c>
      <c r="SFN97" s="1392" t="s">
        <v>809</v>
      </c>
      <c r="SFO97" s="1392" t="s">
        <v>809</v>
      </c>
      <c r="SFP97" s="1392" t="s">
        <v>809</v>
      </c>
      <c r="SFQ97" s="1392" t="s">
        <v>809</v>
      </c>
      <c r="SFR97" s="1392" t="s">
        <v>809</v>
      </c>
      <c r="SFS97" s="1392" t="s">
        <v>809</v>
      </c>
      <c r="SFT97" s="1392" t="s">
        <v>809</v>
      </c>
      <c r="SFU97" s="1392" t="s">
        <v>809</v>
      </c>
      <c r="SFV97" s="1392" t="s">
        <v>809</v>
      </c>
      <c r="SFW97" s="1392" t="s">
        <v>809</v>
      </c>
      <c r="SFX97" s="1392" t="s">
        <v>809</v>
      </c>
      <c r="SFY97" s="1392" t="s">
        <v>809</v>
      </c>
      <c r="SFZ97" s="1392" t="s">
        <v>809</v>
      </c>
      <c r="SGA97" s="1392" t="s">
        <v>809</v>
      </c>
      <c r="SGB97" s="1392" t="s">
        <v>809</v>
      </c>
      <c r="SGC97" s="1392" t="s">
        <v>809</v>
      </c>
      <c r="SGD97" s="1392" t="s">
        <v>809</v>
      </c>
      <c r="SGE97" s="1392" t="s">
        <v>809</v>
      </c>
      <c r="SGF97" s="1392" t="s">
        <v>809</v>
      </c>
      <c r="SGG97" s="1392" t="s">
        <v>809</v>
      </c>
      <c r="SGH97" s="1392" t="s">
        <v>809</v>
      </c>
      <c r="SGI97" s="1392" t="s">
        <v>809</v>
      </c>
      <c r="SGJ97" s="1392" t="s">
        <v>809</v>
      </c>
      <c r="SGK97" s="1392" t="s">
        <v>809</v>
      </c>
      <c r="SGL97" s="1392" t="s">
        <v>809</v>
      </c>
      <c r="SGM97" s="1392" t="s">
        <v>809</v>
      </c>
      <c r="SGN97" s="1392" t="s">
        <v>809</v>
      </c>
      <c r="SGO97" s="1392" t="s">
        <v>809</v>
      </c>
      <c r="SGP97" s="1392" t="s">
        <v>809</v>
      </c>
      <c r="SGQ97" s="1392" t="s">
        <v>809</v>
      </c>
      <c r="SGR97" s="1392" t="s">
        <v>809</v>
      </c>
      <c r="SGS97" s="1392" t="s">
        <v>809</v>
      </c>
      <c r="SGT97" s="1392" t="s">
        <v>809</v>
      </c>
      <c r="SGU97" s="1392" t="s">
        <v>809</v>
      </c>
      <c r="SGV97" s="1392" t="s">
        <v>809</v>
      </c>
      <c r="SGW97" s="1392" t="s">
        <v>809</v>
      </c>
      <c r="SGX97" s="1392" t="s">
        <v>809</v>
      </c>
      <c r="SGY97" s="1392" t="s">
        <v>809</v>
      </c>
      <c r="SGZ97" s="1392" t="s">
        <v>809</v>
      </c>
      <c r="SHA97" s="1392" t="s">
        <v>809</v>
      </c>
      <c r="SHB97" s="1392" t="s">
        <v>809</v>
      </c>
      <c r="SHC97" s="1392" t="s">
        <v>809</v>
      </c>
      <c r="SHD97" s="1392" t="s">
        <v>809</v>
      </c>
      <c r="SHE97" s="1392" t="s">
        <v>809</v>
      </c>
      <c r="SHF97" s="1392" t="s">
        <v>809</v>
      </c>
      <c r="SHG97" s="1392" t="s">
        <v>809</v>
      </c>
      <c r="SHH97" s="1392" t="s">
        <v>809</v>
      </c>
      <c r="SHI97" s="1392" t="s">
        <v>809</v>
      </c>
      <c r="SHJ97" s="1392" t="s">
        <v>809</v>
      </c>
      <c r="SHK97" s="1392" t="s">
        <v>809</v>
      </c>
      <c r="SHL97" s="1392" t="s">
        <v>809</v>
      </c>
      <c r="SHM97" s="1392" t="s">
        <v>809</v>
      </c>
      <c r="SHN97" s="1392" t="s">
        <v>809</v>
      </c>
      <c r="SHO97" s="1392" t="s">
        <v>809</v>
      </c>
      <c r="SHP97" s="1392" t="s">
        <v>809</v>
      </c>
      <c r="SHQ97" s="1392" t="s">
        <v>809</v>
      </c>
      <c r="SHR97" s="1392" t="s">
        <v>809</v>
      </c>
      <c r="SHS97" s="1392" t="s">
        <v>809</v>
      </c>
      <c r="SHT97" s="1392" t="s">
        <v>809</v>
      </c>
      <c r="SHU97" s="1392" t="s">
        <v>809</v>
      </c>
      <c r="SHV97" s="1392" t="s">
        <v>809</v>
      </c>
      <c r="SHW97" s="1392" t="s">
        <v>809</v>
      </c>
      <c r="SHX97" s="1392" t="s">
        <v>809</v>
      </c>
      <c r="SHY97" s="1392" t="s">
        <v>809</v>
      </c>
      <c r="SHZ97" s="1392" t="s">
        <v>809</v>
      </c>
      <c r="SIA97" s="1392" t="s">
        <v>809</v>
      </c>
      <c r="SIB97" s="1392" t="s">
        <v>809</v>
      </c>
      <c r="SIC97" s="1392" t="s">
        <v>809</v>
      </c>
      <c r="SID97" s="1392" t="s">
        <v>809</v>
      </c>
      <c r="SIE97" s="1392" t="s">
        <v>809</v>
      </c>
      <c r="SIF97" s="1392" t="s">
        <v>809</v>
      </c>
      <c r="SIG97" s="1392" t="s">
        <v>809</v>
      </c>
      <c r="SIH97" s="1392" t="s">
        <v>809</v>
      </c>
      <c r="SII97" s="1392" t="s">
        <v>809</v>
      </c>
      <c r="SIJ97" s="1392" t="s">
        <v>809</v>
      </c>
      <c r="SIK97" s="1392" t="s">
        <v>809</v>
      </c>
      <c r="SIL97" s="1392" t="s">
        <v>809</v>
      </c>
      <c r="SIM97" s="1392" t="s">
        <v>809</v>
      </c>
      <c r="SIN97" s="1392" t="s">
        <v>809</v>
      </c>
      <c r="SIO97" s="1392" t="s">
        <v>809</v>
      </c>
      <c r="SIP97" s="1392" t="s">
        <v>809</v>
      </c>
      <c r="SIQ97" s="1392" t="s">
        <v>809</v>
      </c>
      <c r="SIR97" s="1392" t="s">
        <v>809</v>
      </c>
      <c r="SIS97" s="1392" t="s">
        <v>809</v>
      </c>
      <c r="SIT97" s="1392" t="s">
        <v>809</v>
      </c>
      <c r="SIU97" s="1392" t="s">
        <v>809</v>
      </c>
      <c r="SIV97" s="1392" t="s">
        <v>809</v>
      </c>
      <c r="SIW97" s="1392" t="s">
        <v>809</v>
      </c>
      <c r="SIX97" s="1392" t="s">
        <v>809</v>
      </c>
      <c r="SIY97" s="1392" t="s">
        <v>809</v>
      </c>
      <c r="SIZ97" s="1392" t="s">
        <v>809</v>
      </c>
      <c r="SJA97" s="1392" t="s">
        <v>809</v>
      </c>
      <c r="SJB97" s="1392" t="s">
        <v>809</v>
      </c>
      <c r="SJC97" s="1392" t="s">
        <v>809</v>
      </c>
      <c r="SJD97" s="1392" t="s">
        <v>809</v>
      </c>
      <c r="SJE97" s="1392" t="s">
        <v>809</v>
      </c>
      <c r="SJF97" s="1392" t="s">
        <v>809</v>
      </c>
      <c r="SJG97" s="1392" t="s">
        <v>809</v>
      </c>
      <c r="SJH97" s="1392" t="s">
        <v>809</v>
      </c>
      <c r="SJI97" s="1392" t="s">
        <v>809</v>
      </c>
      <c r="SJJ97" s="1392" t="s">
        <v>809</v>
      </c>
      <c r="SJK97" s="1392" t="s">
        <v>809</v>
      </c>
      <c r="SJL97" s="1392" t="s">
        <v>809</v>
      </c>
      <c r="SJM97" s="1392" t="s">
        <v>809</v>
      </c>
      <c r="SJN97" s="1392" t="s">
        <v>809</v>
      </c>
      <c r="SJO97" s="1392" t="s">
        <v>809</v>
      </c>
      <c r="SJP97" s="1392" t="s">
        <v>809</v>
      </c>
      <c r="SJQ97" s="1392" t="s">
        <v>809</v>
      </c>
      <c r="SJR97" s="1392" t="s">
        <v>809</v>
      </c>
      <c r="SJS97" s="1392" t="s">
        <v>809</v>
      </c>
      <c r="SJT97" s="1392" t="s">
        <v>809</v>
      </c>
      <c r="SJU97" s="1392" t="s">
        <v>809</v>
      </c>
      <c r="SJV97" s="1392" t="s">
        <v>809</v>
      </c>
      <c r="SJW97" s="1392" t="s">
        <v>809</v>
      </c>
      <c r="SJX97" s="1392" t="s">
        <v>809</v>
      </c>
      <c r="SJY97" s="1392" t="s">
        <v>809</v>
      </c>
      <c r="SJZ97" s="1392" t="s">
        <v>809</v>
      </c>
      <c r="SKA97" s="1392" t="s">
        <v>809</v>
      </c>
      <c r="SKB97" s="1392" t="s">
        <v>809</v>
      </c>
      <c r="SKC97" s="1392" t="s">
        <v>809</v>
      </c>
      <c r="SKD97" s="1392" t="s">
        <v>809</v>
      </c>
      <c r="SKE97" s="1392" t="s">
        <v>809</v>
      </c>
      <c r="SKF97" s="1392" t="s">
        <v>809</v>
      </c>
      <c r="SKG97" s="1392" t="s">
        <v>809</v>
      </c>
      <c r="SKH97" s="1392" t="s">
        <v>809</v>
      </c>
      <c r="SKI97" s="1392" t="s">
        <v>809</v>
      </c>
      <c r="SKJ97" s="1392" t="s">
        <v>809</v>
      </c>
      <c r="SKK97" s="1392" t="s">
        <v>809</v>
      </c>
      <c r="SKL97" s="1392" t="s">
        <v>809</v>
      </c>
      <c r="SKM97" s="1392" t="s">
        <v>809</v>
      </c>
      <c r="SKN97" s="1392" t="s">
        <v>809</v>
      </c>
      <c r="SKO97" s="1392" t="s">
        <v>809</v>
      </c>
      <c r="SKP97" s="1392" t="s">
        <v>809</v>
      </c>
      <c r="SKQ97" s="1392" t="s">
        <v>809</v>
      </c>
      <c r="SKR97" s="1392" t="s">
        <v>809</v>
      </c>
      <c r="SKS97" s="1392" t="s">
        <v>809</v>
      </c>
      <c r="SKT97" s="1392" t="s">
        <v>809</v>
      </c>
      <c r="SKU97" s="1392" t="s">
        <v>809</v>
      </c>
      <c r="SKV97" s="1392" t="s">
        <v>809</v>
      </c>
      <c r="SKW97" s="1392" t="s">
        <v>809</v>
      </c>
      <c r="SKX97" s="1392" t="s">
        <v>809</v>
      </c>
      <c r="SKY97" s="1392" t="s">
        <v>809</v>
      </c>
      <c r="SKZ97" s="1392" t="s">
        <v>809</v>
      </c>
      <c r="SLA97" s="1392" t="s">
        <v>809</v>
      </c>
      <c r="SLB97" s="1392" t="s">
        <v>809</v>
      </c>
      <c r="SLC97" s="1392" t="s">
        <v>809</v>
      </c>
      <c r="SLD97" s="1392" t="s">
        <v>809</v>
      </c>
      <c r="SLE97" s="1392" t="s">
        <v>809</v>
      </c>
      <c r="SLF97" s="1392" t="s">
        <v>809</v>
      </c>
      <c r="SLG97" s="1392" t="s">
        <v>809</v>
      </c>
      <c r="SLH97" s="1392" t="s">
        <v>809</v>
      </c>
      <c r="SLI97" s="1392" t="s">
        <v>809</v>
      </c>
      <c r="SLJ97" s="1392" t="s">
        <v>809</v>
      </c>
      <c r="SLK97" s="1392" t="s">
        <v>809</v>
      </c>
      <c r="SLL97" s="1392" t="s">
        <v>809</v>
      </c>
      <c r="SLM97" s="1392" t="s">
        <v>809</v>
      </c>
      <c r="SLN97" s="1392" t="s">
        <v>809</v>
      </c>
      <c r="SLO97" s="1392" t="s">
        <v>809</v>
      </c>
      <c r="SLP97" s="1392" t="s">
        <v>809</v>
      </c>
      <c r="SLQ97" s="1392" t="s">
        <v>809</v>
      </c>
      <c r="SLR97" s="1392" t="s">
        <v>809</v>
      </c>
      <c r="SLS97" s="1392" t="s">
        <v>809</v>
      </c>
      <c r="SLT97" s="1392" t="s">
        <v>809</v>
      </c>
      <c r="SLU97" s="1392" t="s">
        <v>809</v>
      </c>
      <c r="SLV97" s="1392" t="s">
        <v>809</v>
      </c>
      <c r="SLW97" s="1392" t="s">
        <v>809</v>
      </c>
      <c r="SLX97" s="1392" t="s">
        <v>809</v>
      </c>
      <c r="SLY97" s="1392" t="s">
        <v>809</v>
      </c>
      <c r="SLZ97" s="1392" t="s">
        <v>809</v>
      </c>
      <c r="SMA97" s="1392" t="s">
        <v>809</v>
      </c>
      <c r="SMB97" s="1392" t="s">
        <v>809</v>
      </c>
      <c r="SMC97" s="1392" t="s">
        <v>809</v>
      </c>
      <c r="SMD97" s="1392" t="s">
        <v>809</v>
      </c>
      <c r="SME97" s="1392" t="s">
        <v>809</v>
      </c>
      <c r="SMF97" s="1392" t="s">
        <v>809</v>
      </c>
      <c r="SMG97" s="1392" t="s">
        <v>809</v>
      </c>
      <c r="SMH97" s="1392" t="s">
        <v>809</v>
      </c>
      <c r="SMI97" s="1392" t="s">
        <v>809</v>
      </c>
      <c r="SMJ97" s="1392" t="s">
        <v>809</v>
      </c>
      <c r="SMK97" s="1392" t="s">
        <v>809</v>
      </c>
      <c r="SML97" s="1392" t="s">
        <v>809</v>
      </c>
      <c r="SMM97" s="1392" t="s">
        <v>809</v>
      </c>
      <c r="SMN97" s="1392" t="s">
        <v>809</v>
      </c>
      <c r="SMO97" s="1392" t="s">
        <v>809</v>
      </c>
      <c r="SMP97" s="1392" t="s">
        <v>809</v>
      </c>
      <c r="SMQ97" s="1392" t="s">
        <v>809</v>
      </c>
      <c r="SMR97" s="1392" t="s">
        <v>809</v>
      </c>
      <c r="SMS97" s="1392" t="s">
        <v>809</v>
      </c>
      <c r="SMT97" s="1392" t="s">
        <v>809</v>
      </c>
      <c r="SMU97" s="1392" t="s">
        <v>809</v>
      </c>
      <c r="SMV97" s="1392" t="s">
        <v>809</v>
      </c>
      <c r="SMW97" s="1392" t="s">
        <v>809</v>
      </c>
      <c r="SMX97" s="1392" t="s">
        <v>809</v>
      </c>
      <c r="SMY97" s="1392" t="s">
        <v>809</v>
      </c>
      <c r="SMZ97" s="1392" t="s">
        <v>809</v>
      </c>
      <c r="SNA97" s="1392" t="s">
        <v>809</v>
      </c>
      <c r="SNB97" s="1392" t="s">
        <v>809</v>
      </c>
      <c r="SNC97" s="1392" t="s">
        <v>809</v>
      </c>
      <c r="SND97" s="1392" t="s">
        <v>809</v>
      </c>
      <c r="SNE97" s="1392" t="s">
        <v>809</v>
      </c>
      <c r="SNF97" s="1392" t="s">
        <v>809</v>
      </c>
      <c r="SNG97" s="1392" t="s">
        <v>809</v>
      </c>
      <c r="SNH97" s="1392" t="s">
        <v>809</v>
      </c>
      <c r="SNI97" s="1392" t="s">
        <v>809</v>
      </c>
      <c r="SNJ97" s="1392" t="s">
        <v>809</v>
      </c>
      <c r="SNK97" s="1392" t="s">
        <v>809</v>
      </c>
      <c r="SNL97" s="1392" t="s">
        <v>809</v>
      </c>
      <c r="SNM97" s="1392" t="s">
        <v>809</v>
      </c>
      <c r="SNN97" s="1392" t="s">
        <v>809</v>
      </c>
      <c r="SNO97" s="1392" t="s">
        <v>809</v>
      </c>
      <c r="SNP97" s="1392" t="s">
        <v>809</v>
      </c>
      <c r="SNQ97" s="1392" t="s">
        <v>809</v>
      </c>
      <c r="SNR97" s="1392" t="s">
        <v>809</v>
      </c>
      <c r="SNS97" s="1392" t="s">
        <v>809</v>
      </c>
      <c r="SNT97" s="1392" t="s">
        <v>809</v>
      </c>
      <c r="SNU97" s="1392" t="s">
        <v>809</v>
      </c>
      <c r="SNV97" s="1392" t="s">
        <v>809</v>
      </c>
      <c r="SNW97" s="1392" t="s">
        <v>809</v>
      </c>
      <c r="SNX97" s="1392" t="s">
        <v>809</v>
      </c>
      <c r="SNY97" s="1392" t="s">
        <v>809</v>
      </c>
      <c r="SNZ97" s="1392" t="s">
        <v>809</v>
      </c>
      <c r="SOA97" s="1392" t="s">
        <v>809</v>
      </c>
      <c r="SOB97" s="1392" t="s">
        <v>809</v>
      </c>
      <c r="SOC97" s="1392" t="s">
        <v>809</v>
      </c>
      <c r="SOD97" s="1392" t="s">
        <v>809</v>
      </c>
      <c r="SOE97" s="1392" t="s">
        <v>809</v>
      </c>
      <c r="SOF97" s="1392" t="s">
        <v>809</v>
      </c>
      <c r="SOG97" s="1392" t="s">
        <v>809</v>
      </c>
      <c r="SOH97" s="1392" t="s">
        <v>809</v>
      </c>
      <c r="SOI97" s="1392" t="s">
        <v>809</v>
      </c>
      <c r="SOJ97" s="1392" t="s">
        <v>809</v>
      </c>
      <c r="SOK97" s="1392" t="s">
        <v>809</v>
      </c>
      <c r="SOL97" s="1392" t="s">
        <v>809</v>
      </c>
      <c r="SOM97" s="1392" t="s">
        <v>809</v>
      </c>
      <c r="SON97" s="1392" t="s">
        <v>809</v>
      </c>
      <c r="SOO97" s="1392" t="s">
        <v>809</v>
      </c>
      <c r="SOP97" s="1392" t="s">
        <v>809</v>
      </c>
      <c r="SOQ97" s="1392" t="s">
        <v>809</v>
      </c>
      <c r="SOR97" s="1392" t="s">
        <v>809</v>
      </c>
      <c r="SOS97" s="1392" t="s">
        <v>809</v>
      </c>
      <c r="SOT97" s="1392" t="s">
        <v>809</v>
      </c>
      <c r="SOU97" s="1392" t="s">
        <v>809</v>
      </c>
      <c r="SOV97" s="1392" t="s">
        <v>809</v>
      </c>
      <c r="SOW97" s="1392" t="s">
        <v>809</v>
      </c>
      <c r="SOX97" s="1392" t="s">
        <v>809</v>
      </c>
      <c r="SOY97" s="1392" t="s">
        <v>809</v>
      </c>
      <c r="SOZ97" s="1392" t="s">
        <v>809</v>
      </c>
      <c r="SPA97" s="1392" t="s">
        <v>809</v>
      </c>
      <c r="SPB97" s="1392" t="s">
        <v>809</v>
      </c>
      <c r="SPC97" s="1392" t="s">
        <v>809</v>
      </c>
      <c r="SPD97" s="1392" t="s">
        <v>809</v>
      </c>
      <c r="SPE97" s="1392" t="s">
        <v>809</v>
      </c>
      <c r="SPF97" s="1392" t="s">
        <v>809</v>
      </c>
      <c r="SPG97" s="1392" t="s">
        <v>809</v>
      </c>
      <c r="SPH97" s="1392" t="s">
        <v>809</v>
      </c>
      <c r="SPI97" s="1392" t="s">
        <v>809</v>
      </c>
      <c r="SPJ97" s="1392" t="s">
        <v>809</v>
      </c>
      <c r="SPK97" s="1392" t="s">
        <v>809</v>
      </c>
      <c r="SPL97" s="1392" t="s">
        <v>809</v>
      </c>
      <c r="SPM97" s="1392" t="s">
        <v>809</v>
      </c>
      <c r="SPN97" s="1392" t="s">
        <v>809</v>
      </c>
      <c r="SPO97" s="1392" t="s">
        <v>809</v>
      </c>
      <c r="SPP97" s="1392" t="s">
        <v>809</v>
      </c>
      <c r="SPQ97" s="1392" t="s">
        <v>809</v>
      </c>
      <c r="SPR97" s="1392" t="s">
        <v>809</v>
      </c>
      <c r="SPS97" s="1392" t="s">
        <v>809</v>
      </c>
      <c r="SPT97" s="1392" t="s">
        <v>809</v>
      </c>
      <c r="SPU97" s="1392" t="s">
        <v>809</v>
      </c>
      <c r="SPV97" s="1392" t="s">
        <v>809</v>
      </c>
      <c r="SPW97" s="1392" t="s">
        <v>809</v>
      </c>
      <c r="SPX97" s="1392" t="s">
        <v>809</v>
      </c>
      <c r="SPY97" s="1392" t="s">
        <v>809</v>
      </c>
      <c r="SPZ97" s="1392" t="s">
        <v>809</v>
      </c>
      <c r="SQA97" s="1392" t="s">
        <v>809</v>
      </c>
      <c r="SQB97" s="1392" t="s">
        <v>809</v>
      </c>
      <c r="SQC97" s="1392" t="s">
        <v>809</v>
      </c>
      <c r="SQD97" s="1392" t="s">
        <v>809</v>
      </c>
      <c r="SQE97" s="1392" t="s">
        <v>809</v>
      </c>
      <c r="SQF97" s="1392" t="s">
        <v>809</v>
      </c>
      <c r="SQG97" s="1392" t="s">
        <v>809</v>
      </c>
      <c r="SQH97" s="1392" t="s">
        <v>809</v>
      </c>
      <c r="SQI97" s="1392" t="s">
        <v>809</v>
      </c>
      <c r="SQJ97" s="1392" t="s">
        <v>809</v>
      </c>
      <c r="SQK97" s="1392" t="s">
        <v>809</v>
      </c>
      <c r="SQL97" s="1392" t="s">
        <v>809</v>
      </c>
      <c r="SQM97" s="1392" t="s">
        <v>809</v>
      </c>
      <c r="SQN97" s="1392" t="s">
        <v>809</v>
      </c>
      <c r="SQO97" s="1392" t="s">
        <v>809</v>
      </c>
      <c r="SQP97" s="1392" t="s">
        <v>809</v>
      </c>
      <c r="SQQ97" s="1392" t="s">
        <v>809</v>
      </c>
      <c r="SQR97" s="1392" t="s">
        <v>809</v>
      </c>
      <c r="SQS97" s="1392" t="s">
        <v>809</v>
      </c>
      <c r="SQT97" s="1392" t="s">
        <v>809</v>
      </c>
      <c r="SQU97" s="1392" t="s">
        <v>809</v>
      </c>
      <c r="SQV97" s="1392" t="s">
        <v>809</v>
      </c>
      <c r="SQW97" s="1392" t="s">
        <v>809</v>
      </c>
      <c r="SQX97" s="1392" t="s">
        <v>809</v>
      </c>
      <c r="SQY97" s="1392" t="s">
        <v>809</v>
      </c>
      <c r="SQZ97" s="1392" t="s">
        <v>809</v>
      </c>
      <c r="SRA97" s="1392" t="s">
        <v>809</v>
      </c>
      <c r="SRB97" s="1392" t="s">
        <v>809</v>
      </c>
      <c r="SRC97" s="1392" t="s">
        <v>809</v>
      </c>
      <c r="SRD97" s="1392" t="s">
        <v>809</v>
      </c>
      <c r="SRE97" s="1392" t="s">
        <v>809</v>
      </c>
      <c r="SRF97" s="1392" t="s">
        <v>809</v>
      </c>
      <c r="SRG97" s="1392" t="s">
        <v>809</v>
      </c>
      <c r="SRH97" s="1392" t="s">
        <v>809</v>
      </c>
      <c r="SRI97" s="1392" t="s">
        <v>809</v>
      </c>
      <c r="SRJ97" s="1392" t="s">
        <v>809</v>
      </c>
      <c r="SRK97" s="1392" t="s">
        <v>809</v>
      </c>
      <c r="SRL97" s="1392" t="s">
        <v>809</v>
      </c>
      <c r="SRM97" s="1392" t="s">
        <v>809</v>
      </c>
      <c r="SRN97" s="1392" t="s">
        <v>809</v>
      </c>
      <c r="SRO97" s="1392" t="s">
        <v>809</v>
      </c>
      <c r="SRP97" s="1392" t="s">
        <v>809</v>
      </c>
      <c r="SRQ97" s="1392" t="s">
        <v>809</v>
      </c>
      <c r="SRR97" s="1392" t="s">
        <v>809</v>
      </c>
      <c r="SRS97" s="1392" t="s">
        <v>809</v>
      </c>
      <c r="SRT97" s="1392" t="s">
        <v>809</v>
      </c>
      <c r="SRU97" s="1392" t="s">
        <v>809</v>
      </c>
      <c r="SRV97" s="1392" t="s">
        <v>809</v>
      </c>
      <c r="SRW97" s="1392" t="s">
        <v>809</v>
      </c>
      <c r="SRX97" s="1392" t="s">
        <v>809</v>
      </c>
      <c r="SRY97" s="1392" t="s">
        <v>809</v>
      </c>
      <c r="SRZ97" s="1392" t="s">
        <v>809</v>
      </c>
      <c r="SSA97" s="1392" t="s">
        <v>809</v>
      </c>
      <c r="SSB97" s="1392" t="s">
        <v>809</v>
      </c>
      <c r="SSC97" s="1392" t="s">
        <v>809</v>
      </c>
      <c r="SSD97" s="1392" t="s">
        <v>809</v>
      </c>
      <c r="SSE97" s="1392" t="s">
        <v>809</v>
      </c>
      <c r="SSF97" s="1392" t="s">
        <v>809</v>
      </c>
      <c r="SSG97" s="1392" t="s">
        <v>809</v>
      </c>
      <c r="SSH97" s="1392" t="s">
        <v>809</v>
      </c>
      <c r="SSI97" s="1392" t="s">
        <v>809</v>
      </c>
      <c r="SSJ97" s="1392" t="s">
        <v>809</v>
      </c>
      <c r="SSK97" s="1392" t="s">
        <v>809</v>
      </c>
      <c r="SSL97" s="1392" t="s">
        <v>809</v>
      </c>
      <c r="SSM97" s="1392" t="s">
        <v>809</v>
      </c>
      <c r="SSN97" s="1392" t="s">
        <v>809</v>
      </c>
      <c r="SSO97" s="1392" t="s">
        <v>809</v>
      </c>
      <c r="SSP97" s="1392" t="s">
        <v>809</v>
      </c>
      <c r="SSQ97" s="1392" t="s">
        <v>809</v>
      </c>
      <c r="SSR97" s="1392" t="s">
        <v>809</v>
      </c>
      <c r="SSS97" s="1392" t="s">
        <v>809</v>
      </c>
      <c r="SST97" s="1392" t="s">
        <v>809</v>
      </c>
      <c r="SSU97" s="1392" t="s">
        <v>809</v>
      </c>
      <c r="SSV97" s="1392" t="s">
        <v>809</v>
      </c>
      <c r="SSW97" s="1392" t="s">
        <v>809</v>
      </c>
      <c r="SSX97" s="1392" t="s">
        <v>809</v>
      </c>
      <c r="SSY97" s="1392" t="s">
        <v>809</v>
      </c>
      <c r="SSZ97" s="1392" t="s">
        <v>809</v>
      </c>
      <c r="STA97" s="1392" t="s">
        <v>809</v>
      </c>
      <c r="STB97" s="1392" t="s">
        <v>809</v>
      </c>
      <c r="STC97" s="1392" t="s">
        <v>809</v>
      </c>
      <c r="STD97" s="1392" t="s">
        <v>809</v>
      </c>
      <c r="STE97" s="1392" t="s">
        <v>809</v>
      </c>
      <c r="STF97" s="1392" t="s">
        <v>809</v>
      </c>
      <c r="STG97" s="1392" t="s">
        <v>809</v>
      </c>
      <c r="STH97" s="1392" t="s">
        <v>809</v>
      </c>
      <c r="STI97" s="1392" t="s">
        <v>809</v>
      </c>
      <c r="STJ97" s="1392" t="s">
        <v>809</v>
      </c>
      <c r="STK97" s="1392" t="s">
        <v>809</v>
      </c>
      <c r="STL97" s="1392" t="s">
        <v>809</v>
      </c>
      <c r="STM97" s="1392" t="s">
        <v>809</v>
      </c>
      <c r="STN97" s="1392" t="s">
        <v>809</v>
      </c>
      <c r="STO97" s="1392" t="s">
        <v>809</v>
      </c>
      <c r="STP97" s="1392" t="s">
        <v>809</v>
      </c>
      <c r="STQ97" s="1392" t="s">
        <v>809</v>
      </c>
      <c r="STR97" s="1392" t="s">
        <v>809</v>
      </c>
      <c r="STS97" s="1392" t="s">
        <v>809</v>
      </c>
      <c r="STT97" s="1392" t="s">
        <v>809</v>
      </c>
      <c r="STU97" s="1392" t="s">
        <v>809</v>
      </c>
      <c r="STV97" s="1392" t="s">
        <v>809</v>
      </c>
      <c r="STW97" s="1392" t="s">
        <v>809</v>
      </c>
      <c r="STX97" s="1392" t="s">
        <v>809</v>
      </c>
      <c r="STY97" s="1392" t="s">
        <v>809</v>
      </c>
      <c r="STZ97" s="1392" t="s">
        <v>809</v>
      </c>
      <c r="SUA97" s="1392" t="s">
        <v>809</v>
      </c>
      <c r="SUB97" s="1392" t="s">
        <v>809</v>
      </c>
      <c r="SUC97" s="1392" t="s">
        <v>809</v>
      </c>
      <c r="SUD97" s="1392" t="s">
        <v>809</v>
      </c>
      <c r="SUE97" s="1392" t="s">
        <v>809</v>
      </c>
      <c r="SUF97" s="1392" t="s">
        <v>809</v>
      </c>
      <c r="SUG97" s="1392" t="s">
        <v>809</v>
      </c>
      <c r="SUH97" s="1392" t="s">
        <v>809</v>
      </c>
      <c r="SUI97" s="1392" t="s">
        <v>809</v>
      </c>
      <c r="SUJ97" s="1392" t="s">
        <v>809</v>
      </c>
      <c r="SUK97" s="1392" t="s">
        <v>809</v>
      </c>
      <c r="SUL97" s="1392" t="s">
        <v>809</v>
      </c>
      <c r="SUM97" s="1392" t="s">
        <v>809</v>
      </c>
      <c r="SUN97" s="1392" t="s">
        <v>809</v>
      </c>
      <c r="SUO97" s="1392" t="s">
        <v>809</v>
      </c>
      <c r="SUP97" s="1392" t="s">
        <v>809</v>
      </c>
      <c r="SUQ97" s="1392" t="s">
        <v>809</v>
      </c>
      <c r="SUR97" s="1392" t="s">
        <v>809</v>
      </c>
      <c r="SUS97" s="1392" t="s">
        <v>809</v>
      </c>
      <c r="SUT97" s="1392" t="s">
        <v>809</v>
      </c>
      <c r="SUU97" s="1392" t="s">
        <v>809</v>
      </c>
      <c r="SUV97" s="1392" t="s">
        <v>809</v>
      </c>
      <c r="SUW97" s="1392" t="s">
        <v>809</v>
      </c>
      <c r="SUX97" s="1392" t="s">
        <v>809</v>
      </c>
      <c r="SUY97" s="1392" t="s">
        <v>809</v>
      </c>
      <c r="SUZ97" s="1392" t="s">
        <v>809</v>
      </c>
      <c r="SVA97" s="1392" t="s">
        <v>809</v>
      </c>
      <c r="SVB97" s="1392" t="s">
        <v>809</v>
      </c>
      <c r="SVC97" s="1392" t="s">
        <v>809</v>
      </c>
      <c r="SVD97" s="1392" t="s">
        <v>809</v>
      </c>
      <c r="SVE97" s="1392" t="s">
        <v>809</v>
      </c>
      <c r="SVF97" s="1392" t="s">
        <v>809</v>
      </c>
      <c r="SVG97" s="1392" t="s">
        <v>809</v>
      </c>
      <c r="SVH97" s="1392" t="s">
        <v>809</v>
      </c>
      <c r="SVI97" s="1392" t="s">
        <v>809</v>
      </c>
      <c r="SVJ97" s="1392" t="s">
        <v>809</v>
      </c>
      <c r="SVK97" s="1392" t="s">
        <v>809</v>
      </c>
      <c r="SVL97" s="1392" t="s">
        <v>809</v>
      </c>
      <c r="SVM97" s="1392" t="s">
        <v>809</v>
      </c>
      <c r="SVN97" s="1392" t="s">
        <v>809</v>
      </c>
      <c r="SVO97" s="1392" t="s">
        <v>809</v>
      </c>
      <c r="SVP97" s="1392" t="s">
        <v>809</v>
      </c>
      <c r="SVQ97" s="1392" t="s">
        <v>809</v>
      </c>
      <c r="SVR97" s="1392" t="s">
        <v>809</v>
      </c>
      <c r="SVS97" s="1392" t="s">
        <v>809</v>
      </c>
      <c r="SVT97" s="1392" t="s">
        <v>809</v>
      </c>
      <c r="SVU97" s="1392" t="s">
        <v>809</v>
      </c>
      <c r="SVV97" s="1392" t="s">
        <v>809</v>
      </c>
      <c r="SVW97" s="1392" t="s">
        <v>809</v>
      </c>
      <c r="SVX97" s="1392" t="s">
        <v>809</v>
      </c>
      <c r="SVY97" s="1392" t="s">
        <v>809</v>
      </c>
      <c r="SVZ97" s="1392" t="s">
        <v>809</v>
      </c>
      <c r="SWA97" s="1392" t="s">
        <v>809</v>
      </c>
      <c r="SWB97" s="1392" t="s">
        <v>809</v>
      </c>
      <c r="SWC97" s="1392" t="s">
        <v>809</v>
      </c>
      <c r="SWD97" s="1392" t="s">
        <v>809</v>
      </c>
      <c r="SWE97" s="1392" t="s">
        <v>809</v>
      </c>
      <c r="SWF97" s="1392" t="s">
        <v>809</v>
      </c>
      <c r="SWG97" s="1392" t="s">
        <v>809</v>
      </c>
      <c r="SWH97" s="1392" t="s">
        <v>809</v>
      </c>
      <c r="SWI97" s="1392" t="s">
        <v>809</v>
      </c>
      <c r="SWJ97" s="1392" t="s">
        <v>809</v>
      </c>
      <c r="SWK97" s="1392" t="s">
        <v>809</v>
      </c>
      <c r="SWL97" s="1392" t="s">
        <v>809</v>
      </c>
      <c r="SWM97" s="1392" t="s">
        <v>809</v>
      </c>
      <c r="SWN97" s="1392" t="s">
        <v>809</v>
      </c>
      <c r="SWO97" s="1392" t="s">
        <v>809</v>
      </c>
      <c r="SWP97" s="1392" t="s">
        <v>809</v>
      </c>
      <c r="SWQ97" s="1392" t="s">
        <v>809</v>
      </c>
      <c r="SWR97" s="1392" t="s">
        <v>809</v>
      </c>
      <c r="SWS97" s="1392" t="s">
        <v>809</v>
      </c>
      <c r="SWT97" s="1392" t="s">
        <v>809</v>
      </c>
      <c r="SWU97" s="1392" t="s">
        <v>809</v>
      </c>
      <c r="SWV97" s="1392" t="s">
        <v>809</v>
      </c>
      <c r="SWW97" s="1392" t="s">
        <v>809</v>
      </c>
      <c r="SWX97" s="1392" t="s">
        <v>809</v>
      </c>
      <c r="SWY97" s="1392" t="s">
        <v>809</v>
      </c>
      <c r="SWZ97" s="1392" t="s">
        <v>809</v>
      </c>
      <c r="SXA97" s="1392" t="s">
        <v>809</v>
      </c>
      <c r="SXB97" s="1392" t="s">
        <v>809</v>
      </c>
      <c r="SXC97" s="1392" t="s">
        <v>809</v>
      </c>
      <c r="SXD97" s="1392" t="s">
        <v>809</v>
      </c>
      <c r="SXE97" s="1392" t="s">
        <v>809</v>
      </c>
      <c r="SXF97" s="1392" t="s">
        <v>809</v>
      </c>
      <c r="SXG97" s="1392" t="s">
        <v>809</v>
      </c>
      <c r="SXH97" s="1392" t="s">
        <v>809</v>
      </c>
      <c r="SXI97" s="1392" t="s">
        <v>809</v>
      </c>
      <c r="SXJ97" s="1392" t="s">
        <v>809</v>
      </c>
      <c r="SXK97" s="1392" t="s">
        <v>809</v>
      </c>
      <c r="SXL97" s="1392" t="s">
        <v>809</v>
      </c>
      <c r="SXM97" s="1392" t="s">
        <v>809</v>
      </c>
      <c r="SXN97" s="1392" t="s">
        <v>809</v>
      </c>
      <c r="SXO97" s="1392" t="s">
        <v>809</v>
      </c>
      <c r="SXP97" s="1392" t="s">
        <v>809</v>
      </c>
      <c r="SXQ97" s="1392" t="s">
        <v>809</v>
      </c>
      <c r="SXR97" s="1392" t="s">
        <v>809</v>
      </c>
      <c r="SXS97" s="1392" t="s">
        <v>809</v>
      </c>
      <c r="SXT97" s="1392" t="s">
        <v>809</v>
      </c>
      <c r="SXU97" s="1392" t="s">
        <v>809</v>
      </c>
      <c r="SXV97" s="1392" t="s">
        <v>809</v>
      </c>
      <c r="SXW97" s="1392" t="s">
        <v>809</v>
      </c>
      <c r="SXX97" s="1392" t="s">
        <v>809</v>
      </c>
      <c r="SXY97" s="1392" t="s">
        <v>809</v>
      </c>
      <c r="SXZ97" s="1392" t="s">
        <v>809</v>
      </c>
      <c r="SYA97" s="1392" t="s">
        <v>809</v>
      </c>
      <c r="SYB97" s="1392" t="s">
        <v>809</v>
      </c>
      <c r="SYC97" s="1392" t="s">
        <v>809</v>
      </c>
      <c r="SYD97" s="1392" t="s">
        <v>809</v>
      </c>
      <c r="SYE97" s="1392" t="s">
        <v>809</v>
      </c>
      <c r="SYF97" s="1392" t="s">
        <v>809</v>
      </c>
      <c r="SYG97" s="1392" t="s">
        <v>809</v>
      </c>
      <c r="SYH97" s="1392" t="s">
        <v>809</v>
      </c>
      <c r="SYI97" s="1392" t="s">
        <v>809</v>
      </c>
      <c r="SYJ97" s="1392" t="s">
        <v>809</v>
      </c>
      <c r="SYK97" s="1392" t="s">
        <v>809</v>
      </c>
      <c r="SYL97" s="1392" t="s">
        <v>809</v>
      </c>
      <c r="SYM97" s="1392" t="s">
        <v>809</v>
      </c>
      <c r="SYN97" s="1392" t="s">
        <v>809</v>
      </c>
      <c r="SYO97" s="1392" t="s">
        <v>809</v>
      </c>
      <c r="SYP97" s="1392" t="s">
        <v>809</v>
      </c>
      <c r="SYQ97" s="1392" t="s">
        <v>809</v>
      </c>
      <c r="SYR97" s="1392" t="s">
        <v>809</v>
      </c>
      <c r="SYS97" s="1392" t="s">
        <v>809</v>
      </c>
      <c r="SYT97" s="1392" t="s">
        <v>809</v>
      </c>
      <c r="SYU97" s="1392" t="s">
        <v>809</v>
      </c>
      <c r="SYV97" s="1392" t="s">
        <v>809</v>
      </c>
      <c r="SYW97" s="1392" t="s">
        <v>809</v>
      </c>
      <c r="SYX97" s="1392" t="s">
        <v>809</v>
      </c>
      <c r="SYY97" s="1392" t="s">
        <v>809</v>
      </c>
      <c r="SYZ97" s="1392" t="s">
        <v>809</v>
      </c>
      <c r="SZA97" s="1392" t="s">
        <v>809</v>
      </c>
      <c r="SZB97" s="1392" t="s">
        <v>809</v>
      </c>
      <c r="SZC97" s="1392" t="s">
        <v>809</v>
      </c>
      <c r="SZD97" s="1392" t="s">
        <v>809</v>
      </c>
      <c r="SZE97" s="1392" t="s">
        <v>809</v>
      </c>
      <c r="SZF97" s="1392" t="s">
        <v>809</v>
      </c>
      <c r="SZG97" s="1392" t="s">
        <v>809</v>
      </c>
      <c r="SZH97" s="1392" t="s">
        <v>809</v>
      </c>
      <c r="SZI97" s="1392" t="s">
        <v>809</v>
      </c>
      <c r="SZJ97" s="1392" t="s">
        <v>809</v>
      </c>
      <c r="SZK97" s="1392" t="s">
        <v>809</v>
      </c>
      <c r="SZL97" s="1392" t="s">
        <v>809</v>
      </c>
      <c r="SZM97" s="1392" t="s">
        <v>809</v>
      </c>
      <c r="SZN97" s="1392" t="s">
        <v>809</v>
      </c>
      <c r="SZO97" s="1392" t="s">
        <v>809</v>
      </c>
      <c r="SZP97" s="1392" t="s">
        <v>809</v>
      </c>
      <c r="SZQ97" s="1392" t="s">
        <v>809</v>
      </c>
      <c r="SZR97" s="1392" t="s">
        <v>809</v>
      </c>
      <c r="SZS97" s="1392" t="s">
        <v>809</v>
      </c>
      <c r="SZT97" s="1392" t="s">
        <v>809</v>
      </c>
      <c r="SZU97" s="1392" t="s">
        <v>809</v>
      </c>
      <c r="SZV97" s="1392" t="s">
        <v>809</v>
      </c>
      <c r="SZW97" s="1392" t="s">
        <v>809</v>
      </c>
      <c r="SZX97" s="1392" t="s">
        <v>809</v>
      </c>
      <c r="SZY97" s="1392" t="s">
        <v>809</v>
      </c>
      <c r="SZZ97" s="1392" t="s">
        <v>809</v>
      </c>
      <c r="TAA97" s="1392" t="s">
        <v>809</v>
      </c>
      <c r="TAB97" s="1392" t="s">
        <v>809</v>
      </c>
      <c r="TAC97" s="1392" t="s">
        <v>809</v>
      </c>
      <c r="TAD97" s="1392" t="s">
        <v>809</v>
      </c>
      <c r="TAE97" s="1392" t="s">
        <v>809</v>
      </c>
      <c r="TAF97" s="1392" t="s">
        <v>809</v>
      </c>
      <c r="TAG97" s="1392" t="s">
        <v>809</v>
      </c>
      <c r="TAH97" s="1392" t="s">
        <v>809</v>
      </c>
      <c r="TAI97" s="1392" t="s">
        <v>809</v>
      </c>
      <c r="TAJ97" s="1392" t="s">
        <v>809</v>
      </c>
      <c r="TAK97" s="1392" t="s">
        <v>809</v>
      </c>
      <c r="TAL97" s="1392" t="s">
        <v>809</v>
      </c>
      <c r="TAM97" s="1392" t="s">
        <v>809</v>
      </c>
      <c r="TAN97" s="1392" t="s">
        <v>809</v>
      </c>
      <c r="TAO97" s="1392" t="s">
        <v>809</v>
      </c>
      <c r="TAP97" s="1392" t="s">
        <v>809</v>
      </c>
      <c r="TAQ97" s="1392" t="s">
        <v>809</v>
      </c>
      <c r="TAR97" s="1392" t="s">
        <v>809</v>
      </c>
      <c r="TAS97" s="1392" t="s">
        <v>809</v>
      </c>
      <c r="TAT97" s="1392" t="s">
        <v>809</v>
      </c>
      <c r="TAU97" s="1392" t="s">
        <v>809</v>
      </c>
      <c r="TAV97" s="1392" t="s">
        <v>809</v>
      </c>
      <c r="TAW97" s="1392" t="s">
        <v>809</v>
      </c>
      <c r="TAX97" s="1392" t="s">
        <v>809</v>
      </c>
      <c r="TAY97" s="1392" t="s">
        <v>809</v>
      </c>
      <c r="TAZ97" s="1392" t="s">
        <v>809</v>
      </c>
      <c r="TBA97" s="1392" t="s">
        <v>809</v>
      </c>
      <c r="TBB97" s="1392" t="s">
        <v>809</v>
      </c>
      <c r="TBC97" s="1392" t="s">
        <v>809</v>
      </c>
      <c r="TBD97" s="1392" t="s">
        <v>809</v>
      </c>
      <c r="TBE97" s="1392" t="s">
        <v>809</v>
      </c>
      <c r="TBF97" s="1392" t="s">
        <v>809</v>
      </c>
      <c r="TBG97" s="1392" t="s">
        <v>809</v>
      </c>
      <c r="TBH97" s="1392" t="s">
        <v>809</v>
      </c>
      <c r="TBI97" s="1392" t="s">
        <v>809</v>
      </c>
      <c r="TBJ97" s="1392" t="s">
        <v>809</v>
      </c>
      <c r="TBK97" s="1392" t="s">
        <v>809</v>
      </c>
      <c r="TBL97" s="1392" t="s">
        <v>809</v>
      </c>
      <c r="TBM97" s="1392" t="s">
        <v>809</v>
      </c>
      <c r="TBN97" s="1392" t="s">
        <v>809</v>
      </c>
      <c r="TBO97" s="1392" t="s">
        <v>809</v>
      </c>
      <c r="TBP97" s="1392" t="s">
        <v>809</v>
      </c>
      <c r="TBQ97" s="1392" t="s">
        <v>809</v>
      </c>
      <c r="TBR97" s="1392" t="s">
        <v>809</v>
      </c>
      <c r="TBS97" s="1392" t="s">
        <v>809</v>
      </c>
      <c r="TBT97" s="1392" t="s">
        <v>809</v>
      </c>
      <c r="TBU97" s="1392" t="s">
        <v>809</v>
      </c>
      <c r="TBV97" s="1392" t="s">
        <v>809</v>
      </c>
      <c r="TBW97" s="1392" t="s">
        <v>809</v>
      </c>
      <c r="TBX97" s="1392" t="s">
        <v>809</v>
      </c>
      <c r="TBY97" s="1392" t="s">
        <v>809</v>
      </c>
      <c r="TBZ97" s="1392" t="s">
        <v>809</v>
      </c>
      <c r="TCA97" s="1392" t="s">
        <v>809</v>
      </c>
      <c r="TCB97" s="1392" t="s">
        <v>809</v>
      </c>
      <c r="TCC97" s="1392" t="s">
        <v>809</v>
      </c>
      <c r="TCD97" s="1392" t="s">
        <v>809</v>
      </c>
      <c r="TCE97" s="1392" t="s">
        <v>809</v>
      </c>
      <c r="TCF97" s="1392" t="s">
        <v>809</v>
      </c>
      <c r="TCG97" s="1392" t="s">
        <v>809</v>
      </c>
      <c r="TCH97" s="1392" t="s">
        <v>809</v>
      </c>
      <c r="TCI97" s="1392" t="s">
        <v>809</v>
      </c>
      <c r="TCJ97" s="1392" t="s">
        <v>809</v>
      </c>
      <c r="TCK97" s="1392" t="s">
        <v>809</v>
      </c>
      <c r="TCL97" s="1392" t="s">
        <v>809</v>
      </c>
      <c r="TCM97" s="1392" t="s">
        <v>809</v>
      </c>
      <c r="TCN97" s="1392" t="s">
        <v>809</v>
      </c>
      <c r="TCO97" s="1392" t="s">
        <v>809</v>
      </c>
      <c r="TCP97" s="1392" t="s">
        <v>809</v>
      </c>
      <c r="TCQ97" s="1392" t="s">
        <v>809</v>
      </c>
      <c r="TCR97" s="1392" t="s">
        <v>809</v>
      </c>
      <c r="TCS97" s="1392" t="s">
        <v>809</v>
      </c>
      <c r="TCT97" s="1392" t="s">
        <v>809</v>
      </c>
      <c r="TCU97" s="1392" t="s">
        <v>809</v>
      </c>
      <c r="TCV97" s="1392" t="s">
        <v>809</v>
      </c>
      <c r="TCW97" s="1392" t="s">
        <v>809</v>
      </c>
      <c r="TCX97" s="1392" t="s">
        <v>809</v>
      </c>
      <c r="TCY97" s="1392" t="s">
        <v>809</v>
      </c>
      <c r="TCZ97" s="1392" t="s">
        <v>809</v>
      </c>
      <c r="TDA97" s="1392" t="s">
        <v>809</v>
      </c>
      <c r="TDB97" s="1392" t="s">
        <v>809</v>
      </c>
      <c r="TDC97" s="1392" t="s">
        <v>809</v>
      </c>
      <c r="TDD97" s="1392" t="s">
        <v>809</v>
      </c>
      <c r="TDE97" s="1392" t="s">
        <v>809</v>
      </c>
      <c r="TDF97" s="1392" t="s">
        <v>809</v>
      </c>
      <c r="TDG97" s="1392" t="s">
        <v>809</v>
      </c>
      <c r="TDH97" s="1392" t="s">
        <v>809</v>
      </c>
      <c r="TDI97" s="1392" t="s">
        <v>809</v>
      </c>
      <c r="TDJ97" s="1392" t="s">
        <v>809</v>
      </c>
      <c r="TDK97" s="1392" t="s">
        <v>809</v>
      </c>
      <c r="TDL97" s="1392" t="s">
        <v>809</v>
      </c>
      <c r="TDM97" s="1392" t="s">
        <v>809</v>
      </c>
      <c r="TDN97" s="1392" t="s">
        <v>809</v>
      </c>
      <c r="TDO97" s="1392" t="s">
        <v>809</v>
      </c>
      <c r="TDP97" s="1392" t="s">
        <v>809</v>
      </c>
      <c r="TDQ97" s="1392" t="s">
        <v>809</v>
      </c>
      <c r="TDR97" s="1392" t="s">
        <v>809</v>
      </c>
      <c r="TDS97" s="1392" t="s">
        <v>809</v>
      </c>
      <c r="TDT97" s="1392" t="s">
        <v>809</v>
      </c>
      <c r="TDU97" s="1392" t="s">
        <v>809</v>
      </c>
      <c r="TDV97" s="1392" t="s">
        <v>809</v>
      </c>
      <c r="TDW97" s="1392" t="s">
        <v>809</v>
      </c>
      <c r="TDX97" s="1392" t="s">
        <v>809</v>
      </c>
      <c r="TDY97" s="1392" t="s">
        <v>809</v>
      </c>
      <c r="TDZ97" s="1392" t="s">
        <v>809</v>
      </c>
      <c r="TEA97" s="1392" t="s">
        <v>809</v>
      </c>
      <c r="TEB97" s="1392" t="s">
        <v>809</v>
      </c>
      <c r="TEC97" s="1392" t="s">
        <v>809</v>
      </c>
      <c r="TED97" s="1392" t="s">
        <v>809</v>
      </c>
      <c r="TEE97" s="1392" t="s">
        <v>809</v>
      </c>
      <c r="TEF97" s="1392" t="s">
        <v>809</v>
      </c>
      <c r="TEG97" s="1392" t="s">
        <v>809</v>
      </c>
      <c r="TEH97" s="1392" t="s">
        <v>809</v>
      </c>
      <c r="TEI97" s="1392" t="s">
        <v>809</v>
      </c>
      <c r="TEJ97" s="1392" t="s">
        <v>809</v>
      </c>
      <c r="TEK97" s="1392" t="s">
        <v>809</v>
      </c>
      <c r="TEL97" s="1392" t="s">
        <v>809</v>
      </c>
      <c r="TEM97" s="1392" t="s">
        <v>809</v>
      </c>
      <c r="TEN97" s="1392" t="s">
        <v>809</v>
      </c>
      <c r="TEO97" s="1392" t="s">
        <v>809</v>
      </c>
      <c r="TEP97" s="1392" t="s">
        <v>809</v>
      </c>
      <c r="TEQ97" s="1392" t="s">
        <v>809</v>
      </c>
      <c r="TER97" s="1392" t="s">
        <v>809</v>
      </c>
      <c r="TES97" s="1392" t="s">
        <v>809</v>
      </c>
      <c r="TET97" s="1392" t="s">
        <v>809</v>
      </c>
      <c r="TEU97" s="1392" t="s">
        <v>809</v>
      </c>
      <c r="TEV97" s="1392" t="s">
        <v>809</v>
      </c>
      <c r="TEW97" s="1392" t="s">
        <v>809</v>
      </c>
      <c r="TEX97" s="1392" t="s">
        <v>809</v>
      </c>
      <c r="TEY97" s="1392" t="s">
        <v>809</v>
      </c>
      <c r="TEZ97" s="1392" t="s">
        <v>809</v>
      </c>
      <c r="TFA97" s="1392" t="s">
        <v>809</v>
      </c>
      <c r="TFB97" s="1392" t="s">
        <v>809</v>
      </c>
      <c r="TFC97" s="1392" t="s">
        <v>809</v>
      </c>
      <c r="TFD97" s="1392" t="s">
        <v>809</v>
      </c>
      <c r="TFE97" s="1392" t="s">
        <v>809</v>
      </c>
      <c r="TFF97" s="1392" t="s">
        <v>809</v>
      </c>
      <c r="TFG97" s="1392" t="s">
        <v>809</v>
      </c>
      <c r="TFH97" s="1392" t="s">
        <v>809</v>
      </c>
      <c r="TFI97" s="1392" t="s">
        <v>809</v>
      </c>
      <c r="TFJ97" s="1392" t="s">
        <v>809</v>
      </c>
      <c r="TFK97" s="1392" t="s">
        <v>809</v>
      </c>
      <c r="TFL97" s="1392" t="s">
        <v>809</v>
      </c>
      <c r="TFM97" s="1392" t="s">
        <v>809</v>
      </c>
      <c r="TFN97" s="1392" t="s">
        <v>809</v>
      </c>
      <c r="TFO97" s="1392" t="s">
        <v>809</v>
      </c>
      <c r="TFP97" s="1392" t="s">
        <v>809</v>
      </c>
      <c r="TFQ97" s="1392" t="s">
        <v>809</v>
      </c>
      <c r="TFR97" s="1392" t="s">
        <v>809</v>
      </c>
      <c r="TFS97" s="1392" t="s">
        <v>809</v>
      </c>
      <c r="TFT97" s="1392" t="s">
        <v>809</v>
      </c>
      <c r="TFU97" s="1392" t="s">
        <v>809</v>
      </c>
      <c r="TFV97" s="1392" t="s">
        <v>809</v>
      </c>
      <c r="TFW97" s="1392" t="s">
        <v>809</v>
      </c>
      <c r="TFX97" s="1392" t="s">
        <v>809</v>
      </c>
      <c r="TFY97" s="1392" t="s">
        <v>809</v>
      </c>
      <c r="TFZ97" s="1392" t="s">
        <v>809</v>
      </c>
      <c r="TGA97" s="1392" t="s">
        <v>809</v>
      </c>
      <c r="TGB97" s="1392" t="s">
        <v>809</v>
      </c>
      <c r="TGC97" s="1392" t="s">
        <v>809</v>
      </c>
      <c r="TGD97" s="1392" t="s">
        <v>809</v>
      </c>
      <c r="TGE97" s="1392" t="s">
        <v>809</v>
      </c>
      <c r="TGF97" s="1392" t="s">
        <v>809</v>
      </c>
      <c r="TGG97" s="1392" t="s">
        <v>809</v>
      </c>
      <c r="TGH97" s="1392" t="s">
        <v>809</v>
      </c>
      <c r="TGI97" s="1392" t="s">
        <v>809</v>
      </c>
      <c r="TGJ97" s="1392" t="s">
        <v>809</v>
      </c>
      <c r="TGK97" s="1392" t="s">
        <v>809</v>
      </c>
      <c r="TGL97" s="1392" t="s">
        <v>809</v>
      </c>
      <c r="TGM97" s="1392" t="s">
        <v>809</v>
      </c>
      <c r="TGN97" s="1392" t="s">
        <v>809</v>
      </c>
      <c r="TGO97" s="1392" t="s">
        <v>809</v>
      </c>
      <c r="TGP97" s="1392" t="s">
        <v>809</v>
      </c>
      <c r="TGQ97" s="1392" t="s">
        <v>809</v>
      </c>
      <c r="TGR97" s="1392" t="s">
        <v>809</v>
      </c>
      <c r="TGS97" s="1392" t="s">
        <v>809</v>
      </c>
      <c r="TGT97" s="1392" t="s">
        <v>809</v>
      </c>
      <c r="TGU97" s="1392" t="s">
        <v>809</v>
      </c>
      <c r="TGV97" s="1392" t="s">
        <v>809</v>
      </c>
      <c r="TGW97" s="1392" t="s">
        <v>809</v>
      </c>
      <c r="TGX97" s="1392" t="s">
        <v>809</v>
      </c>
      <c r="TGY97" s="1392" t="s">
        <v>809</v>
      </c>
      <c r="TGZ97" s="1392" t="s">
        <v>809</v>
      </c>
      <c r="THA97" s="1392" t="s">
        <v>809</v>
      </c>
      <c r="THB97" s="1392" t="s">
        <v>809</v>
      </c>
      <c r="THC97" s="1392" t="s">
        <v>809</v>
      </c>
      <c r="THD97" s="1392" t="s">
        <v>809</v>
      </c>
      <c r="THE97" s="1392" t="s">
        <v>809</v>
      </c>
      <c r="THF97" s="1392" t="s">
        <v>809</v>
      </c>
      <c r="THG97" s="1392" t="s">
        <v>809</v>
      </c>
      <c r="THH97" s="1392" t="s">
        <v>809</v>
      </c>
      <c r="THI97" s="1392" t="s">
        <v>809</v>
      </c>
      <c r="THJ97" s="1392" t="s">
        <v>809</v>
      </c>
      <c r="THK97" s="1392" t="s">
        <v>809</v>
      </c>
      <c r="THL97" s="1392" t="s">
        <v>809</v>
      </c>
      <c r="THM97" s="1392" t="s">
        <v>809</v>
      </c>
      <c r="THN97" s="1392" t="s">
        <v>809</v>
      </c>
      <c r="THO97" s="1392" t="s">
        <v>809</v>
      </c>
      <c r="THP97" s="1392" t="s">
        <v>809</v>
      </c>
      <c r="THQ97" s="1392" t="s">
        <v>809</v>
      </c>
      <c r="THR97" s="1392" t="s">
        <v>809</v>
      </c>
      <c r="THS97" s="1392" t="s">
        <v>809</v>
      </c>
      <c r="THT97" s="1392" t="s">
        <v>809</v>
      </c>
      <c r="THU97" s="1392" t="s">
        <v>809</v>
      </c>
      <c r="THV97" s="1392" t="s">
        <v>809</v>
      </c>
      <c r="THW97" s="1392" t="s">
        <v>809</v>
      </c>
      <c r="THX97" s="1392" t="s">
        <v>809</v>
      </c>
      <c r="THY97" s="1392" t="s">
        <v>809</v>
      </c>
      <c r="THZ97" s="1392" t="s">
        <v>809</v>
      </c>
      <c r="TIA97" s="1392" t="s">
        <v>809</v>
      </c>
      <c r="TIB97" s="1392" t="s">
        <v>809</v>
      </c>
      <c r="TIC97" s="1392" t="s">
        <v>809</v>
      </c>
      <c r="TID97" s="1392" t="s">
        <v>809</v>
      </c>
      <c r="TIE97" s="1392" t="s">
        <v>809</v>
      </c>
      <c r="TIF97" s="1392" t="s">
        <v>809</v>
      </c>
      <c r="TIG97" s="1392" t="s">
        <v>809</v>
      </c>
      <c r="TIH97" s="1392" t="s">
        <v>809</v>
      </c>
      <c r="TII97" s="1392" t="s">
        <v>809</v>
      </c>
      <c r="TIJ97" s="1392" t="s">
        <v>809</v>
      </c>
      <c r="TIK97" s="1392" t="s">
        <v>809</v>
      </c>
      <c r="TIL97" s="1392" t="s">
        <v>809</v>
      </c>
      <c r="TIM97" s="1392" t="s">
        <v>809</v>
      </c>
      <c r="TIN97" s="1392" t="s">
        <v>809</v>
      </c>
      <c r="TIO97" s="1392" t="s">
        <v>809</v>
      </c>
      <c r="TIP97" s="1392" t="s">
        <v>809</v>
      </c>
      <c r="TIQ97" s="1392" t="s">
        <v>809</v>
      </c>
      <c r="TIR97" s="1392" t="s">
        <v>809</v>
      </c>
      <c r="TIS97" s="1392" t="s">
        <v>809</v>
      </c>
      <c r="TIT97" s="1392" t="s">
        <v>809</v>
      </c>
      <c r="TIU97" s="1392" t="s">
        <v>809</v>
      </c>
      <c r="TIV97" s="1392" t="s">
        <v>809</v>
      </c>
      <c r="TIW97" s="1392" t="s">
        <v>809</v>
      </c>
      <c r="TIX97" s="1392" t="s">
        <v>809</v>
      </c>
      <c r="TIY97" s="1392" t="s">
        <v>809</v>
      </c>
      <c r="TIZ97" s="1392" t="s">
        <v>809</v>
      </c>
      <c r="TJA97" s="1392" t="s">
        <v>809</v>
      </c>
      <c r="TJB97" s="1392" t="s">
        <v>809</v>
      </c>
      <c r="TJC97" s="1392" t="s">
        <v>809</v>
      </c>
      <c r="TJD97" s="1392" t="s">
        <v>809</v>
      </c>
      <c r="TJE97" s="1392" t="s">
        <v>809</v>
      </c>
      <c r="TJF97" s="1392" t="s">
        <v>809</v>
      </c>
      <c r="TJG97" s="1392" t="s">
        <v>809</v>
      </c>
      <c r="TJH97" s="1392" t="s">
        <v>809</v>
      </c>
      <c r="TJI97" s="1392" t="s">
        <v>809</v>
      </c>
      <c r="TJJ97" s="1392" t="s">
        <v>809</v>
      </c>
      <c r="TJK97" s="1392" t="s">
        <v>809</v>
      </c>
      <c r="TJL97" s="1392" t="s">
        <v>809</v>
      </c>
      <c r="TJM97" s="1392" t="s">
        <v>809</v>
      </c>
      <c r="TJN97" s="1392" t="s">
        <v>809</v>
      </c>
      <c r="TJO97" s="1392" t="s">
        <v>809</v>
      </c>
      <c r="TJP97" s="1392" t="s">
        <v>809</v>
      </c>
      <c r="TJQ97" s="1392" t="s">
        <v>809</v>
      </c>
      <c r="TJR97" s="1392" t="s">
        <v>809</v>
      </c>
      <c r="TJS97" s="1392" t="s">
        <v>809</v>
      </c>
      <c r="TJT97" s="1392" t="s">
        <v>809</v>
      </c>
      <c r="TJU97" s="1392" t="s">
        <v>809</v>
      </c>
      <c r="TJV97" s="1392" t="s">
        <v>809</v>
      </c>
      <c r="TJW97" s="1392" t="s">
        <v>809</v>
      </c>
      <c r="TJX97" s="1392" t="s">
        <v>809</v>
      </c>
      <c r="TJY97" s="1392" t="s">
        <v>809</v>
      </c>
      <c r="TJZ97" s="1392" t="s">
        <v>809</v>
      </c>
      <c r="TKA97" s="1392" t="s">
        <v>809</v>
      </c>
      <c r="TKB97" s="1392" t="s">
        <v>809</v>
      </c>
      <c r="TKC97" s="1392" t="s">
        <v>809</v>
      </c>
      <c r="TKD97" s="1392" t="s">
        <v>809</v>
      </c>
      <c r="TKE97" s="1392" t="s">
        <v>809</v>
      </c>
      <c r="TKF97" s="1392" t="s">
        <v>809</v>
      </c>
      <c r="TKG97" s="1392" t="s">
        <v>809</v>
      </c>
      <c r="TKH97" s="1392" t="s">
        <v>809</v>
      </c>
      <c r="TKI97" s="1392" t="s">
        <v>809</v>
      </c>
      <c r="TKJ97" s="1392" t="s">
        <v>809</v>
      </c>
      <c r="TKK97" s="1392" t="s">
        <v>809</v>
      </c>
      <c r="TKL97" s="1392" t="s">
        <v>809</v>
      </c>
      <c r="TKM97" s="1392" t="s">
        <v>809</v>
      </c>
      <c r="TKN97" s="1392" t="s">
        <v>809</v>
      </c>
      <c r="TKO97" s="1392" t="s">
        <v>809</v>
      </c>
      <c r="TKP97" s="1392" t="s">
        <v>809</v>
      </c>
      <c r="TKQ97" s="1392" t="s">
        <v>809</v>
      </c>
      <c r="TKR97" s="1392" t="s">
        <v>809</v>
      </c>
      <c r="TKS97" s="1392" t="s">
        <v>809</v>
      </c>
      <c r="TKT97" s="1392" t="s">
        <v>809</v>
      </c>
      <c r="TKU97" s="1392" t="s">
        <v>809</v>
      </c>
      <c r="TKV97" s="1392" t="s">
        <v>809</v>
      </c>
      <c r="TKW97" s="1392" t="s">
        <v>809</v>
      </c>
      <c r="TKX97" s="1392" t="s">
        <v>809</v>
      </c>
      <c r="TKY97" s="1392" t="s">
        <v>809</v>
      </c>
      <c r="TKZ97" s="1392" t="s">
        <v>809</v>
      </c>
      <c r="TLA97" s="1392" t="s">
        <v>809</v>
      </c>
      <c r="TLB97" s="1392" t="s">
        <v>809</v>
      </c>
      <c r="TLC97" s="1392" t="s">
        <v>809</v>
      </c>
      <c r="TLD97" s="1392" t="s">
        <v>809</v>
      </c>
      <c r="TLE97" s="1392" t="s">
        <v>809</v>
      </c>
      <c r="TLF97" s="1392" t="s">
        <v>809</v>
      </c>
      <c r="TLG97" s="1392" t="s">
        <v>809</v>
      </c>
      <c r="TLH97" s="1392" t="s">
        <v>809</v>
      </c>
      <c r="TLI97" s="1392" t="s">
        <v>809</v>
      </c>
      <c r="TLJ97" s="1392" t="s">
        <v>809</v>
      </c>
      <c r="TLK97" s="1392" t="s">
        <v>809</v>
      </c>
      <c r="TLL97" s="1392" t="s">
        <v>809</v>
      </c>
      <c r="TLM97" s="1392" t="s">
        <v>809</v>
      </c>
      <c r="TLN97" s="1392" t="s">
        <v>809</v>
      </c>
      <c r="TLO97" s="1392" t="s">
        <v>809</v>
      </c>
      <c r="TLP97" s="1392" t="s">
        <v>809</v>
      </c>
      <c r="TLQ97" s="1392" t="s">
        <v>809</v>
      </c>
      <c r="TLR97" s="1392" t="s">
        <v>809</v>
      </c>
      <c r="TLS97" s="1392" t="s">
        <v>809</v>
      </c>
      <c r="TLT97" s="1392" t="s">
        <v>809</v>
      </c>
      <c r="TLU97" s="1392" t="s">
        <v>809</v>
      </c>
      <c r="TLV97" s="1392" t="s">
        <v>809</v>
      </c>
      <c r="TLW97" s="1392" t="s">
        <v>809</v>
      </c>
      <c r="TLX97" s="1392" t="s">
        <v>809</v>
      </c>
      <c r="TLY97" s="1392" t="s">
        <v>809</v>
      </c>
      <c r="TLZ97" s="1392" t="s">
        <v>809</v>
      </c>
      <c r="TMA97" s="1392" t="s">
        <v>809</v>
      </c>
      <c r="TMB97" s="1392" t="s">
        <v>809</v>
      </c>
      <c r="TMC97" s="1392" t="s">
        <v>809</v>
      </c>
      <c r="TMD97" s="1392" t="s">
        <v>809</v>
      </c>
      <c r="TME97" s="1392" t="s">
        <v>809</v>
      </c>
      <c r="TMF97" s="1392" t="s">
        <v>809</v>
      </c>
      <c r="TMG97" s="1392" t="s">
        <v>809</v>
      </c>
      <c r="TMH97" s="1392" t="s">
        <v>809</v>
      </c>
      <c r="TMI97" s="1392" t="s">
        <v>809</v>
      </c>
      <c r="TMJ97" s="1392" t="s">
        <v>809</v>
      </c>
      <c r="TMK97" s="1392" t="s">
        <v>809</v>
      </c>
      <c r="TML97" s="1392" t="s">
        <v>809</v>
      </c>
      <c r="TMM97" s="1392" t="s">
        <v>809</v>
      </c>
      <c r="TMN97" s="1392" t="s">
        <v>809</v>
      </c>
      <c r="TMO97" s="1392" t="s">
        <v>809</v>
      </c>
      <c r="TMP97" s="1392" t="s">
        <v>809</v>
      </c>
      <c r="TMQ97" s="1392" t="s">
        <v>809</v>
      </c>
      <c r="TMR97" s="1392" t="s">
        <v>809</v>
      </c>
      <c r="TMS97" s="1392" t="s">
        <v>809</v>
      </c>
      <c r="TMT97" s="1392" t="s">
        <v>809</v>
      </c>
      <c r="TMU97" s="1392" t="s">
        <v>809</v>
      </c>
      <c r="TMV97" s="1392" t="s">
        <v>809</v>
      </c>
      <c r="TMW97" s="1392" t="s">
        <v>809</v>
      </c>
      <c r="TMX97" s="1392" t="s">
        <v>809</v>
      </c>
      <c r="TMY97" s="1392" t="s">
        <v>809</v>
      </c>
      <c r="TMZ97" s="1392" t="s">
        <v>809</v>
      </c>
      <c r="TNA97" s="1392" t="s">
        <v>809</v>
      </c>
      <c r="TNB97" s="1392" t="s">
        <v>809</v>
      </c>
      <c r="TNC97" s="1392" t="s">
        <v>809</v>
      </c>
      <c r="TND97" s="1392" t="s">
        <v>809</v>
      </c>
      <c r="TNE97" s="1392" t="s">
        <v>809</v>
      </c>
      <c r="TNF97" s="1392" t="s">
        <v>809</v>
      </c>
      <c r="TNG97" s="1392" t="s">
        <v>809</v>
      </c>
      <c r="TNH97" s="1392" t="s">
        <v>809</v>
      </c>
      <c r="TNI97" s="1392" t="s">
        <v>809</v>
      </c>
      <c r="TNJ97" s="1392" t="s">
        <v>809</v>
      </c>
      <c r="TNK97" s="1392" t="s">
        <v>809</v>
      </c>
      <c r="TNL97" s="1392" t="s">
        <v>809</v>
      </c>
      <c r="TNM97" s="1392" t="s">
        <v>809</v>
      </c>
      <c r="TNN97" s="1392" t="s">
        <v>809</v>
      </c>
      <c r="TNO97" s="1392" t="s">
        <v>809</v>
      </c>
      <c r="TNP97" s="1392" t="s">
        <v>809</v>
      </c>
      <c r="TNQ97" s="1392" t="s">
        <v>809</v>
      </c>
      <c r="TNR97" s="1392" t="s">
        <v>809</v>
      </c>
      <c r="TNS97" s="1392" t="s">
        <v>809</v>
      </c>
      <c r="TNT97" s="1392" t="s">
        <v>809</v>
      </c>
      <c r="TNU97" s="1392" t="s">
        <v>809</v>
      </c>
      <c r="TNV97" s="1392" t="s">
        <v>809</v>
      </c>
      <c r="TNW97" s="1392" t="s">
        <v>809</v>
      </c>
      <c r="TNX97" s="1392" t="s">
        <v>809</v>
      </c>
      <c r="TNY97" s="1392" t="s">
        <v>809</v>
      </c>
      <c r="TNZ97" s="1392" t="s">
        <v>809</v>
      </c>
      <c r="TOA97" s="1392" t="s">
        <v>809</v>
      </c>
      <c r="TOB97" s="1392" t="s">
        <v>809</v>
      </c>
      <c r="TOC97" s="1392" t="s">
        <v>809</v>
      </c>
      <c r="TOD97" s="1392" t="s">
        <v>809</v>
      </c>
      <c r="TOE97" s="1392" t="s">
        <v>809</v>
      </c>
      <c r="TOF97" s="1392" t="s">
        <v>809</v>
      </c>
      <c r="TOG97" s="1392" t="s">
        <v>809</v>
      </c>
      <c r="TOH97" s="1392" t="s">
        <v>809</v>
      </c>
      <c r="TOI97" s="1392" t="s">
        <v>809</v>
      </c>
      <c r="TOJ97" s="1392" t="s">
        <v>809</v>
      </c>
      <c r="TOK97" s="1392" t="s">
        <v>809</v>
      </c>
      <c r="TOL97" s="1392" t="s">
        <v>809</v>
      </c>
      <c r="TOM97" s="1392" t="s">
        <v>809</v>
      </c>
      <c r="TON97" s="1392" t="s">
        <v>809</v>
      </c>
      <c r="TOO97" s="1392" t="s">
        <v>809</v>
      </c>
      <c r="TOP97" s="1392" t="s">
        <v>809</v>
      </c>
      <c r="TOQ97" s="1392" t="s">
        <v>809</v>
      </c>
      <c r="TOR97" s="1392" t="s">
        <v>809</v>
      </c>
      <c r="TOS97" s="1392" t="s">
        <v>809</v>
      </c>
      <c r="TOT97" s="1392" t="s">
        <v>809</v>
      </c>
      <c r="TOU97" s="1392" t="s">
        <v>809</v>
      </c>
      <c r="TOV97" s="1392" t="s">
        <v>809</v>
      </c>
      <c r="TOW97" s="1392" t="s">
        <v>809</v>
      </c>
      <c r="TOX97" s="1392" t="s">
        <v>809</v>
      </c>
      <c r="TOY97" s="1392" t="s">
        <v>809</v>
      </c>
      <c r="TOZ97" s="1392" t="s">
        <v>809</v>
      </c>
      <c r="TPA97" s="1392" t="s">
        <v>809</v>
      </c>
      <c r="TPB97" s="1392" t="s">
        <v>809</v>
      </c>
      <c r="TPC97" s="1392" t="s">
        <v>809</v>
      </c>
      <c r="TPD97" s="1392" t="s">
        <v>809</v>
      </c>
      <c r="TPE97" s="1392" t="s">
        <v>809</v>
      </c>
      <c r="TPF97" s="1392" t="s">
        <v>809</v>
      </c>
      <c r="TPG97" s="1392" t="s">
        <v>809</v>
      </c>
      <c r="TPH97" s="1392" t="s">
        <v>809</v>
      </c>
      <c r="TPI97" s="1392" t="s">
        <v>809</v>
      </c>
      <c r="TPJ97" s="1392" t="s">
        <v>809</v>
      </c>
      <c r="TPK97" s="1392" t="s">
        <v>809</v>
      </c>
      <c r="TPL97" s="1392" t="s">
        <v>809</v>
      </c>
      <c r="TPM97" s="1392" t="s">
        <v>809</v>
      </c>
      <c r="TPN97" s="1392" t="s">
        <v>809</v>
      </c>
      <c r="TPO97" s="1392" t="s">
        <v>809</v>
      </c>
      <c r="TPP97" s="1392" t="s">
        <v>809</v>
      </c>
      <c r="TPQ97" s="1392" t="s">
        <v>809</v>
      </c>
      <c r="TPR97" s="1392" t="s">
        <v>809</v>
      </c>
      <c r="TPS97" s="1392" t="s">
        <v>809</v>
      </c>
      <c r="TPT97" s="1392" t="s">
        <v>809</v>
      </c>
      <c r="TPU97" s="1392" t="s">
        <v>809</v>
      </c>
      <c r="TPV97" s="1392" t="s">
        <v>809</v>
      </c>
      <c r="TPW97" s="1392" t="s">
        <v>809</v>
      </c>
      <c r="TPX97" s="1392" t="s">
        <v>809</v>
      </c>
      <c r="TPY97" s="1392" t="s">
        <v>809</v>
      </c>
      <c r="TPZ97" s="1392" t="s">
        <v>809</v>
      </c>
      <c r="TQA97" s="1392" t="s">
        <v>809</v>
      </c>
      <c r="TQB97" s="1392" t="s">
        <v>809</v>
      </c>
      <c r="TQC97" s="1392" t="s">
        <v>809</v>
      </c>
      <c r="TQD97" s="1392" t="s">
        <v>809</v>
      </c>
      <c r="TQE97" s="1392" t="s">
        <v>809</v>
      </c>
      <c r="TQF97" s="1392" t="s">
        <v>809</v>
      </c>
      <c r="TQG97" s="1392" t="s">
        <v>809</v>
      </c>
      <c r="TQH97" s="1392" t="s">
        <v>809</v>
      </c>
      <c r="TQI97" s="1392" t="s">
        <v>809</v>
      </c>
      <c r="TQJ97" s="1392" t="s">
        <v>809</v>
      </c>
      <c r="TQK97" s="1392" t="s">
        <v>809</v>
      </c>
      <c r="TQL97" s="1392" t="s">
        <v>809</v>
      </c>
      <c r="TQM97" s="1392" t="s">
        <v>809</v>
      </c>
      <c r="TQN97" s="1392" t="s">
        <v>809</v>
      </c>
      <c r="TQO97" s="1392" t="s">
        <v>809</v>
      </c>
      <c r="TQP97" s="1392" t="s">
        <v>809</v>
      </c>
      <c r="TQQ97" s="1392" t="s">
        <v>809</v>
      </c>
      <c r="TQR97" s="1392" t="s">
        <v>809</v>
      </c>
      <c r="TQS97" s="1392" t="s">
        <v>809</v>
      </c>
      <c r="TQT97" s="1392" t="s">
        <v>809</v>
      </c>
      <c r="TQU97" s="1392" t="s">
        <v>809</v>
      </c>
      <c r="TQV97" s="1392" t="s">
        <v>809</v>
      </c>
      <c r="TQW97" s="1392" t="s">
        <v>809</v>
      </c>
      <c r="TQX97" s="1392" t="s">
        <v>809</v>
      </c>
      <c r="TQY97" s="1392" t="s">
        <v>809</v>
      </c>
      <c r="TQZ97" s="1392" t="s">
        <v>809</v>
      </c>
      <c r="TRA97" s="1392" t="s">
        <v>809</v>
      </c>
      <c r="TRB97" s="1392" t="s">
        <v>809</v>
      </c>
      <c r="TRC97" s="1392" t="s">
        <v>809</v>
      </c>
      <c r="TRD97" s="1392" t="s">
        <v>809</v>
      </c>
      <c r="TRE97" s="1392" t="s">
        <v>809</v>
      </c>
      <c r="TRF97" s="1392" t="s">
        <v>809</v>
      </c>
      <c r="TRG97" s="1392" t="s">
        <v>809</v>
      </c>
      <c r="TRH97" s="1392" t="s">
        <v>809</v>
      </c>
      <c r="TRI97" s="1392" t="s">
        <v>809</v>
      </c>
      <c r="TRJ97" s="1392" t="s">
        <v>809</v>
      </c>
      <c r="TRK97" s="1392" t="s">
        <v>809</v>
      </c>
      <c r="TRL97" s="1392" t="s">
        <v>809</v>
      </c>
      <c r="TRM97" s="1392" t="s">
        <v>809</v>
      </c>
      <c r="TRN97" s="1392" t="s">
        <v>809</v>
      </c>
      <c r="TRO97" s="1392" t="s">
        <v>809</v>
      </c>
      <c r="TRP97" s="1392" t="s">
        <v>809</v>
      </c>
      <c r="TRQ97" s="1392" t="s">
        <v>809</v>
      </c>
      <c r="TRR97" s="1392" t="s">
        <v>809</v>
      </c>
      <c r="TRS97" s="1392" t="s">
        <v>809</v>
      </c>
      <c r="TRT97" s="1392" t="s">
        <v>809</v>
      </c>
      <c r="TRU97" s="1392" t="s">
        <v>809</v>
      </c>
      <c r="TRV97" s="1392" t="s">
        <v>809</v>
      </c>
      <c r="TRW97" s="1392" t="s">
        <v>809</v>
      </c>
      <c r="TRX97" s="1392" t="s">
        <v>809</v>
      </c>
      <c r="TRY97" s="1392" t="s">
        <v>809</v>
      </c>
      <c r="TRZ97" s="1392" t="s">
        <v>809</v>
      </c>
      <c r="TSA97" s="1392" t="s">
        <v>809</v>
      </c>
      <c r="TSB97" s="1392" t="s">
        <v>809</v>
      </c>
      <c r="TSC97" s="1392" t="s">
        <v>809</v>
      </c>
      <c r="TSD97" s="1392" t="s">
        <v>809</v>
      </c>
      <c r="TSE97" s="1392" t="s">
        <v>809</v>
      </c>
      <c r="TSF97" s="1392" t="s">
        <v>809</v>
      </c>
      <c r="TSG97" s="1392" t="s">
        <v>809</v>
      </c>
      <c r="TSH97" s="1392" t="s">
        <v>809</v>
      </c>
      <c r="TSI97" s="1392" t="s">
        <v>809</v>
      </c>
      <c r="TSJ97" s="1392" t="s">
        <v>809</v>
      </c>
      <c r="TSK97" s="1392" t="s">
        <v>809</v>
      </c>
      <c r="TSL97" s="1392" t="s">
        <v>809</v>
      </c>
      <c r="TSM97" s="1392" t="s">
        <v>809</v>
      </c>
      <c r="TSN97" s="1392" t="s">
        <v>809</v>
      </c>
      <c r="TSO97" s="1392" t="s">
        <v>809</v>
      </c>
      <c r="TSP97" s="1392" t="s">
        <v>809</v>
      </c>
      <c r="TSQ97" s="1392" t="s">
        <v>809</v>
      </c>
      <c r="TSR97" s="1392" t="s">
        <v>809</v>
      </c>
      <c r="TSS97" s="1392" t="s">
        <v>809</v>
      </c>
      <c r="TST97" s="1392" t="s">
        <v>809</v>
      </c>
      <c r="TSU97" s="1392" t="s">
        <v>809</v>
      </c>
      <c r="TSV97" s="1392" t="s">
        <v>809</v>
      </c>
      <c r="TSW97" s="1392" t="s">
        <v>809</v>
      </c>
      <c r="TSX97" s="1392" t="s">
        <v>809</v>
      </c>
      <c r="TSY97" s="1392" t="s">
        <v>809</v>
      </c>
      <c r="TSZ97" s="1392" t="s">
        <v>809</v>
      </c>
      <c r="TTA97" s="1392" t="s">
        <v>809</v>
      </c>
      <c r="TTB97" s="1392" t="s">
        <v>809</v>
      </c>
      <c r="TTC97" s="1392" t="s">
        <v>809</v>
      </c>
      <c r="TTD97" s="1392" t="s">
        <v>809</v>
      </c>
      <c r="TTE97" s="1392" t="s">
        <v>809</v>
      </c>
      <c r="TTF97" s="1392" t="s">
        <v>809</v>
      </c>
      <c r="TTG97" s="1392" t="s">
        <v>809</v>
      </c>
      <c r="TTH97" s="1392" t="s">
        <v>809</v>
      </c>
      <c r="TTI97" s="1392" t="s">
        <v>809</v>
      </c>
      <c r="TTJ97" s="1392" t="s">
        <v>809</v>
      </c>
      <c r="TTK97" s="1392" t="s">
        <v>809</v>
      </c>
      <c r="TTL97" s="1392" t="s">
        <v>809</v>
      </c>
      <c r="TTM97" s="1392" t="s">
        <v>809</v>
      </c>
      <c r="TTN97" s="1392" t="s">
        <v>809</v>
      </c>
      <c r="TTO97" s="1392" t="s">
        <v>809</v>
      </c>
      <c r="TTP97" s="1392" t="s">
        <v>809</v>
      </c>
      <c r="TTQ97" s="1392" t="s">
        <v>809</v>
      </c>
      <c r="TTR97" s="1392" t="s">
        <v>809</v>
      </c>
      <c r="TTS97" s="1392" t="s">
        <v>809</v>
      </c>
      <c r="TTT97" s="1392" t="s">
        <v>809</v>
      </c>
      <c r="TTU97" s="1392" t="s">
        <v>809</v>
      </c>
      <c r="TTV97" s="1392" t="s">
        <v>809</v>
      </c>
      <c r="TTW97" s="1392" t="s">
        <v>809</v>
      </c>
      <c r="TTX97" s="1392" t="s">
        <v>809</v>
      </c>
      <c r="TTY97" s="1392" t="s">
        <v>809</v>
      </c>
      <c r="TTZ97" s="1392" t="s">
        <v>809</v>
      </c>
      <c r="TUA97" s="1392" t="s">
        <v>809</v>
      </c>
      <c r="TUB97" s="1392" t="s">
        <v>809</v>
      </c>
      <c r="TUC97" s="1392" t="s">
        <v>809</v>
      </c>
      <c r="TUD97" s="1392" t="s">
        <v>809</v>
      </c>
      <c r="TUE97" s="1392" t="s">
        <v>809</v>
      </c>
      <c r="TUF97" s="1392" t="s">
        <v>809</v>
      </c>
      <c r="TUG97" s="1392" t="s">
        <v>809</v>
      </c>
      <c r="TUH97" s="1392" t="s">
        <v>809</v>
      </c>
      <c r="TUI97" s="1392" t="s">
        <v>809</v>
      </c>
      <c r="TUJ97" s="1392" t="s">
        <v>809</v>
      </c>
      <c r="TUK97" s="1392" t="s">
        <v>809</v>
      </c>
      <c r="TUL97" s="1392" t="s">
        <v>809</v>
      </c>
      <c r="TUM97" s="1392" t="s">
        <v>809</v>
      </c>
      <c r="TUN97" s="1392" t="s">
        <v>809</v>
      </c>
      <c r="TUO97" s="1392" t="s">
        <v>809</v>
      </c>
      <c r="TUP97" s="1392" t="s">
        <v>809</v>
      </c>
      <c r="TUQ97" s="1392" t="s">
        <v>809</v>
      </c>
      <c r="TUR97" s="1392" t="s">
        <v>809</v>
      </c>
      <c r="TUS97" s="1392" t="s">
        <v>809</v>
      </c>
      <c r="TUT97" s="1392" t="s">
        <v>809</v>
      </c>
      <c r="TUU97" s="1392" t="s">
        <v>809</v>
      </c>
      <c r="TUV97" s="1392" t="s">
        <v>809</v>
      </c>
      <c r="TUW97" s="1392" t="s">
        <v>809</v>
      </c>
      <c r="TUX97" s="1392" t="s">
        <v>809</v>
      </c>
      <c r="TUY97" s="1392" t="s">
        <v>809</v>
      </c>
      <c r="TUZ97" s="1392" t="s">
        <v>809</v>
      </c>
      <c r="TVA97" s="1392" t="s">
        <v>809</v>
      </c>
      <c r="TVB97" s="1392" t="s">
        <v>809</v>
      </c>
      <c r="TVC97" s="1392" t="s">
        <v>809</v>
      </c>
      <c r="TVD97" s="1392" t="s">
        <v>809</v>
      </c>
      <c r="TVE97" s="1392" t="s">
        <v>809</v>
      </c>
      <c r="TVF97" s="1392" t="s">
        <v>809</v>
      </c>
      <c r="TVG97" s="1392" t="s">
        <v>809</v>
      </c>
      <c r="TVH97" s="1392" t="s">
        <v>809</v>
      </c>
      <c r="TVI97" s="1392" t="s">
        <v>809</v>
      </c>
      <c r="TVJ97" s="1392" t="s">
        <v>809</v>
      </c>
      <c r="TVK97" s="1392" t="s">
        <v>809</v>
      </c>
      <c r="TVL97" s="1392" t="s">
        <v>809</v>
      </c>
      <c r="TVM97" s="1392" t="s">
        <v>809</v>
      </c>
      <c r="TVN97" s="1392" t="s">
        <v>809</v>
      </c>
      <c r="TVO97" s="1392" t="s">
        <v>809</v>
      </c>
      <c r="TVP97" s="1392" t="s">
        <v>809</v>
      </c>
      <c r="TVQ97" s="1392" t="s">
        <v>809</v>
      </c>
      <c r="TVR97" s="1392" t="s">
        <v>809</v>
      </c>
      <c r="TVS97" s="1392" t="s">
        <v>809</v>
      </c>
      <c r="TVT97" s="1392" t="s">
        <v>809</v>
      </c>
      <c r="TVU97" s="1392" t="s">
        <v>809</v>
      </c>
      <c r="TVV97" s="1392" t="s">
        <v>809</v>
      </c>
      <c r="TVW97" s="1392" t="s">
        <v>809</v>
      </c>
      <c r="TVX97" s="1392" t="s">
        <v>809</v>
      </c>
      <c r="TVY97" s="1392" t="s">
        <v>809</v>
      </c>
      <c r="TVZ97" s="1392" t="s">
        <v>809</v>
      </c>
      <c r="TWA97" s="1392" t="s">
        <v>809</v>
      </c>
      <c r="TWB97" s="1392" t="s">
        <v>809</v>
      </c>
      <c r="TWC97" s="1392" t="s">
        <v>809</v>
      </c>
      <c r="TWD97" s="1392" t="s">
        <v>809</v>
      </c>
      <c r="TWE97" s="1392" t="s">
        <v>809</v>
      </c>
      <c r="TWF97" s="1392" t="s">
        <v>809</v>
      </c>
      <c r="TWG97" s="1392" t="s">
        <v>809</v>
      </c>
      <c r="TWH97" s="1392" t="s">
        <v>809</v>
      </c>
      <c r="TWI97" s="1392" t="s">
        <v>809</v>
      </c>
      <c r="TWJ97" s="1392" t="s">
        <v>809</v>
      </c>
      <c r="TWK97" s="1392" t="s">
        <v>809</v>
      </c>
      <c r="TWL97" s="1392" t="s">
        <v>809</v>
      </c>
      <c r="TWM97" s="1392" t="s">
        <v>809</v>
      </c>
      <c r="TWN97" s="1392" t="s">
        <v>809</v>
      </c>
      <c r="TWO97" s="1392" t="s">
        <v>809</v>
      </c>
      <c r="TWP97" s="1392" t="s">
        <v>809</v>
      </c>
      <c r="TWQ97" s="1392" t="s">
        <v>809</v>
      </c>
      <c r="TWR97" s="1392" t="s">
        <v>809</v>
      </c>
      <c r="TWS97" s="1392" t="s">
        <v>809</v>
      </c>
      <c r="TWT97" s="1392" t="s">
        <v>809</v>
      </c>
      <c r="TWU97" s="1392" t="s">
        <v>809</v>
      </c>
      <c r="TWV97" s="1392" t="s">
        <v>809</v>
      </c>
      <c r="TWW97" s="1392" t="s">
        <v>809</v>
      </c>
      <c r="TWX97" s="1392" t="s">
        <v>809</v>
      </c>
      <c r="TWY97" s="1392" t="s">
        <v>809</v>
      </c>
      <c r="TWZ97" s="1392" t="s">
        <v>809</v>
      </c>
      <c r="TXA97" s="1392" t="s">
        <v>809</v>
      </c>
      <c r="TXB97" s="1392" t="s">
        <v>809</v>
      </c>
      <c r="TXC97" s="1392" t="s">
        <v>809</v>
      </c>
      <c r="TXD97" s="1392" t="s">
        <v>809</v>
      </c>
      <c r="TXE97" s="1392" t="s">
        <v>809</v>
      </c>
      <c r="TXF97" s="1392" t="s">
        <v>809</v>
      </c>
      <c r="TXG97" s="1392" t="s">
        <v>809</v>
      </c>
      <c r="TXH97" s="1392" t="s">
        <v>809</v>
      </c>
      <c r="TXI97" s="1392" t="s">
        <v>809</v>
      </c>
      <c r="TXJ97" s="1392" t="s">
        <v>809</v>
      </c>
      <c r="TXK97" s="1392" t="s">
        <v>809</v>
      </c>
      <c r="TXL97" s="1392" t="s">
        <v>809</v>
      </c>
      <c r="TXM97" s="1392" t="s">
        <v>809</v>
      </c>
      <c r="TXN97" s="1392" t="s">
        <v>809</v>
      </c>
      <c r="TXO97" s="1392" t="s">
        <v>809</v>
      </c>
      <c r="TXP97" s="1392" t="s">
        <v>809</v>
      </c>
      <c r="TXQ97" s="1392" t="s">
        <v>809</v>
      </c>
      <c r="TXR97" s="1392" t="s">
        <v>809</v>
      </c>
      <c r="TXS97" s="1392" t="s">
        <v>809</v>
      </c>
      <c r="TXT97" s="1392" t="s">
        <v>809</v>
      </c>
      <c r="TXU97" s="1392" t="s">
        <v>809</v>
      </c>
      <c r="TXV97" s="1392" t="s">
        <v>809</v>
      </c>
      <c r="TXW97" s="1392" t="s">
        <v>809</v>
      </c>
      <c r="TXX97" s="1392" t="s">
        <v>809</v>
      </c>
      <c r="TXY97" s="1392" t="s">
        <v>809</v>
      </c>
      <c r="TXZ97" s="1392" t="s">
        <v>809</v>
      </c>
      <c r="TYA97" s="1392" t="s">
        <v>809</v>
      </c>
      <c r="TYB97" s="1392" t="s">
        <v>809</v>
      </c>
      <c r="TYC97" s="1392" t="s">
        <v>809</v>
      </c>
      <c r="TYD97" s="1392" t="s">
        <v>809</v>
      </c>
      <c r="TYE97" s="1392" t="s">
        <v>809</v>
      </c>
      <c r="TYF97" s="1392" t="s">
        <v>809</v>
      </c>
      <c r="TYG97" s="1392" t="s">
        <v>809</v>
      </c>
      <c r="TYH97" s="1392" t="s">
        <v>809</v>
      </c>
      <c r="TYI97" s="1392" t="s">
        <v>809</v>
      </c>
      <c r="TYJ97" s="1392" t="s">
        <v>809</v>
      </c>
      <c r="TYK97" s="1392" t="s">
        <v>809</v>
      </c>
      <c r="TYL97" s="1392" t="s">
        <v>809</v>
      </c>
      <c r="TYM97" s="1392" t="s">
        <v>809</v>
      </c>
      <c r="TYN97" s="1392" t="s">
        <v>809</v>
      </c>
      <c r="TYO97" s="1392" t="s">
        <v>809</v>
      </c>
      <c r="TYP97" s="1392" t="s">
        <v>809</v>
      </c>
      <c r="TYQ97" s="1392" t="s">
        <v>809</v>
      </c>
      <c r="TYR97" s="1392" t="s">
        <v>809</v>
      </c>
      <c r="TYS97" s="1392" t="s">
        <v>809</v>
      </c>
      <c r="TYT97" s="1392" t="s">
        <v>809</v>
      </c>
      <c r="TYU97" s="1392" t="s">
        <v>809</v>
      </c>
      <c r="TYV97" s="1392" t="s">
        <v>809</v>
      </c>
      <c r="TYW97" s="1392" t="s">
        <v>809</v>
      </c>
      <c r="TYX97" s="1392" t="s">
        <v>809</v>
      </c>
      <c r="TYY97" s="1392" t="s">
        <v>809</v>
      </c>
      <c r="TYZ97" s="1392" t="s">
        <v>809</v>
      </c>
      <c r="TZA97" s="1392" t="s">
        <v>809</v>
      </c>
      <c r="TZB97" s="1392" t="s">
        <v>809</v>
      </c>
      <c r="TZC97" s="1392" t="s">
        <v>809</v>
      </c>
      <c r="TZD97" s="1392" t="s">
        <v>809</v>
      </c>
      <c r="TZE97" s="1392" t="s">
        <v>809</v>
      </c>
      <c r="TZF97" s="1392" t="s">
        <v>809</v>
      </c>
      <c r="TZG97" s="1392" t="s">
        <v>809</v>
      </c>
      <c r="TZH97" s="1392" t="s">
        <v>809</v>
      </c>
      <c r="TZI97" s="1392" t="s">
        <v>809</v>
      </c>
      <c r="TZJ97" s="1392" t="s">
        <v>809</v>
      </c>
      <c r="TZK97" s="1392" t="s">
        <v>809</v>
      </c>
      <c r="TZL97" s="1392" t="s">
        <v>809</v>
      </c>
      <c r="TZM97" s="1392" t="s">
        <v>809</v>
      </c>
      <c r="TZN97" s="1392" t="s">
        <v>809</v>
      </c>
      <c r="TZO97" s="1392" t="s">
        <v>809</v>
      </c>
      <c r="TZP97" s="1392" t="s">
        <v>809</v>
      </c>
      <c r="TZQ97" s="1392" t="s">
        <v>809</v>
      </c>
      <c r="TZR97" s="1392" t="s">
        <v>809</v>
      </c>
      <c r="TZS97" s="1392" t="s">
        <v>809</v>
      </c>
      <c r="TZT97" s="1392" t="s">
        <v>809</v>
      </c>
      <c r="TZU97" s="1392" t="s">
        <v>809</v>
      </c>
      <c r="TZV97" s="1392" t="s">
        <v>809</v>
      </c>
      <c r="TZW97" s="1392" t="s">
        <v>809</v>
      </c>
      <c r="TZX97" s="1392" t="s">
        <v>809</v>
      </c>
      <c r="TZY97" s="1392" t="s">
        <v>809</v>
      </c>
      <c r="TZZ97" s="1392" t="s">
        <v>809</v>
      </c>
      <c r="UAA97" s="1392" t="s">
        <v>809</v>
      </c>
      <c r="UAB97" s="1392" t="s">
        <v>809</v>
      </c>
      <c r="UAC97" s="1392" t="s">
        <v>809</v>
      </c>
      <c r="UAD97" s="1392" t="s">
        <v>809</v>
      </c>
      <c r="UAE97" s="1392" t="s">
        <v>809</v>
      </c>
      <c r="UAF97" s="1392" t="s">
        <v>809</v>
      </c>
      <c r="UAG97" s="1392" t="s">
        <v>809</v>
      </c>
      <c r="UAH97" s="1392" t="s">
        <v>809</v>
      </c>
      <c r="UAI97" s="1392" t="s">
        <v>809</v>
      </c>
      <c r="UAJ97" s="1392" t="s">
        <v>809</v>
      </c>
      <c r="UAK97" s="1392" t="s">
        <v>809</v>
      </c>
      <c r="UAL97" s="1392" t="s">
        <v>809</v>
      </c>
      <c r="UAM97" s="1392" t="s">
        <v>809</v>
      </c>
      <c r="UAN97" s="1392" t="s">
        <v>809</v>
      </c>
      <c r="UAO97" s="1392" t="s">
        <v>809</v>
      </c>
      <c r="UAP97" s="1392" t="s">
        <v>809</v>
      </c>
      <c r="UAQ97" s="1392" t="s">
        <v>809</v>
      </c>
      <c r="UAR97" s="1392" t="s">
        <v>809</v>
      </c>
      <c r="UAS97" s="1392" t="s">
        <v>809</v>
      </c>
      <c r="UAT97" s="1392" t="s">
        <v>809</v>
      </c>
      <c r="UAU97" s="1392" t="s">
        <v>809</v>
      </c>
      <c r="UAV97" s="1392" t="s">
        <v>809</v>
      </c>
      <c r="UAW97" s="1392" t="s">
        <v>809</v>
      </c>
      <c r="UAX97" s="1392" t="s">
        <v>809</v>
      </c>
      <c r="UAY97" s="1392" t="s">
        <v>809</v>
      </c>
      <c r="UAZ97" s="1392" t="s">
        <v>809</v>
      </c>
      <c r="UBA97" s="1392" t="s">
        <v>809</v>
      </c>
      <c r="UBB97" s="1392" t="s">
        <v>809</v>
      </c>
      <c r="UBC97" s="1392" t="s">
        <v>809</v>
      </c>
      <c r="UBD97" s="1392" t="s">
        <v>809</v>
      </c>
      <c r="UBE97" s="1392" t="s">
        <v>809</v>
      </c>
      <c r="UBF97" s="1392" t="s">
        <v>809</v>
      </c>
      <c r="UBG97" s="1392" t="s">
        <v>809</v>
      </c>
      <c r="UBH97" s="1392" t="s">
        <v>809</v>
      </c>
      <c r="UBI97" s="1392" t="s">
        <v>809</v>
      </c>
      <c r="UBJ97" s="1392" t="s">
        <v>809</v>
      </c>
      <c r="UBK97" s="1392" t="s">
        <v>809</v>
      </c>
      <c r="UBL97" s="1392" t="s">
        <v>809</v>
      </c>
      <c r="UBM97" s="1392" t="s">
        <v>809</v>
      </c>
      <c r="UBN97" s="1392" t="s">
        <v>809</v>
      </c>
      <c r="UBO97" s="1392" t="s">
        <v>809</v>
      </c>
      <c r="UBP97" s="1392" t="s">
        <v>809</v>
      </c>
      <c r="UBQ97" s="1392" t="s">
        <v>809</v>
      </c>
      <c r="UBR97" s="1392" t="s">
        <v>809</v>
      </c>
      <c r="UBS97" s="1392" t="s">
        <v>809</v>
      </c>
      <c r="UBT97" s="1392" t="s">
        <v>809</v>
      </c>
      <c r="UBU97" s="1392" t="s">
        <v>809</v>
      </c>
      <c r="UBV97" s="1392" t="s">
        <v>809</v>
      </c>
      <c r="UBW97" s="1392" t="s">
        <v>809</v>
      </c>
      <c r="UBX97" s="1392" t="s">
        <v>809</v>
      </c>
      <c r="UBY97" s="1392" t="s">
        <v>809</v>
      </c>
      <c r="UBZ97" s="1392" t="s">
        <v>809</v>
      </c>
      <c r="UCA97" s="1392" t="s">
        <v>809</v>
      </c>
      <c r="UCB97" s="1392" t="s">
        <v>809</v>
      </c>
      <c r="UCC97" s="1392" t="s">
        <v>809</v>
      </c>
      <c r="UCD97" s="1392" t="s">
        <v>809</v>
      </c>
      <c r="UCE97" s="1392" t="s">
        <v>809</v>
      </c>
      <c r="UCF97" s="1392" t="s">
        <v>809</v>
      </c>
      <c r="UCG97" s="1392" t="s">
        <v>809</v>
      </c>
      <c r="UCH97" s="1392" t="s">
        <v>809</v>
      </c>
      <c r="UCI97" s="1392" t="s">
        <v>809</v>
      </c>
      <c r="UCJ97" s="1392" t="s">
        <v>809</v>
      </c>
      <c r="UCK97" s="1392" t="s">
        <v>809</v>
      </c>
      <c r="UCL97" s="1392" t="s">
        <v>809</v>
      </c>
      <c r="UCM97" s="1392" t="s">
        <v>809</v>
      </c>
      <c r="UCN97" s="1392" t="s">
        <v>809</v>
      </c>
      <c r="UCO97" s="1392" t="s">
        <v>809</v>
      </c>
      <c r="UCP97" s="1392" t="s">
        <v>809</v>
      </c>
      <c r="UCQ97" s="1392" t="s">
        <v>809</v>
      </c>
      <c r="UCR97" s="1392" t="s">
        <v>809</v>
      </c>
      <c r="UCS97" s="1392" t="s">
        <v>809</v>
      </c>
      <c r="UCT97" s="1392" t="s">
        <v>809</v>
      </c>
      <c r="UCU97" s="1392" t="s">
        <v>809</v>
      </c>
      <c r="UCV97" s="1392" t="s">
        <v>809</v>
      </c>
      <c r="UCW97" s="1392" t="s">
        <v>809</v>
      </c>
      <c r="UCX97" s="1392" t="s">
        <v>809</v>
      </c>
      <c r="UCY97" s="1392" t="s">
        <v>809</v>
      </c>
      <c r="UCZ97" s="1392" t="s">
        <v>809</v>
      </c>
      <c r="UDA97" s="1392" t="s">
        <v>809</v>
      </c>
      <c r="UDB97" s="1392" t="s">
        <v>809</v>
      </c>
      <c r="UDC97" s="1392" t="s">
        <v>809</v>
      </c>
      <c r="UDD97" s="1392" t="s">
        <v>809</v>
      </c>
      <c r="UDE97" s="1392" t="s">
        <v>809</v>
      </c>
      <c r="UDF97" s="1392" t="s">
        <v>809</v>
      </c>
      <c r="UDG97" s="1392" t="s">
        <v>809</v>
      </c>
      <c r="UDH97" s="1392" t="s">
        <v>809</v>
      </c>
      <c r="UDI97" s="1392" t="s">
        <v>809</v>
      </c>
      <c r="UDJ97" s="1392" t="s">
        <v>809</v>
      </c>
      <c r="UDK97" s="1392" t="s">
        <v>809</v>
      </c>
      <c r="UDL97" s="1392" t="s">
        <v>809</v>
      </c>
      <c r="UDM97" s="1392" t="s">
        <v>809</v>
      </c>
      <c r="UDN97" s="1392" t="s">
        <v>809</v>
      </c>
      <c r="UDO97" s="1392" t="s">
        <v>809</v>
      </c>
      <c r="UDP97" s="1392" t="s">
        <v>809</v>
      </c>
      <c r="UDQ97" s="1392" t="s">
        <v>809</v>
      </c>
      <c r="UDR97" s="1392" t="s">
        <v>809</v>
      </c>
      <c r="UDS97" s="1392" t="s">
        <v>809</v>
      </c>
      <c r="UDT97" s="1392" t="s">
        <v>809</v>
      </c>
      <c r="UDU97" s="1392" t="s">
        <v>809</v>
      </c>
      <c r="UDV97" s="1392" t="s">
        <v>809</v>
      </c>
      <c r="UDW97" s="1392" t="s">
        <v>809</v>
      </c>
      <c r="UDX97" s="1392" t="s">
        <v>809</v>
      </c>
      <c r="UDY97" s="1392" t="s">
        <v>809</v>
      </c>
      <c r="UDZ97" s="1392" t="s">
        <v>809</v>
      </c>
      <c r="UEA97" s="1392" t="s">
        <v>809</v>
      </c>
      <c r="UEB97" s="1392" t="s">
        <v>809</v>
      </c>
      <c r="UEC97" s="1392" t="s">
        <v>809</v>
      </c>
      <c r="UED97" s="1392" t="s">
        <v>809</v>
      </c>
      <c r="UEE97" s="1392" t="s">
        <v>809</v>
      </c>
      <c r="UEF97" s="1392" t="s">
        <v>809</v>
      </c>
      <c r="UEG97" s="1392" t="s">
        <v>809</v>
      </c>
      <c r="UEH97" s="1392" t="s">
        <v>809</v>
      </c>
      <c r="UEI97" s="1392" t="s">
        <v>809</v>
      </c>
      <c r="UEJ97" s="1392" t="s">
        <v>809</v>
      </c>
      <c r="UEK97" s="1392" t="s">
        <v>809</v>
      </c>
      <c r="UEL97" s="1392" t="s">
        <v>809</v>
      </c>
      <c r="UEM97" s="1392" t="s">
        <v>809</v>
      </c>
      <c r="UEN97" s="1392" t="s">
        <v>809</v>
      </c>
      <c r="UEO97" s="1392" t="s">
        <v>809</v>
      </c>
      <c r="UEP97" s="1392" t="s">
        <v>809</v>
      </c>
      <c r="UEQ97" s="1392" t="s">
        <v>809</v>
      </c>
      <c r="UER97" s="1392" t="s">
        <v>809</v>
      </c>
      <c r="UES97" s="1392" t="s">
        <v>809</v>
      </c>
      <c r="UET97" s="1392" t="s">
        <v>809</v>
      </c>
      <c r="UEU97" s="1392" t="s">
        <v>809</v>
      </c>
      <c r="UEV97" s="1392" t="s">
        <v>809</v>
      </c>
      <c r="UEW97" s="1392" t="s">
        <v>809</v>
      </c>
      <c r="UEX97" s="1392" t="s">
        <v>809</v>
      </c>
      <c r="UEY97" s="1392" t="s">
        <v>809</v>
      </c>
      <c r="UEZ97" s="1392" t="s">
        <v>809</v>
      </c>
      <c r="UFA97" s="1392" t="s">
        <v>809</v>
      </c>
      <c r="UFB97" s="1392" t="s">
        <v>809</v>
      </c>
      <c r="UFC97" s="1392" t="s">
        <v>809</v>
      </c>
      <c r="UFD97" s="1392" t="s">
        <v>809</v>
      </c>
      <c r="UFE97" s="1392" t="s">
        <v>809</v>
      </c>
      <c r="UFF97" s="1392" t="s">
        <v>809</v>
      </c>
      <c r="UFG97" s="1392" t="s">
        <v>809</v>
      </c>
      <c r="UFH97" s="1392" t="s">
        <v>809</v>
      </c>
      <c r="UFI97" s="1392" t="s">
        <v>809</v>
      </c>
      <c r="UFJ97" s="1392" t="s">
        <v>809</v>
      </c>
      <c r="UFK97" s="1392" t="s">
        <v>809</v>
      </c>
      <c r="UFL97" s="1392" t="s">
        <v>809</v>
      </c>
      <c r="UFM97" s="1392" t="s">
        <v>809</v>
      </c>
      <c r="UFN97" s="1392" t="s">
        <v>809</v>
      </c>
      <c r="UFO97" s="1392" t="s">
        <v>809</v>
      </c>
      <c r="UFP97" s="1392" t="s">
        <v>809</v>
      </c>
      <c r="UFQ97" s="1392" t="s">
        <v>809</v>
      </c>
      <c r="UFR97" s="1392" t="s">
        <v>809</v>
      </c>
      <c r="UFS97" s="1392" t="s">
        <v>809</v>
      </c>
      <c r="UFT97" s="1392" t="s">
        <v>809</v>
      </c>
      <c r="UFU97" s="1392" t="s">
        <v>809</v>
      </c>
      <c r="UFV97" s="1392" t="s">
        <v>809</v>
      </c>
      <c r="UFW97" s="1392" t="s">
        <v>809</v>
      </c>
      <c r="UFX97" s="1392" t="s">
        <v>809</v>
      </c>
      <c r="UFY97" s="1392" t="s">
        <v>809</v>
      </c>
      <c r="UFZ97" s="1392" t="s">
        <v>809</v>
      </c>
      <c r="UGA97" s="1392" t="s">
        <v>809</v>
      </c>
      <c r="UGB97" s="1392" t="s">
        <v>809</v>
      </c>
      <c r="UGC97" s="1392" t="s">
        <v>809</v>
      </c>
      <c r="UGD97" s="1392" t="s">
        <v>809</v>
      </c>
      <c r="UGE97" s="1392" t="s">
        <v>809</v>
      </c>
      <c r="UGF97" s="1392" t="s">
        <v>809</v>
      </c>
      <c r="UGG97" s="1392" t="s">
        <v>809</v>
      </c>
      <c r="UGH97" s="1392" t="s">
        <v>809</v>
      </c>
      <c r="UGI97" s="1392" t="s">
        <v>809</v>
      </c>
      <c r="UGJ97" s="1392" t="s">
        <v>809</v>
      </c>
      <c r="UGK97" s="1392" t="s">
        <v>809</v>
      </c>
      <c r="UGL97" s="1392" t="s">
        <v>809</v>
      </c>
      <c r="UGM97" s="1392" t="s">
        <v>809</v>
      </c>
      <c r="UGN97" s="1392" t="s">
        <v>809</v>
      </c>
      <c r="UGO97" s="1392" t="s">
        <v>809</v>
      </c>
      <c r="UGP97" s="1392" t="s">
        <v>809</v>
      </c>
      <c r="UGQ97" s="1392" t="s">
        <v>809</v>
      </c>
      <c r="UGR97" s="1392" t="s">
        <v>809</v>
      </c>
      <c r="UGS97" s="1392" t="s">
        <v>809</v>
      </c>
      <c r="UGT97" s="1392" t="s">
        <v>809</v>
      </c>
      <c r="UGU97" s="1392" t="s">
        <v>809</v>
      </c>
      <c r="UGV97" s="1392" t="s">
        <v>809</v>
      </c>
      <c r="UGW97" s="1392" t="s">
        <v>809</v>
      </c>
      <c r="UGX97" s="1392" t="s">
        <v>809</v>
      </c>
      <c r="UGY97" s="1392" t="s">
        <v>809</v>
      </c>
      <c r="UGZ97" s="1392" t="s">
        <v>809</v>
      </c>
      <c r="UHA97" s="1392" t="s">
        <v>809</v>
      </c>
      <c r="UHB97" s="1392" t="s">
        <v>809</v>
      </c>
      <c r="UHC97" s="1392" t="s">
        <v>809</v>
      </c>
      <c r="UHD97" s="1392" t="s">
        <v>809</v>
      </c>
      <c r="UHE97" s="1392" t="s">
        <v>809</v>
      </c>
      <c r="UHF97" s="1392" t="s">
        <v>809</v>
      </c>
      <c r="UHG97" s="1392" t="s">
        <v>809</v>
      </c>
      <c r="UHH97" s="1392" t="s">
        <v>809</v>
      </c>
      <c r="UHI97" s="1392" t="s">
        <v>809</v>
      </c>
      <c r="UHJ97" s="1392" t="s">
        <v>809</v>
      </c>
      <c r="UHK97" s="1392" t="s">
        <v>809</v>
      </c>
      <c r="UHL97" s="1392" t="s">
        <v>809</v>
      </c>
      <c r="UHM97" s="1392" t="s">
        <v>809</v>
      </c>
      <c r="UHN97" s="1392" t="s">
        <v>809</v>
      </c>
      <c r="UHO97" s="1392" t="s">
        <v>809</v>
      </c>
      <c r="UHP97" s="1392" t="s">
        <v>809</v>
      </c>
      <c r="UHQ97" s="1392" t="s">
        <v>809</v>
      </c>
      <c r="UHR97" s="1392" t="s">
        <v>809</v>
      </c>
      <c r="UHS97" s="1392" t="s">
        <v>809</v>
      </c>
      <c r="UHT97" s="1392" t="s">
        <v>809</v>
      </c>
      <c r="UHU97" s="1392" t="s">
        <v>809</v>
      </c>
      <c r="UHV97" s="1392" t="s">
        <v>809</v>
      </c>
      <c r="UHW97" s="1392" t="s">
        <v>809</v>
      </c>
      <c r="UHX97" s="1392" t="s">
        <v>809</v>
      </c>
      <c r="UHY97" s="1392" t="s">
        <v>809</v>
      </c>
      <c r="UHZ97" s="1392" t="s">
        <v>809</v>
      </c>
      <c r="UIA97" s="1392" t="s">
        <v>809</v>
      </c>
      <c r="UIB97" s="1392" t="s">
        <v>809</v>
      </c>
      <c r="UIC97" s="1392" t="s">
        <v>809</v>
      </c>
      <c r="UID97" s="1392" t="s">
        <v>809</v>
      </c>
      <c r="UIE97" s="1392" t="s">
        <v>809</v>
      </c>
      <c r="UIF97" s="1392" t="s">
        <v>809</v>
      </c>
      <c r="UIG97" s="1392" t="s">
        <v>809</v>
      </c>
      <c r="UIH97" s="1392" t="s">
        <v>809</v>
      </c>
      <c r="UII97" s="1392" t="s">
        <v>809</v>
      </c>
      <c r="UIJ97" s="1392" t="s">
        <v>809</v>
      </c>
      <c r="UIK97" s="1392" t="s">
        <v>809</v>
      </c>
      <c r="UIL97" s="1392" t="s">
        <v>809</v>
      </c>
      <c r="UIM97" s="1392" t="s">
        <v>809</v>
      </c>
      <c r="UIN97" s="1392" t="s">
        <v>809</v>
      </c>
      <c r="UIO97" s="1392" t="s">
        <v>809</v>
      </c>
      <c r="UIP97" s="1392" t="s">
        <v>809</v>
      </c>
      <c r="UIQ97" s="1392" t="s">
        <v>809</v>
      </c>
      <c r="UIR97" s="1392" t="s">
        <v>809</v>
      </c>
      <c r="UIS97" s="1392" t="s">
        <v>809</v>
      </c>
      <c r="UIT97" s="1392" t="s">
        <v>809</v>
      </c>
      <c r="UIU97" s="1392" t="s">
        <v>809</v>
      </c>
      <c r="UIV97" s="1392" t="s">
        <v>809</v>
      </c>
      <c r="UIW97" s="1392" t="s">
        <v>809</v>
      </c>
      <c r="UIX97" s="1392" t="s">
        <v>809</v>
      </c>
      <c r="UIY97" s="1392" t="s">
        <v>809</v>
      </c>
      <c r="UIZ97" s="1392" t="s">
        <v>809</v>
      </c>
      <c r="UJA97" s="1392" t="s">
        <v>809</v>
      </c>
      <c r="UJB97" s="1392" t="s">
        <v>809</v>
      </c>
      <c r="UJC97" s="1392" t="s">
        <v>809</v>
      </c>
      <c r="UJD97" s="1392" t="s">
        <v>809</v>
      </c>
      <c r="UJE97" s="1392" t="s">
        <v>809</v>
      </c>
      <c r="UJF97" s="1392" t="s">
        <v>809</v>
      </c>
      <c r="UJG97" s="1392" t="s">
        <v>809</v>
      </c>
      <c r="UJH97" s="1392" t="s">
        <v>809</v>
      </c>
      <c r="UJI97" s="1392" t="s">
        <v>809</v>
      </c>
      <c r="UJJ97" s="1392" t="s">
        <v>809</v>
      </c>
      <c r="UJK97" s="1392" t="s">
        <v>809</v>
      </c>
      <c r="UJL97" s="1392" t="s">
        <v>809</v>
      </c>
      <c r="UJM97" s="1392" t="s">
        <v>809</v>
      </c>
      <c r="UJN97" s="1392" t="s">
        <v>809</v>
      </c>
      <c r="UJO97" s="1392" t="s">
        <v>809</v>
      </c>
      <c r="UJP97" s="1392" t="s">
        <v>809</v>
      </c>
      <c r="UJQ97" s="1392" t="s">
        <v>809</v>
      </c>
      <c r="UJR97" s="1392" t="s">
        <v>809</v>
      </c>
      <c r="UJS97" s="1392" t="s">
        <v>809</v>
      </c>
      <c r="UJT97" s="1392" t="s">
        <v>809</v>
      </c>
      <c r="UJU97" s="1392" t="s">
        <v>809</v>
      </c>
      <c r="UJV97" s="1392" t="s">
        <v>809</v>
      </c>
      <c r="UJW97" s="1392" t="s">
        <v>809</v>
      </c>
      <c r="UJX97" s="1392" t="s">
        <v>809</v>
      </c>
      <c r="UJY97" s="1392" t="s">
        <v>809</v>
      </c>
      <c r="UJZ97" s="1392" t="s">
        <v>809</v>
      </c>
      <c r="UKA97" s="1392" t="s">
        <v>809</v>
      </c>
      <c r="UKB97" s="1392" t="s">
        <v>809</v>
      </c>
      <c r="UKC97" s="1392" t="s">
        <v>809</v>
      </c>
      <c r="UKD97" s="1392" t="s">
        <v>809</v>
      </c>
      <c r="UKE97" s="1392" t="s">
        <v>809</v>
      </c>
      <c r="UKF97" s="1392" t="s">
        <v>809</v>
      </c>
      <c r="UKG97" s="1392" t="s">
        <v>809</v>
      </c>
      <c r="UKH97" s="1392" t="s">
        <v>809</v>
      </c>
      <c r="UKI97" s="1392" t="s">
        <v>809</v>
      </c>
      <c r="UKJ97" s="1392" t="s">
        <v>809</v>
      </c>
      <c r="UKK97" s="1392" t="s">
        <v>809</v>
      </c>
      <c r="UKL97" s="1392" t="s">
        <v>809</v>
      </c>
      <c r="UKM97" s="1392" t="s">
        <v>809</v>
      </c>
      <c r="UKN97" s="1392" t="s">
        <v>809</v>
      </c>
      <c r="UKO97" s="1392" t="s">
        <v>809</v>
      </c>
      <c r="UKP97" s="1392" t="s">
        <v>809</v>
      </c>
      <c r="UKQ97" s="1392" t="s">
        <v>809</v>
      </c>
      <c r="UKR97" s="1392" t="s">
        <v>809</v>
      </c>
      <c r="UKS97" s="1392" t="s">
        <v>809</v>
      </c>
      <c r="UKT97" s="1392" t="s">
        <v>809</v>
      </c>
      <c r="UKU97" s="1392" t="s">
        <v>809</v>
      </c>
      <c r="UKV97" s="1392" t="s">
        <v>809</v>
      </c>
      <c r="UKW97" s="1392" t="s">
        <v>809</v>
      </c>
      <c r="UKX97" s="1392" t="s">
        <v>809</v>
      </c>
      <c r="UKY97" s="1392" t="s">
        <v>809</v>
      </c>
      <c r="UKZ97" s="1392" t="s">
        <v>809</v>
      </c>
      <c r="ULA97" s="1392" t="s">
        <v>809</v>
      </c>
      <c r="ULB97" s="1392" t="s">
        <v>809</v>
      </c>
      <c r="ULC97" s="1392" t="s">
        <v>809</v>
      </c>
      <c r="ULD97" s="1392" t="s">
        <v>809</v>
      </c>
      <c r="ULE97" s="1392" t="s">
        <v>809</v>
      </c>
      <c r="ULF97" s="1392" t="s">
        <v>809</v>
      </c>
      <c r="ULG97" s="1392" t="s">
        <v>809</v>
      </c>
      <c r="ULH97" s="1392" t="s">
        <v>809</v>
      </c>
      <c r="ULI97" s="1392" t="s">
        <v>809</v>
      </c>
      <c r="ULJ97" s="1392" t="s">
        <v>809</v>
      </c>
      <c r="ULK97" s="1392" t="s">
        <v>809</v>
      </c>
      <c r="ULL97" s="1392" t="s">
        <v>809</v>
      </c>
      <c r="ULM97" s="1392" t="s">
        <v>809</v>
      </c>
      <c r="ULN97" s="1392" t="s">
        <v>809</v>
      </c>
      <c r="ULO97" s="1392" t="s">
        <v>809</v>
      </c>
      <c r="ULP97" s="1392" t="s">
        <v>809</v>
      </c>
      <c r="ULQ97" s="1392" t="s">
        <v>809</v>
      </c>
      <c r="ULR97" s="1392" t="s">
        <v>809</v>
      </c>
      <c r="ULS97" s="1392" t="s">
        <v>809</v>
      </c>
      <c r="ULT97" s="1392" t="s">
        <v>809</v>
      </c>
      <c r="ULU97" s="1392" t="s">
        <v>809</v>
      </c>
      <c r="ULV97" s="1392" t="s">
        <v>809</v>
      </c>
      <c r="ULW97" s="1392" t="s">
        <v>809</v>
      </c>
      <c r="ULX97" s="1392" t="s">
        <v>809</v>
      </c>
      <c r="ULY97" s="1392" t="s">
        <v>809</v>
      </c>
      <c r="ULZ97" s="1392" t="s">
        <v>809</v>
      </c>
      <c r="UMA97" s="1392" t="s">
        <v>809</v>
      </c>
      <c r="UMB97" s="1392" t="s">
        <v>809</v>
      </c>
      <c r="UMC97" s="1392" t="s">
        <v>809</v>
      </c>
      <c r="UMD97" s="1392" t="s">
        <v>809</v>
      </c>
      <c r="UME97" s="1392" t="s">
        <v>809</v>
      </c>
      <c r="UMF97" s="1392" t="s">
        <v>809</v>
      </c>
      <c r="UMG97" s="1392" t="s">
        <v>809</v>
      </c>
      <c r="UMH97" s="1392" t="s">
        <v>809</v>
      </c>
      <c r="UMI97" s="1392" t="s">
        <v>809</v>
      </c>
      <c r="UMJ97" s="1392" t="s">
        <v>809</v>
      </c>
      <c r="UMK97" s="1392" t="s">
        <v>809</v>
      </c>
      <c r="UML97" s="1392" t="s">
        <v>809</v>
      </c>
      <c r="UMM97" s="1392" t="s">
        <v>809</v>
      </c>
      <c r="UMN97" s="1392" t="s">
        <v>809</v>
      </c>
      <c r="UMO97" s="1392" t="s">
        <v>809</v>
      </c>
      <c r="UMP97" s="1392" t="s">
        <v>809</v>
      </c>
      <c r="UMQ97" s="1392" t="s">
        <v>809</v>
      </c>
      <c r="UMR97" s="1392" t="s">
        <v>809</v>
      </c>
      <c r="UMS97" s="1392" t="s">
        <v>809</v>
      </c>
      <c r="UMT97" s="1392" t="s">
        <v>809</v>
      </c>
      <c r="UMU97" s="1392" t="s">
        <v>809</v>
      </c>
      <c r="UMV97" s="1392" t="s">
        <v>809</v>
      </c>
      <c r="UMW97" s="1392" t="s">
        <v>809</v>
      </c>
      <c r="UMX97" s="1392" t="s">
        <v>809</v>
      </c>
      <c r="UMY97" s="1392" t="s">
        <v>809</v>
      </c>
      <c r="UMZ97" s="1392" t="s">
        <v>809</v>
      </c>
      <c r="UNA97" s="1392" t="s">
        <v>809</v>
      </c>
      <c r="UNB97" s="1392" t="s">
        <v>809</v>
      </c>
      <c r="UNC97" s="1392" t="s">
        <v>809</v>
      </c>
      <c r="UND97" s="1392" t="s">
        <v>809</v>
      </c>
      <c r="UNE97" s="1392" t="s">
        <v>809</v>
      </c>
      <c r="UNF97" s="1392" t="s">
        <v>809</v>
      </c>
      <c r="UNG97" s="1392" t="s">
        <v>809</v>
      </c>
      <c r="UNH97" s="1392" t="s">
        <v>809</v>
      </c>
      <c r="UNI97" s="1392" t="s">
        <v>809</v>
      </c>
      <c r="UNJ97" s="1392" t="s">
        <v>809</v>
      </c>
      <c r="UNK97" s="1392" t="s">
        <v>809</v>
      </c>
      <c r="UNL97" s="1392" t="s">
        <v>809</v>
      </c>
      <c r="UNM97" s="1392" t="s">
        <v>809</v>
      </c>
      <c r="UNN97" s="1392" t="s">
        <v>809</v>
      </c>
      <c r="UNO97" s="1392" t="s">
        <v>809</v>
      </c>
      <c r="UNP97" s="1392" t="s">
        <v>809</v>
      </c>
      <c r="UNQ97" s="1392" t="s">
        <v>809</v>
      </c>
      <c r="UNR97" s="1392" t="s">
        <v>809</v>
      </c>
      <c r="UNS97" s="1392" t="s">
        <v>809</v>
      </c>
      <c r="UNT97" s="1392" t="s">
        <v>809</v>
      </c>
      <c r="UNU97" s="1392" t="s">
        <v>809</v>
      </c>
      <c r="UNV97" s="1392" t="s">
        <v>809</v>
      </c>
      <c r="UNW97" s="1392" t="s">
        <v>809</v>
      </c>
      <c r="UNX97" s="1392" t="s">
        <v>809</v>
      </c>
      <c r="UNY97" s="1392" t="s">
        <v>809</v>
      </c>
      <c r="UNZ97" s="1392" t="s">
        <v>809</v>
      </c>
      <c r="UOA97" s="1392" t="s">
        <v>809</v>
      </c>
      <c r="UOB97" s="1392" t="s">
        <v>809</v>
      </c>
      <c r="UOC97" s="1392" t="s">
        <v>809</v>
      </c>
      <c r="UOD97" s="1392" t="s">
        <v>809</v>
      </c>
      <c r="UOE97" s="1392" t="s">
        <v>809</v>
      </c>
      <c r="UOF97" s="1392" t="s">
        <v>809</v>
      </c>
      <c r="UOG97" s="1392" t="s">
        <v>809</v>
      </c>
      <c r="UOH97" s="1392" t="s">
        <v>809</v>
      </c>
      <c r="UOI97" s="1392" t="s">
        <v>809</v>
      </c>
      <c r="UOJ97" s="1392" t="s">
        <v>809</v>
      </c>
      <c r="UOK97" s="1392" t="s">
        <v>809</v>
      </c>
      <c r="UOL97" s="1392" t="s">
        <v>809</v>
      </c>
      <c r="UOM97" s="1392" t="s">
        <v>809</v>
      </c>
      <c r="UON97" s="1392" t="s">
        <v>809</v>
      </c>
      <c r="UOO97" s="1392" t="s">
        <v>809</v>
      </c>
      <c r="UOP97" s="1392" t="s">
        <v>809</v>
      </c>
      <c r="UOQ97" s="1392" t="s">
        <v>809</v>
      </c>
      <c r="UOR97" s="1392" t="s">
        <v>809</v>
      </c>
      <c r="UOS97" s="1392" t="s">
        <v>809</v>
      </c>
      <c r="UOT97" s="1392" t="s">
        <v>809</v>
      </c>
      <c r="UOU97" s="1392" t="s">
        <v>809</v>
      </c>
      <c r="UOV97" s="1392" t="s">
        <v>809</v>
      </c>
      <c r="UOW97" s="1392" t="s">
        <v>809</v>
      </c>
      <c r="UOX97" s="1392" t="s">
        <v>809</v>
      </c>
      <c r="UOY97" s="1392" t="s">
        <v>809</v>
      </c>
      <c r="UOZ97" s="1392" t="s">
        <v>809</v>
      </c>
      <c r="UPA97" s="1392" t="s">
        <v>809</v>
      </c>
      <c r="UPB97" s="1392" t="s">
        <v>809</v>
      </c>
      <c r="UPC97" s="1392" t="s">
        <v>809</v>
      </c>
      <c r="UPD97" s="1392" t="s">
        <v>809</v>
      </c>
      <c r="UPE97" s="1392" t="s">
        <v>809</v>
      </c>
      <c r="UPF97" s="1392" t="s">
        <v>809</v>
      </c>
      <c r="UPG97" s="1392" t="s">
        <v>809</v>
      </c>
      <c r="UPH97" s="1392" t="s">
        <v>809</v>
      </c>
      <c r="UPI97" s="1392" t="s">
        <v>809</v>
      </c>
      <c r="UPJ97" s="1392" t="s">
        <v>809</v>
      </c>
      <c r="UPK97" s="1392" t="s">
        <v>809</v>
      </c>
      <c r="UPL97" s="1392" t="s">
        <v>809</v>
      </c>
      <c r="UPM97" s="1392" t="s">
        <v>809</v>
      </c>
      <c r="UPN97" s="1392" t="s">
        <v>809</v>
      </c>
      <c r="UPO97" s="1392" t="s">
        <v>809</v>
      </c>
      <c r="UPP97" s="1392" t="s">
        <v>809</v>
      </c>
      <c r="UPQ97" s="1392" t="s">
        <v>809</v>
      </c>
      <c r="UPR97" s="1392" t="s">
        <v>809</v>
      </c>
      <c r="UPS97" s="1392" t="s">
        <v>809</v>
      </c>
      <c r="UPT97" s="1392" t="s">
        <v>809</v>
      </c>
      <c r="UPU97" s="1392" t="s">
        <v>809</v>
      </c>
      <c r="UPV97" s="1392" t="s">
        <v>809</v>
      </c>
      <c r="UPW97" s="1392" t="s">
        <v>809</v>
      </c>
      <c r="UPX97" s="1392" t="s">
        <v>809</v>
      </c>
      <c r="UPY97" s="1392" t="s">
        <v>809</v>
      </c>
      <c r="UPZ97" s="1392" t="s">
        <v>809</v>
      </c>
      <c r="UQA97" s="1392" t="s">
        <v>809</v>
      </c>
      <c r="UQB97" s="1392" t="s">
        <v>809</v>
      </c>
      <c r="UQC97" s="1392" t="s">
        <v>809</v>
      </c>
      <c r="UQD97" s="1392" t="s">
        <v>809</v>
      </c>
      <c r="UQE97" s="1392" t="s">
        <v>809</v>
      </c>
      <c r="UQF97" s="1392" t="s">
        <v>809</v>
      </c>
      <c r="UQG97" s="1392" t="s">
        <v>809</v>
      </c>
      <c r="UQH97" s="1392" t="s">
        <v>809</v>
      </c>
      <c r="UQI97" s="1392" t="s">
        <v>809</v>
      </c>
      <c r="UQJ97" s="1392" t="s">
        <v>809</v>
      </c>
      <c r="UQK97" s="1392" t="s">
        <v>809</v>
      </c>
      <c r="UQL97" s="1392" t="s">
        <v>809</v>
      </c>
      <c r="UQM97" s="1392" t="s">
        <v>809</v>
      </c>
      <c r="UQN97" s="1392" t="s">
        <v>809</v>
      </c>
      <c r="UQO97" s="1392" t="s">
        <v>809</v>
      </c>
      <c r="UQP97" s="1392" t="s">
        <v>809</v>
      </c>
      <c r="UQQ97" s="1392" t="s">
        <v>809</v>
      </c>
      <c r="UQR97" s="1392" t="s">
        <v>809</v>
      </c>
      <c r="UQS97" s="1392" t="s">
        <v>809</v>
      </c>
      <c r="UQT97" s="1392" t="s">
        <v>809</v>
      </c>
      <c r="UQU97" s="1392" t="s">
        <v>809</v>
      </c>
      <c r="UQV97" s="1392" t="s">
        <v>809</v>
      </c>
      <c r="UQW97" s="1392" t="s">
        <v>809</v>
      </c>
      <c r="UQX97" s="1392" t="s">
        <v>809</v>
      </c>
      <c r="UQY97" s="1392" t="s">
        <v>809</v>
      </c>
      <c r="UQZ97" s="1392" t="s">
        <v>809</v>
      </c>
      <c r="URA97" s="1392" t="s">
        <v>809</v>
      </c>
      <c r="URB97" s="1392" t="s">
        <v>809</v>
      </c>
      <c r="URC97" s="1392" t="s">
        <v>809</v>
      </c>
      <c r="URD97" s="1392" t="s">
        <v>809</v>
      </c>
      <c r="URE97" s="1392" t="s">
        <v>809</v>
      </c>
      <c r="URF97" s="1392" t="s">
        <v>809</v>
      </c>
      <c r="URG97" s="1392" t="s">
        <v>809</v>
      </c>
      <c r="URH97" s="1392" t="s">
        <v>809</v>
      </c>
      <c r="URI97" s="1392" t="s">
        <v>809</v>
      </c>
      <c r="URJ97" s="1392" t="s">
        <v>809</v>
      </c>
      <c r="URK97" s="1392" t="s">
        <v>809</v>
      </c>
      <c r="URL97" s="1392" t="s">
        <v>809</v>
      </c>
      <c r="URM97" s="1392" t="s">
        <v>809</v>
      </c>
      <c r="URN97" s="1392" t="s">
        <v>809</v>
      </c>
      <c r="URO97" s="1392" t="s">
        <v>809</v>
      </c>
      <c r="URP97" s="1392" t="s">
        <v>809</v>
      </c>
      <c r="URQ97" s="1392" t="s">
        <v>809</v>
      </c>
      <c r="URR97" s="1392" t="s">
        <v>809</v>
      </c>
      <c r="URS97" s="1392" t="s">
        <v>809</v>
      </c>
      <c r="URT97" s="1392" t="s">
        <v>809</v>
      </c>
      <c r="URU97" s="1392" t="s">
        <v>809</v>
      </c>
      <c r="URV97" s="1392" t="s">
        <v>809</v>
      </c>
      <c r="URW97" s="1392" t="s">
        <v>809</v>
      </c>
      <c r="URX97" s="1392" t="s">
        <v>809</v>
      </c>
      <c r="URY97" s="1392" t="s">
        <v>809</v>
      </c>
      <c r="URZ97" s="1392" t="s">
        <v>809</v>
      </c>
      <c r="USA97" s="1392" t="s">
        <v>809</v>
      </c>
      <c r="USB97" s="1392" t="s">
        <v>809</v>
      </c>
      <c r="USC97" s="1392" t="s">
        <v>809</v>
      </c>
      <c r="USD97" s="1392" t="s">
        <v>809</v>
      </c>
      <c r="USE97" s="1392" t="s">
        <v>809</v>
      </c>
      <c r="USF97" s="1392" t="s">
        <v>809</v>
      </c>
      <c r="USG97" s="1392" t="s">
        <v>809</v>
      </c>
      <c r="USH97" s="1392" t="s">
        <v>809</v>
      </c>
      <c r="USI97" s="1392" t="s">
        <v>809</v>
      </c>
      <c r="USJ97" s="1392" t="s">
        <v>809</v>
      </c>
      <c r="USK97" s="1392" t="s">
        <v>809</v>
      </c>
      <c r="USL97" s="1392" t="s">
        <v>809</v>
      </c>
      <c r="USM97" s="1392" t="s">
        <v>809</v>
      </c>
      <c r="USN97" s="1392" t="s">
        <v>809</v>
      </c>
      <c r="USO97" s="1392" t="s">
        <v>809</v>
      </c>
      <c r="USP97" s="1392" t="s">
        <v>809</v>
      </c>
      <c r="USQ97" s="1392" t="s">
        <v>809</v>
      </c>
      <c r="USR97" s="1392" t="s">
        <v>809</v>
      </c>
      <c r="USS97" s="1392" t="s">
        <v>809</v>
      </c>
      <c r="UST97" s="1392" t="s">
        <v>809</v>
      </c>
      <c r="USU97" s="1392" t="s">
        <v>809</v>
      </c>
      <c r="USV97" s="1392" t="s">
        <v>809</v>
      </c>
      <c r="USW97" s="1392" t="s">
        <v>809</v>
      </c>
      <c r="USX97" s="1392" t="s">
        <v>809</v>
      </c>
      <c r="USY97" s="1392" t="s">
        <v>809</v>
      </c>
      <c r="USZ97" s="1392" t="s">
        <v>809</v>
      </c>
      <c r="UTA97" s="1392" t="s">
        <v>809</v>
      </c>
      <c r="UTB97" s="1392" t="s">
        <v>809</v>
      </c>
      <c r="UTC97" s="1392" t="s">
        <v>809</v>
      </c>
      <c r="UTD97" s="1392" t="s">
        <v>809</v>
      </c>
      <c r="UTE97" s="1392" t="s">
        <v>809</v>
      </c>
      <c r="UTF97" s="1392" t="s">
        <v>809</v>
      </c>
      <c r="UTG97" s="1392" t="s">
        <v>809</v>
      </c>
      <c r="UTH97" s="1392" t="s">
        <v>809</v>
      </c>
      <c r="UTI97" s="1392" t="s">
        <v>809</v>
      </c>
      <c r="UTJ97" s="1392" t="s">
        <v>809</v>
      </c>
      <c r="UTK97" s="1392" t="s">
        <v>809</v>
      </c>
      <c r="UTL97" s="1392" t="s">
        <v>809</v>
      </c>
      <c r="UTM97" s="1392" t="s">
        <v>809</v>
      </c>
      <c r="UTN97" s="1392" t="s">
        <v>809</v>
      </c>
      <c r="UTO97" s="1392" t="s">
        <v>809</v>
      </c>
      <c r="UTP97" s="1392" t="s">
        <v>809</v>
      </c>
      <c r="UTQ97" s="1392" t="s">
        <v>809</v>
      </c>
      <c r="UTR97" s="1392" t="s">
        <v>809</v>
      </c>
      <c r="UTS97" s="1392" t="s">
        <v>809</v>
      </c>
      <c r="UTT97" s="1392" t="s">
        <v>809</v>
      </c>
      <c r="UTU97" s="1392" t="s">
        <v>809</v>
      </c>
      <c r="UTV97" s="1392" t="s">
        <v>809</v>
      </c>
      <c r="UTW97" s="1392" t="s">
        <v>809</v>
      </c>
      <c r="UTX97" s="1392" t="s">
        <v>809</v>
      </c>
      <c r="UTY97" s="1392" t="s">
        <v>809</v>
      </c>
      <c r="UTZ97" s="1392" t="s">
        <v>809</v>
      </c>
      <c r="UUA97" s="1392" t="s">
        <v>809</v>
      </c>
      <c r="UUB97" s="1392" t="s">
        <v>809</v>
      </c>
      <c r="UUC97" s="1392" t="s">
        <v>809</v>
      </c>
      <c r="UUD97" s="1392" t="s">
        <v>809</v>
      </c>
      <c r="UUE97" s="1392" t="s">
        <v>809</v>
      </c>
      <c r="UUF97" s="1392" t="s">
        <v>809</v>
      </c>
      <c r="UUG97" s="1392" t="s">
        <v>809</v>
      </c>
      <c r="UUH97" s="1392" t="s">
        <v>809</v>
      </c>
      <c r="UUI97" s="1392" t="s">
        <v>809</v>
      </c>
      <c r="UUJ97" s="1392" t="s">
        <v>809</v>
      </c>
      <c r="UUK97" s="1392" t="s">
        <v>809</v>
      </c>
      <c r="UUL97" s="1392" t="s">
        <v>809</v>
      </c>
      <c r="UUM97" s="1392" t="s">
        <v>809</v>
      </c>
      <c r="UUN97" s="1392" t="s">
        <v>809</v>
      </c>
      <c r="UUO97" s="1392" t="s">
        <v>809</v>
      </c>
      <c r="UUP97" s="1392" t="s">
        <v>809</v>
      </c>
      <c r="UUQ97" s="1392" t="s">
        <v>809</v>
      </c>
      <c r="UUR97" s="1392" t="s">
        <v>809</v>
      </c>
      <c r="UUS97" s="1392" t="s">
        <v>809</v>
      </c>
      <c r="UUT97" s="1392" t="s">
        <v>809</v>
      </c>
      <c r="UUU97" s="1392" t="s">
        <v>809</v>
      </c>
      <c r="UUV97" s="1392" t="s">
        <v>809</v>
      </c>
      <c r="UUW97" s="1392" t="s">
        <v>809</v>
      </c>
      <c r="UUX97" s="1392" t="s">
        <v>809</v>
      </c>
      <c r="UUY97" s="1392" t="s">
        <v>809</v>
      </c>
      <c r="UUZ97" s="1392" t="s">
        <v>809</v>
      </c>
      <c r="UVA97" s="1392" t="s">
        <v>809</v>
      </c>
      <c r="UVB97" s="1392" t="s">
        <v>809</v>
      </c>
      <c r="UVC97" s="1392" t="s">
        <v>809</v>
      </c>
      <c r="UVD97" s="1392" t="s">
        <v>809</v>
      </c>
      <c r="UVE97" s="1392" t="s">
        <v>809</v>
      </c>
      <c r="UVF97" s="1392" t="s">
        <v>809</v>
      </c>
      <c r="UVG97" s="1392" t="s">
        <v>809</v>
      </c>
      <c r="UVH97" s="1392" t="s">
        <v>809</v>
      </c>
      <c r="UVI97" s="1392" t="s">
        <v>809</v>
      </c>
      <c r="UVJ97" s="1392" t="s">
        <v>809</v>
      </c>
      <c r="UVK97" s="1392" t="s">
        <v>809</v>
      </c>
      <c r="UVL97" s="1392" t="s">
        <v>809</v>
      </c>
      <c r="UVM97" s="1392" t="s">
        <v>809</v>
      </c>
      <c r="UVN97" s="1392" t="s">
        <v>809</v>
      </c>
      <c r="UVO97" s="1392" t="s">
        <v>809</v>
      </c>
      <c r="UVP97" s="1392" t="s">
        <v>809</v>
      </c>
      <c r="UVQ97" s="1392" t="s">
        <v>809</v>
      </c>
      <c r="UVR97" s="1392" t="s">
        <v>809</v>
      </c>
      <c r="UVS97" s="1392" t="s">
        <v>809</v>
      </c>
      <c r="UVT97" s="1392" t="s">
        <v>809</v>
      </c>
      <c r="UVU97" s="1392" t="s">
        <v>809</v>
      </c>
      <c r="UVV97" s="1392" t="s">
        <v>809</v>
      </c>
      <c r="UVW97" s="1392" t="s">
        <v>809</v>
      </c>
      <c r="UVX97" s="1392" t="s">
        <v>809</v>
      </c>
      <c r="UVY97" s="1392" t="s">
        <v>809</v>
      </c>
      <c r="UVZ97" s="1392" t="s">
        <v>809</v>
      </c>
      <c r="UWA97" s="1392" t="s">
        <v>809</v>
      </c>
      <c r="UWB97" s="1392" t="s">
        <v>809</v>
      </c>
      <c r="UWC97" s="1392" t="s">
        <v>809</v>
      </c>
      <c r="UWD97" s="1392" t="s">
        <v>809</v>
      </c>
      <c r="UWE97" s="1392" t="s">
        <v>809</v>
      </c>
      <c r="UWF97" s="1392" t="s">
        <v>809</v>
      </c>
      <c r="UWG97" s="1392" t="s">
        <v>809</v>
      </c>
      <c r="UWH97" s="1392" t="s">
        <v>809</v>
      </c>
      <c r="UWI97" s="1392" t="s">
        <v>809</v>
      </c>
      <c r="UWJ97" s="1392" t="s">
        <v>809</v>
      </c>
      <c r="UWK97" s="1392" t="s">
        <v>809</v>
      </c>
      <c r="UWL97" s="1392" t="s">
        <v>809</v>
      </c>
      <c r="UWM97" s="1392" t="s">
        <v>809</v>
      </c>
      <c r="UWN97" s="1392" t="s">
        <v>809</v>
      </c>
      <c r="UWO97" s="1392" t="s">
        <v>809</v>
      </c>
      <c r="UWP97" s="1392" t="s">
        <v>809</v>
      </c>
      <c r="UWQ97" s="1392" t="s">
        <v>809</v>
      </c>
      <c r="UWR97" s="1392" t="s">
        <v>809</v>
      </c>
      <c r="UWS97" s="1392" t="s">
        <v>809</v>
      </c>
      <c r="UWT97" s="1392" t="s">
        <v>809</v>
      </c>
      <c r="UWU97" s="1392" t="s">
        <v>809</v>
      </c>
      <c r="UWV97" s="1392" t="s">
        <v>809</v>
      </c>
      <c r="UWW97" s="1392" t="s">
        <v>809</v>
      </c>
      <c r="UWX97" s="1392" t="s">
        <v>809</v>
      </c>
      <c r="UWY97" s="1392" t="s">
        <v>809</v>
      </c>
      <c r="UWZ97" s="1392" t="s">
        <v>809</v>
      </c>
      <c r="UXA97" s="1392" t="s">
        <v>809</v>
      </c>
      <c r="UXB97" s="1392" t="s">
        <v>809</v>
      </c>
      <c r="UXC97" s="1392" t="s">
        <v>809</v>
      </c>
      <c r="UXD97" s="1392" t="s">
        <v>809</v>
      </c>
      <c r="UXE97" s="1392" t="s">
        <v>809</v>
      </c>
      <c r="UXF97" s="1392" t="s">
        <v>809</v>
      </c>
      <c r="UXG97" s="1392" t="s">
        <v>809</v>
      </c>
      <c r="UXH97" s="1392" t="s">
        <v>809</v>
      </c>
      <c r="UXI97" s="1392" t="s">
        <v>809</v>
      </c>
      <c r="UXJ97" s="1392" t="s">
        <v>809</v>
      </c>
      <c r="UXK97" s="1392" t="s">
        <v>809</v>
      </c>
      <c r="UXL97" s="1392" t="s">
        <v>809</v>
      </c>
      <c r="UXM97" s="1392" t="s">
        <v>809</v>
      </c>
      <c r="UXN97" s="1392" t="s">
        <v>809</v>
      </c>
      <c r="UXO97" s="1392" t="s">
        <v>809</v>
      </c>
      <c r="UXP97" s="1392" t="s">
        <v>809</v>
      </c>
      <c r="UXQ97" s="1392" t="s">
        <v>809</v>
      </c>
      <c r="UXR97" s="1392" t="s">
        <v>809</v>
      </c>
      <c r="UXS97" s="1392" t="s">
        <v>809</v>
      </c>
      <c r="UXT97" s="1392" t="s">
        <v>809</v>
      </c>
      <c r="UXU97" s="1392" t="s">
        <v>809</v>
      </c>
      <c r="UXV97" s="1392" t="s">
        <v>809</v>
      </c>
      <c r="UXW97" s="1392" t="s">
        <v>809</v>
      </c>
      <c r="UXX97" s="1392" t="s">
        <v>809</v>
      </c>
      <c r="UXY97" s="1392" t="s">
        <v>809</v>
      </c>
      <c r="UXZ97" s="1392" t="s">
        <v>809</v>
      </c>
      <c r="UYA97" s="1392" t="s">
        <v>809</v>
      </c>
      <c r="UYB97" s="1392" t="s">
        <v>809</v>
      </c>
      <c r="UYC97" s="1392" t="s">
        <v>809</v>
      </c>
      <c r="UYD97" s="1392" t="s">
        <v>809</v>
      </c>
      <c r="UYE97" s="1392" t="s">
        <v>809</v>
      </c>
      <c r="UYF97" s="1392" t="s">
        <v>809</v>
      </c>
      <c r="UYG97" s="1392" t="s">
        <v>809</v>
      </c>
      <c r="UYH97" s="1392" t="s">
        <v>809</v>
      </c>
      <c r="UYI97" s="1392" t="s">
        <v>809</v>
      </c>
      <c r="UYJ97" s="1392" t="s">
        <v>809</v>
      </c>
      <c r="UYK97" s="1392" t="s">
        <v>809</v>
      </c>
      <c r="UYL97" s="1392" t="s">
        <v>809</v>
      </c>
      <c r="UYM97" s="1392" t="s">
        <v>809</v>
      </c>
      <c r="UYN97" s="1392" t="s">
        <v>809</v>
      </c>
      <c r="UYO97" s="1392" t="s">
        <v>809</v>
      </c>
      <c r="UYP97" s="1392" t="s">
        <v>809</v>
      </c>
      <c r="UYQ97" s="1392" t="s">
        <v>809</v>
      </c>
      <c r="UYR97" s="1392" t="s">
        <v>809</v>
      </c>
      <c r="UYS97" s="1392" t="s">
        <v>809</v>
      </c>
      <c r="UYT97" s="1392" t="s">
        <v>809</v>
      </c>
      <c r="UYU97" s="1392" t="s">
        <v>809</v>
      </c>
      <c r="UYV97" s="1392" t="s">
        <v>809</v>
      </c>
      <c r="UYW97" s="1392" t="s">
        <v>809</v>
      </c>
      <c r="UYX97" s="1392" t="s">
        <v>809</v>
      </c>
      <c r="UYY97" s="1392" t="s">
        <v>809</v>
      </c>
      <c r="UYZ97" s="1392" t="s">
        <v>809</v>
      </c>
      <c r="UZA97" s="1392" t="s">
        <v>809</v>
      </c>
      <c r="UZB97" s="1392" t="s">
        <v>809</v>
      </c>
      <c r="UZC97" s="1392" t="s">
        <v>809</v>
      </c>
      <c r="UZD97" s="1392" t="s">
        <v>809</v>
      </c>
      <c r="UZE97" s="1392" t="s">
        <v>809</v>
      </c>
      <c r="UZF97" s="1392" t="s">
        <v>809</v>
      </c>
      <c r="UZG97" s="1392" t="s">
        <v>809</v>
      </c>
      <c r="UZH97" s="1392" t="s">
        <v>809</v>
      </c>
      <c r="UZI97" s="1392" t="s">
        <v>809</v>
      </c>
      <c r="UZJ97" s="1392" t="s">
        <v>809</v>
      </c>
      <c r="UZK97" s="1392" t="s">
        <v>809</v>
      </c>
      <c r="UZL97" s="1392" t="s">
        <v>809</v>
      </c>
      <c r="UZM97" s="1392" t="s">
        <v>809</v>
      </c>
      <c r="UZN97" s="1392" t="s">
        <v>809</v>
      </c>
      <c r="UZO97" s="1392" t="s">
        <v>809</v>
      </c>
      <c r="UZP97" s="1392" t="s">
        <v>809</v>
      </c>
      <c r="UZQ97" s="1392" t="s">
        <v>809</v>
      </c>
      <c r="UZR97" s="1392" t="s">
        <v>809</v>
      </c>
      <c r="UZS97" s="1392" t="s">
        <v>809</v>
      </c>
      <c r="UZT97" s="1392" t="s">
        <v>809</v>
      </c>
      <c r="UZU97" s="1392" t="s">
        <v>809</v>
      </c>
      <c r="UZV97" s="1392" t="s">
        <v>809</v>
      </c>
      <c r="UZW97" s="1392" t="s">
        <v>809</v>
      </c>
      <c r="UZX97" s="1392" t="s">
        <v>809</v>
      </c>
      <c r="UZY97" s="1392" t="s">
        <v>809</v>
      </c>
      <c r="UZZ97" s="1392" t="s">
        <v>809</v>
      </c>
      <c r="VAA97" s="1392" t="s">
        <v>809</v>
      </c>
      <c r="VAB97" s="1392" t="s">
        <v>809</v>
      </c>
      <c r="VAC97" s="1392" t="s">
        <v>809</v>
      </c>
      <c r="VAD97" s="1392" t="s">
        <v>809</v>
      </c>
      <c r="VAE97" s="1392" t="s">
        <v>809</v>
      </c>
      <c r="VAF97" s="1392" t="s">
        <v>809</v>
      </c>
      <c r="VAG97" s="1392" t="s">
        <v>809</v>
      </c>
      <c r="VAH97" s="1392" t="s">
        <v>809</v>
      </c>
      <c r="VAI97" s="1392" t="s">
        <v>809</v>
      </c>
      <c r="VAJ97" s="1392" t="s">
        <v>809</v>
      </c>
      <c r="VAK97" s="1392" t="s">
        <v>809</v>
      </c>
      <c r="VAL97" s="1392" t="s">
        <v>809</v>
      </c>
      <c r="VAM97" s="1392" t="s">
        <v>809</v>
      </c>
      <c r="VAN97" s="1392" t="s">
        <v>809</v>
      </c>
      <c r="VAO97" s="1392" t="s">
        <v>809</v>
      </c>
      <c r="VAP97" s="1392" t="s">
        <v>809</v>
      </c>
      <c r="VAQ97" s="1392" t="s">
        <v>809</v>
      </c>
      <c r="VAR97" s="1392" t="s">
        <v>809</v>
      </c>
      <c r="VAS97" s="1392" t="s">
        <v>809</v>
      </c>
      <c r="VAT97" s="1392" t="s">
        <v>809</v>
      </c>
      <c r="VAU97" s="1392" t="s">
        <v>809</v>
      </c>
      <c r="VAV97" s="1392" t="s">
        <v>809</v>
      </c>
      <c r="VAW97" s="1392" t="s">
        <v>809</v>
      </c>
      <c r="VAX97" s="1392" t="s">
        <v>809</v>
      </c>
      <c r="VAY97" s="1392" t="s">
        <v>809</v>
      </c>
      <c r="VAZ97" s="1392" t="s">
        <v>809</v>
      </c>
      <c r="VBA97" s="1392" t="s">
        <v>809</v>
      </c>
      <c r="VBB97" s="1392" t="s">
        <v>809</v>
      </c>
      <c r="VBC97" s="1392" t="s">
        <v>809</v>
      </c>
      <c r="VBD97" s="1392" t="s">
        <v>809</v>
      </c>
      <c r="VBE97" s="1392" t="s">
        <v>809</v>
      </c>
      <c r="VBF97" s="1392" t="s">
        <v>809</v>
      </c>
      <c r="VBG97" s="1392" t="s">
        <v>809</v>
      </c>
      <c r="VBH97" s="1392" t="s">
        <v>809</v>
      </c>
      <c r="VBI97" s="1392" t="s">
        <v>809</v>
      </c>
      <c r="VBJ97" s="1392" t="s">
        <v>809</v>
      </c>
      <c r="VBK97" s="1392" t="s">
        <v>809</v>
      </c>
      <c r="VBL97" s="1392" t="s">
        <v>809</v>
      </c>
      <c r="VBM97" s="1392" t="s">
        <v>809</v>
      </c>
      <c r="VBN97" s="1392" t="s">
        <v>809</v>
      </c>
      <c r="VBO97" s="1392" t="s">
        <v>809</v>
      </c>
      <c r="VBP97" s="1392" t="s">
        <v>809</v>
      </c>
      <c r="VBQ97" s="1392" t="s">
        <v>809</v>
      </c>
      <c r="VBR97" s="1392" t="s">
        <v>809</v>
      </c>
      <c r="VBS97" s="1392" t="s">
        <v>809</v>
      </c>
      <c r="VBT97" s="1392" t="s">
        <v>809</v>
      </c>
      <c r="VBU97" s="1392" t="s">
        <v>809</v>
      </c>
      <c r="VBV97" s="1392" t="s">
        <v>809</v>
      </c>
      <c r="VBW97" s="1392" t="s">
        <v>809</v>
      </c>
      <c r="VBX97" s="1392" t="s">
        <v>809</v>
      </c>
      <c r="VBY97" s="1392" t="s">
        <v>809</v>
      </c>
      <c r="VBZ97" s="1392" t="s">
        <v>809</v>
      </c>
      <c r="VCA97" s="1392" t="s">
        <v>809</v>
      </c>
      <c r="VCB97" s="1392" t="s">
        <v>809</v>
      </c>
      <c r="VCC97" s="1392" t="s">
        <v>809</v>
      </c>
      <c r="VCD97" s="1392" t="s">
        <v>809</v>
      </c>
      <c r="VCE97" s="1392" t="s">
        <v>809</v>
      </c>
      <c r="VCF97" s="1392" t="s">
        <v>809</v>
      </c>
      <c r="VCG97" s="1392" t="s">
        <v>809</v>
      </c>
      <c r="VCH97" s="1392" t="s">
        <v>809</v>
      </c>
      <c r="VCI97" s="1392" t="s">
        <v>809</v>
      </c>
      <c r="VCJ97" s="1392" t="s">
        <v>809</v>
      </c>
      <c r="VCK97" s="1392" t="s">
        <v>809</v>
      </c>
      <c r="VCL97" s="1392" t="s">
        <v>809</v>
      </c>
      <c r="VCM97" s="1392" t="s">
        <v>809</v>
      </c>
      <c r="VCN97" s="1392" t="s">
        <v>809</v>
      </c>
      <c r="VCO97" s="1392" t="s">
        <v>809</v>
      </c>
      <c r="VCP97" s="1392" t="s">
        <v>809</v>
      </c>
      <c r="VCQ97" s="1392" t="s">
        <v>809</v>
      </c>
      <c r="VCR97" s="1392" t="s">
        <v>809</v>
      </c>
      <c r="VCS97" s="1392" t="s">
        <v>809</v>
      </c>
      <c r="VCT97" s="1392" t="s">
        <v>809</v>
      </c>
      <c r="VCU97" s="1392" t="s">
        <v>809</v>
      </c>
      <c r="VCV97" s="1392" t="s">
        <v>809</v>
      </c>
      <c r="VCW97" s="1392" t="s">
        <v>809</v>
      </c>
      <c r="VCX97" s="1392" t="s">
        <v>809</v>
      </c>
      <c r="VCY97" s="1392" t="s">
        <v>809</v>
      </c>
      <c r="VCZ97" s="1392" t="s">
        <v>809</v>
      </c>
      <c r="VDA97" s="1392" t="s">
        <v>809</v>
      </c>
      <c r="VDB97" s="1392" t="s">
        <v>809</v>
      </c>
      <c r="VDC97" s="1392" t="s">
        <v>809</v>
      </c>
      <c r="VDD97" s="1392" t="s">
        <v>809</v>
      </c>
      <c r="VDE97" s="1392" t="s">
        <v>809</v>
      </c>
      <c r="VDF97" s="1392" t="s">
        <v>809</v>
      </c>
      <c r="VDG97" s="1392" t="s">
        <v>809</v>
      </c>
      <c r="VDH97" s="1392" t="s">
        <v>809</v>
      </c>
      <c r="VDI97" s="1392" t="s">
        <v>809</v>
      </c>
      <c r="VDJ97" s="1392" t="s">
        <v>809</v>
      </c>
      <c r="VDK97" s="1392" t="s">
        <v>809</v>
      </c>
      <c r="VDL97" s="1392" t="s">
        <v>809</v>
      </c>
      <c r="VDM97" s="1392" t="s">
        <v>809</v>
      </c>
      <c r="VDN97" s="1392" t="s">
        <v>809</v>
      </c>
      <c r="VDO97" s="1392" t="s">
        <v>809</v>
      </c>
      <c r="VDP97" s="1392" t="s">
        <v>809</v>
      </c>
      <c r="VDQ97" s="1392" t="s">
        <v>809</v>
      </c>
      <c r="VDR97" s="1392" t="s">
        <v>809</v>
      </c>
      <c r="VDS97" s="1392" t="s">
        <v>809</v>
      </c>
      <c r="VDT97" s="1392" t="s">
        <v>809</v>
      </c>
      <c r="VDU97" s="1392" t="s">
        <v>809</v>
      </c>
      <c r="VDV97" s="1392" t="s">
        <v>809</v>
      </c>
      <c r="VDW97" s="1392" t="s">
        <v>809</v>
      </c>
      <c r="VDX97" s="1392" t="s">
        <v>809</v>
      </c>
      <c r="VDY97" s="1392" t="s">
        <v>809</v>
      </c>
      <c r="VDZ97" s="1392" t="s">
        <v>809</v>
      </c>
      <c r="VEA97" s="1392" t="s">
        <v>809</v>
      </c>
      <c r="VEB97" s="1392" t="s">
        <v>809</v>
      </c>
      <c r="VEC97" s="1392" t="s">
        <v>809</v>
      </c>
      <c r="VED97" s="1392" t="s">
        <v>809</v>
      </c>
      <c r="VEE97" s="1392" t="s">
        <v>809</v>
      </c>
      <c r="VEF97" s="1392" t="s">
        <v>809</v>
      </c>
      <c r="VEG97" s="1392" t="s">
        <v>809</v>
      </c>
      <c r="VEH97" s="1392" t="s">
        <v>809</v>
      </c>
      <c r="VEI97" s="1392" t="s">
        <v>809</v>
      </c>
      <c r="VEJ97" s="1392" t="s">
        <v>809</v>
      </c>
      <c r="VEK97" s="1392" t="s">
        <v>809</v>
      </c>
      <c r="VEL97" s="1392" t="s">
        <v>809</v>
      </c>
      <c r="VEM97" s="1392" t="s">
        <v>809</v>
      </c>
      <c r="VEN97" s="1392" t="s">
        <v>809</v>
      </c>
      <c r="VEO97" s="1392" t="s">
        <v>809</v>
      </c>
      <c r="VEP97" s="1392" t="s">
        <v>809</v>
      </c>
      <c r="VEQ97" s="1392" t="s">
        <v>809</v>
      </c>
      <c r="VER97" s="1392" t="s">
        <v>809</v>
      </c>
      <c r="VES97" s="1392" t="s">
        <v>809</v>
      </c>
      <c r="VET97" s="1392" t="s">
        <v>809</v>
      </c>
      <c r="VEU97" s="1392" t="s">
        <v>809</v>
      </c>
      <c r="VEV97" s="1392" t="s">
        <v>809</v>
      </c>
      <c r="VEW97" s="1392" t="s">
        <v>809</v>
      </c>
      <c r="VEX97" s="1392" t="s">
        <v>809</v>
      </c>
      <c r="VEY97" s="1392" t="s">
        <v>809</v>
      </c>
      <c r="VEZ97" s="1392" t="s">
        <v>809</v>
      </c>
      <c r="VFA97" s="1392" t="s">
        <v>809</v>
      </c>
      <c r="VFB97" s="1392" t="s">
        <v>809</v>
      </c>
      <c r="VFC97" s="1392" t="s">
        <v>809</v>
      </c>
      <c r="VFD97" s="1392" t="s">
        <v>809</v>
      </c>
      <c r="VFE97" s="1392" t="s">
        <v>809</v>
      </c>
      <c r="VFF97" s="1392" t="s">
        <v>809</v>
      </c>
      <c r="VFG97" s="1392" t="s">
        <v>809</v>
      </c>
      <c r="VFH97" s="1392" t="s">
        <v>809</v>
      </c>
      <c r="VFI97" s="1392" t="s">
        <v>809</v>
      </c>
      <c r="VFJ97" s="1392" t="s">
        <v>809</v>
      </c>
      <c r="VFK97" s="1392" t="s">
        <v>809</v>
      </c>
      <c r="VFL97" s="1392" t="s">
        <v>809</v>
      </c>
      <c r="VFM97" s="1392" t="s">
        <v>809</v>
      </c>
      <c r="VFN97" s="1392" t="s">
        <v>809</v>
      </c>
      <c r="VFO97" s="1392" t="s">
        <v>809</v>
      </c>
      <c r="VFP97" s="1392" t="s">
        <v>809</v>
      </c>
      <c r="VFQ97" s="1392" t="s">
        <v>809</v>
      </c>
      <c r="VFR97" s="1392" t="s">
        <v>809</v>
      </c>
      <c r="VFS97" s="1392" t="s">
        <v>809</v>
      </c>
      <c r="VFT97" s="1392" t="s">
        <v>809</v>
      </c>
      <c r="VFU97" s="1392" t="s">
        <v>809</v>
      </c>
      <c r="VFV97" s="1392" t="s">
        <v>809</v>
      </c>
      <c r="VFW97" s="1392" t="s">
        <v>809</v>
      </c>
      <c r="VFX97" s="1392" t="s">
        <v>809</v>
      </c>
      <c r="VFY97" s="1392" t="s">
        <v>809</v>
      </c>
      <c r="VFZ97" s="1392" t="s">
        <v>809</v>
      </c>
      <c r="VGA97" s="1392" t="s">
        <v>809</v>
      </c>
      <c r="VGB97" s="1392" t="s">
        <v>809</v>
      </c>
      <c r="VGC97" s="1392" t="s">
        <v>809</v>
      </c>
      <c r="VGD97" s="1392" t="s">
        <v>809</v>
      </c>
      <c r="VGE97" s="1392" t="s">
        <v>809</v>
      </c>
      <c r="VGF97" s="1392" t="s">
        <v>809</v>
      </c>
      <c r="VGG97" s="1392" t="s">
        <v>809</v>
      </c>
      <c r="VGH97" s="1392" t="s">
        <v>809</v>
      </c>
      <c r="VGI97" s="1392" t="s">
        <v>809</v>
      </c>
      <c r="VGJ97" s="1392" t="s">
        <v>809</v>
      </c>
      <c r="VGK97" s="1392" t="s">
        <v>809</v>
      </c>
      <c r="VGL97" s="1392" t="s">
        <v>809</v>
      </c>
      <c r="VGM97" s="1392" t="s">
        <v>809</v>
      </c>
      <c r="VGN97" s="1392" t="s">
        <v>809</v>
      </c>
      <c r="VGO97" s="1392" t="s">
        <v>809</v>
      </c>
      <c r="VGP97" s="1392" t="s">
        <v>809</v>
      </c>
      <c r="VGQ97" s="1392" t="s">
        <v>809</v>
      </c>
      <c r="VGR97" s="1392" t="s">
        <v>809</v>
      </c>
      <c r="VGS97" s="1392" t="s">
        <v>809</v>
      </c>
      <c r="VGT97" s="1392" t="s">
        <v>809</v>
      </c>
      <c r="VGU97" s="1392" t="s">
        <v>809</v>
      </c>
      <c r="VGV97" s="1392" t="s">
        <v>809</v>
      </c>
      <c r="VGW97" s="1392" t="s">
        <v>809</v>
      </c>
      <c r="VGX97" s="1392" t="s">
        <v>809</v>
      </c>
      <c r="VGY97" s="1392" t="s">
        <v>809</v>
      </c>
      <c r="VGZ97" s="1392" t="s">
        <v>809</v>
      </c>
      <c r="VHA97" s="1392" t="s">
        <v>809</v>
      </c>
      <c r="VHB97" s="1392" t="s">
        <v>809</v>
      </c>
      <c r="VHC97" s="1392" t="s">
        <v>809</v>
      </c>
      <c r="VHD97" s="1392" t="s">
        <v>809</v>
      </c>
      <c r="VHE97" s="1392" t="s">
        <v>809</v>
      </c>
      <c r="VHF97" s="1392" t="s">
        <v>809</v>
      </c>
      <c r="VHG97" s="1392" t="s">
        <v>809</v>
      </c>
      <c r="VHH97" s="1392" t="s">
        <v>809</v>
      </c>
      <c r="VHI97" s="1392" t="s">
        <v>809</v>
      </c>
      <c r="VHJ97" s="1392" t="s">
        <v>809</v>
      </c>
      <c r="VHK97" s="1392" t="s">
        <v>809</v>
      </c>
      <c r="VHL97" s="1392" t="s">
        <v>809</v>
      </c>
      <c r="VHM97" s="1392" t="s">
        <v>809</v>
      </c>
      <c r="VHN97" s="1392" t="s">
        <v>809</v>
      </c>
      <c r="VHO97" s="1392" t="s">
        <v>809</v>
      </c>
      <c r="VHP97" s="1392" t="s">
        <v>809</v>
      </c>
      <c r="VHQ97" s="1392" t="s">
        <v>809</v>
      </c>
      <c r="VHR97" s="1392" t="s">
        <v>809</v>
      </c>
      <c r="VHS97" s="1392" t="s">
        <v>809</v>
      </c>
      <c r="VHT97" s="1392" t="s">
        <v>809</v>
      </c>
      <c r="VHU97" s="1392" t="s">
        <v>809</v>
      </c>
      <c r="VHV97" s="1392" t="s">
        <v>809</v>
      </c>
      <c r="VHW97" s="1392" t="s">
        <v>809</v>
      </c>
      <c r="VHX97" s="1392" t="s">
        <v>809</v>
      </c>
      <c r="VHY97" s="1392" t="s">
        <v>809</v>
      </c>
      <c r="VHZ97" s="1392" t="s">
        <v>809</v>
      </c>
      <c r="VIA97" s="1392" t="s">
        <v>809</v>
      </c>
      <c r="VIB97" s="1392" t="s">
        <v>809</v>
      </c>
      <c r="VIC97" s="1392" t="s">
        <v>809</v>
      </c>
      <c r="VID97" s="1392" t="s">
        <v>809</v>
      </c>
      <c r="VIE97" s="1392" t="s">
        <v>809</v>
      </c>
      <c r="VIF97" s="1392" t="s">
        <v>809</v>
      </c>
      <c r="VIG97" s="1392" t="s">
        <v>809</v>
      </c>
      <c r="VIH97" s="1392" t="s">
        <v>809</v>
      </c>
      <c r="VII97" s="1392" t="s">
        <v>809</v>
      </c>
      <c r="VIJ97" s="1392" t="s">
        <v>809</v>
      </c>
      <c r="VIK97" s="1392" t="s">
        <v>809</v>
      </c>
      <c r="VIL97" s="1392" t="s">
        <v>809</v>
      </c>
      <c r="VIM97" s="1392" t="s">
        <v>809</v>
      </c>
      <c r="VIN97" s="1392" t="s">
        <v>809</v>
      </c>
      <c r="VIO97" s="1392" t="s">
        <v>809</v>
      </c>
      <c r="VIP97" s="1392" t="s">
        <v>809</v>
      </c>
      <c r="VIQ97" s="1392" t="s">
        <v>809</v>
      </c>
      <c r="VIR97" s="1392" t="s">
        <v>809</v>
      </c>
      <c r="VIS97" s="1392" t="s">
        <v>809</v>
      </c>
      <c r="VIT97" s="1392" t="s">
        <v>809</v>
      </c>
      <c r="VIU97" s="1392" t="s">
        <v>809</v>
      </c>
      <c r="VIV97" s="1392" t="s">
        <v>809</v>
      </c>
      <c r="VIW97" s="1392" t="s">
        <v>809</v>
      </c>
      <c r="VIX97" s="1392" t="s">
        <v>809</v>
      </c>
      <c r="VIY97" s="1392" t="s">
        <v>809</v>
      </c>
      <c r="VIZ97" s="1392" t="s">
        <v>809</v>
      </c>
      <c r="VJA97" s="1392" t="s">
        <v>809</v>
      </c>
      <c r="VJB97" s="1392" t="s">
        <v>809</v>
      </c>
      <c r="VJC97" s="1392" t="s">
        <v>809</v>
      </c>
      <c r="VJD97" s="1392" t="s">
        <v>809</v>
      </c>
      <c r="VJE97" s="1392" t="s">
        <v>809</v>
      </c>
      <c r="VJF97" s="1392" t="s">
        <v>809</v>
      </c>
      <c r="VJG97" s="1392" t="s">
        <v>809</v>
      </c>
      <c r="VJH97" s="1392" t="s">
        <v>809</v>
      </c>
      <c r="VJI97" s="1392" t="s">
        <v>809</v>
      </c>
      <c r="VJJ97" s="1392" t="s">
        <v>809</v>
      </c>
      <c r="VJK97" s="1392" t="s">
        <v>809</v>
      </c>
      <c r="VJL97" s="1392" t="s">
        <v>809</v>
      </c>
      <c r="VJM97" s="1392" t="s">
        <v>809</v>
      </c>
      <c r="VJN97" s="1392" t="s">
        <v>809</v>
      </c>
      <c r="VJO97" s="1392" t="s">
        <v>809</v>
      </c>
      <c r="VJP97" s="1392" t="s">
        <v>809</v>
      </c>
      <c r="VJQ97" s="1392" t="s">
        <v>809</v>
      </c>
      <c r="VJR97" s="1392" t="s">
        <v>809</v>
      </c>
      <c r="VJS97" s="1392" t="s">
        <v>809</v>
      </c>
      <c r="VJT97" s="1392" t="s">
        <v>809</v>
      </c>
      <c r="VJU97" s="1392" t="s">
        <v>809</v>
      </c>
      <c r="VJV97" s="1392" t="s">
        <v>809</v>
      </c>
      <c r="VJW97" s="1392" t="s">
        <v>809</v>
      </c>
      <c r="VJX97" s="1392" t="s">
        <v>809</v>
      </c>
      <c r="VJY97" s="1392" t="s">
        <v>809</v>
      </c>
      <c r="VJZ97" s="1392" t="s">
        <v>809</v>
      </c>
      <c r="VKA97" s="1392" t="s">
        <v>809</v>
      </c>
      <c r="VKB97" s="1392" t="s">
        <v>809</v>
      </c>
      <c r="VKC97" s="1392" t="s">
        <v>809</v>
      </c>
      <c r="VKD97" s="1392" t="s">
        <v>809</v>
      </c>
      <c r="VKE97" s="1392" t="s">
        <v>809</v>
      </c>
      <c r="VKF97" s="1392" t="s">
        <v>809</v>
      </c>
      <c r="VKG97" s="1392" t="s">
        <v>809</v>
      </c>
      <c r="VKH97" s="1392" t="s">
        <v>809</v>
      </c>
      <c r="VKI97" s="1392" t="s">
        <v>809</v>
      </c>
      <c r="VKJ97" s="1392" t="s">
        <v>809</v>
      </c>
      <c r="VKK97" s="1392" t="s">
        <v>809</v>
      </c>
      <c r="VKL97" s="1392" t="s">
        <v>809</v>
      </c>
      <c r="VKM97" s="1392" t="s">
        <v>809</v>
      </c>
      <c r="VKN97" s="1392" t="s">
        <v>809</v>
      </c>
      <c r="VKO97" s="1392" t="s">
        <v>809</v>
      </c>
      <c r="VKP97" s="1392" t="s">
        <v>809</v>
      </c>
      <c r="VKQ97" s="1392" t="s">
        <v>809</v>
      </c>
      <c r="VKR97" s="1392" t="s">
        <v>809</v>
      </c>
      <c r="VKS97" s="1392" t="s">
        <v>809</v>
      </c>
      <c r="VKT97" s="1392" t="s">
        <v>809</v>
      </c>
      <c r="VKU97" s="1392" t="s">
        <v>809</v>
      </c>
      <c r="VKV97" s="1392" t="s">
        <v>809</v>
      </c>
      <c r="VKW97" s="1392" t="s">
        <v>809</v>
      </c>
      <c r="VKX97" s="1392" t="s">
        <v>809</v>
      </c>
      <c r="VKY97" s="1392" t="s">
        <v>809</v>
      </c>
      <c r="VKZ97" s="1392" t="s">
        <v>809</v>
      </c>
      <c r="VLA97" s="1392" t="s">
        <v>809</v>
      </c>
      <c r="VLB97" s="1392" t="s">
        <v>809</v>
      </c>
      <c r="VLC97" s="1392" t="s">
        <v>809</v>
      </c>
      <c r="VLD97" s="1392" t="s">
        <v>809</v>
      </c>
      <c r="VLE97" s="1392" t="s">
        <v>809</v>
      </c>
      <c r="VLF97" s="1392" t="s">
        <v>809</v>
      </c>
      <c r="VLG97" s="1392" t="s">
        <v>809</v>
      </c>
      <c r="VLH97" s="1392" t="s">
        <v>809</v>
      </c>
      <c r="VLI97" s="1392" t="s">
        <v>809</v>
      </c>
      <c r="VLJ97" s="1392" t="s">
        <v>809</v>
      </c>
      <c r="VLK97" s="1392" t="s">
        <v>809</v>
      </c>
      <c r="VLL97" s="1392" t="s">
        <v>809</v>
      </c>
      <c r="VLM97" s="1392" t="s">
        <v>809</v>
      </c>
      <c r="VLN97" s="1392" t="s">
        <v>809</v>
      </c>
      <c r="VLO97" s="1392" t="s">
        <v>809</v>
      </c>
      <c r="VLP97" s="1392" t="s">
        <v>809</v>
      </c>
      <c r="VLQ97" s="1392" t="s">
        <v>809</v>
      </c>
      <c r="VLR97" s="1392" t="s">
        <v>809</v>
      </c>
      <c r="VLS97" s="1392" t="s">
        <v>809</v>
      </c>
      <c r="VLT97" s="1392" t="s">
        <v>809</v>
      </c>
      <c r="VLU97" s="1392" t="s">
        <v>809</v>
      </c>
      <c r="VLV97" s="1392" t="s">
        <v>809</v>
      </c>
      <c r="VLW97" s="1392" t="s">
        <v>809</v>
      </c>
      <c r="VLX97" s="1392" t="s">
        <v>809</v>
      </c>
      <c r="VLY97" s="1392" t="s">
        <v>809</v>
      </c>
      <c r="VLZ97" s="1392" t="s">
        <v>809</v>
      </c>
      <c r="VMA97" s="1392" t="s">
        <v>809</v>
      </c>
      <c r="VMB97" s="1392" t="s">
        <v>809</v>
      </c>
      <c r="VMC97" s="1392" t="s">
        <v>809</v>
      </c>
      <c r="VMD97" s="1392" t="s">
        <v>809</v>
      </c>
      <c r="VME97" s="1392" t="s">
        <v>809</v>
      </c>
      <c r="VMF97" s="1392" t="s">
        <v>809</v>
      </c>
      <c r="VMG97" s="1392" t="s">
        <v>809</v>
      </c>
      <c r="VMH97" s="1392" t="s">
        <v>809</v>
      </c>
      <c r="VMI97" s="1392" t="s">
        <v>809</v>
      </c>
      <c r="VMJ97" s="1392" t="s">
        <v>809</v>
      </c>
      <c r="VMK97" s="1392" t="s">
        <v>809</v>
      </c>
      <c r="VML97" s="1392" t="s">
        <v>809</v>
      </c>
      <c r="VMM97" s="1392" t="s">
        <v>809</v>
      </c>
      <c r="VMN97" s="1392" t="s">
        <v>809</v>
      </c>
      <c r="VMO97" s="1392" t="s">
        <v>809</v>
      </c>
      <c r="VMP97" s="1392" t="s">
        <v>809</v>
      </c>
      <c r="VMQ97" s="1392" t="s">
        <v>809</v>
      </c>
      <c r="VMR97" s="1392" t="s">
        <v>809</v>
      </c>
      <c r="VMS97" s="1392" t="s">
        <v>809</v>
      </c>
      <c r="VMT97" s="1392" t="s">
        <v>809</v>
      </c>
      <c r="VMU97" s="1392" t="s">
        <v>809</v>
      </c>
      <c r="VMV97" s="1392" t="s">
        <v>809</v>
      </c>
      <c r="VMW97" s="1392" t="s">
        <v>809</v>
      </c>
      <c r="VMX97" s="1392" t="s">
        <v>809</v>
      </c>
      <c r="VMY97" s="1392" t="s">
        <v>809</v>
      </c>
      <c r="VMZ97" s="1392" t="s">
        <v>809</v>
      </c>
      <c r="VNA97" s="1392" t="s">
        <v>809</v>
      </c>
      <c r="VNB97" s="1392" t="s">
        <v>809</v>
      </c>
      <c r="VNC97" s="1392" t="s">
        <v>809</v>
      </c>
      <c r="VND97" s="1392" t="s">
        <v>809</v>
      </c>
      <c r="VNE97" s="1392" t="s">
        <v>809</v>
      </c>
      <c r="VNF97" s="1392" t="s">
        <v>809</v>
      </c>
      <c r="VNG97" s="1392" t="s">
        <v>809</v>
      </c>
      <c r="VNH97" s="1392" t="s">
        <v>809</v>
      </c>
      <c r="VNI97" s="1392" t="s">
        <v>809</v>
      </c>
      <c r="VNJ97" s="1392" t="s">
        <v>809</v>
      </c>
      <c r="VNK97" s="1392" t="s">
        <v>809</v>
      </c>
      <c r="VNL97" s="1392" t="s">
        <v>809</v>
      </c>
      <c r="VNM97" s="1392" t="s">
        <v>809</v>
      </c>
      <c r="VNN97" s="1392" t="s">
        <v>809</v>
      </c>
      <c r="VNO97" s="1392" t="s">
        <v>809</v>
      </c>
      <c r="VNP97" s="1392" t="s">
        <v>809</v>
      </c>
      <c r="VNQ97" s="1392" t="s">
        <v>809</v>
      </c>
      <c r="VNR97" s="1392" t="s">
        <v>809</v>
      </c>
      <c r="VNS97" s="1392" t="s">
        <v>809</v>
      </c>
      <c r="VNT97" s="1392" t="s">
        <v>809</v>
      </c>
      <c r="VNU97" s="1392" t="s">
        <v>809</v>
      </c>
      <c r="VNV97" s="1392" t="s">
        <v>809</v>
      </c>
      <c r="VNW97" s="1392" t="s">
        <v>809</v>
      </c>
      <c r="VNX97" s="1392" t="s">
        <v>809</v>
      </c>
      <c r="VNY97" s="1392" t="s">
        <v>809</v>
      </c>
      <c r="VNZ97" s="1392" t="s">
        <v>809</v>
      </c>
      <c r="VOA97" s="1392" t="s">
        <v>809</v>
      </c>
      <c r="VOB97" s="1392" t="s">
        <v>809</v>
      </c>
      <c r="VOC97" s="1392" t="s">
        <v>809</v>
      </c>
      <c r="VOD97" s="1392" t="s">
        <v>809</v>
      </c>
      <c r="VOE97" s="1392" t="s">
        <v>809</v>
      </c>
      <c r="VOF97" s="1392" t="s">
        <v>809</v>
      </c>
      <c r="VOG97" s="1392" t="s">
        <v>809</v>
      </c>
      <c r="VOH97" s="1392" t="s">
        <v>809</v>
      </c>
      <c r="VOI97" s="1392" t="s">
        <v>809</v>
      </c>
      <c r="VOJ97" s="1392" t="s">
        <v>809</v>
      </c>
      <c r="VOK97" s="1392" t="s">
        <v>809</v>
      </c>
      <c r="VOL97" s="1392" t="s">
        <v>809</v>
      </c>
      <c r="VOM97" s="1392" t="s">
        <v>809</v>
      </c>
      <c r="VON97" s="1392" t="s">
        <v>809</v>
      </c>
      <c r="VOO97" s="1392" t="s">
        <v>809</v>
      </c>
      <c r="VOP97" s="1392" t="s">
        <v>809</v>
      </c>
      <c r="VOQ97" s="1392" t="s">
        <v>809</v>
      </c>
      <c r="VOR97" s="1392" t="s">
        <v>809</v>
      </c>
      <c r="VOS97" s="1392" t="s">
        <v>809</v>
      </c>
      <c r="VOT97" s="1392" t="s">
        <v>809</v>
      </c>
      <c r="VOU97" s="1392" t="s">
        <v>809</v>
      </c>
      <c r="VOV97" s="1392" t="s">
        <v>809</v>
      </c>
      <c r="VOW97" s="1392" t="s">
        <v>809</v>
      </c>
      <c r="VOX97" s="1392" t="s">
        <v>809</v>
      </c>
      <c r="VOY97" s="1392" t="s">
        <v>809</v>
      </c>
      <c r="VOZ97" s="1392" t="s">
        <v>809</v>
      </c>
      <c r="VPA97" s="1392" t="s">
        <v>809</v>
      </c>
      <c r="VPB97" s="1392" t="s">
        <v>809</v>
      </c>
      <c r="VPC97" s="1392" t="s">
        <v>809</v>
      </c>
      <c r="VPD97" s="1392" t="s">
        <v>809</v>
      </c>
      <c r="VPE97" s="1392" t="s">
        <v>809</v>
      </c>
      <c r="VPF97" s="1392" t="s">
        <v>809</v>
      </c>
      <c r="VPG97" s="1392" t="s">
        <v>809</v>
      </c>
      <c r="VPH97" s="1392" t="s">
        <v>809</v>
      </c>
      <c r="VPI97" s="1392" t="s">
        <v>809</v>
      </c>
      <c r="VPJ97" s="1392" t="s">
        <v>809</v>
      </c>
      <c r="VPK97" s="1392" t="s">
        <v>809</v>
      </c>
      <c r="VPL97" s="1392" t="s">
        <v>809</v>
      </c>
      <c r="VPM97" s="1392" t="s">
        <v>809</v>
      </c>
      <c r="VPN97" s="1392" t="s">
        <v>809</v>
      </c>
      <c r="VPO97" s="1392" t="s">
        <v>809</v>
      </c>
      <c r="VPP97" s="1392" t="s">
        <v>809</v>
      </c>
      <c r="VPQ97" s="1392" t="s">
        <v>809</v>
      </c>
      <c r="VPR97" s="1392" t="s">
        <v>809</v>
      </c>
      <c r="VPS97" s="1392" t="s">
        <v>809</v>
      </c>
      <c r="VPT97" s="1392" t="s">
        <v>809</v>
      </c>
      <c r="VPU97" s="1392" t="s">
        <v>809</v>
      </c>
      <c r="VPV97" s="1392" t="s">
        <v>809</v>
      </c>
      <c r="VPW97" s="1392" t="s">
        <v>809</v>
      </c>
      <c r="VPX97" s="1392" t="s">
        <v>809</v>
      </c>
      <c r="VPY97" s="1392" t="s">
        <v>809</v>
      </c>
      <c r="VPZ97" s="1392" t="s">
        <v>809</v>
      </c>
      <c r="VQA97" s="1392" t="s">
        <v>809</v>
      </c>
      <c r="VQB97" s="1392" t="s">
        <v>809</v>
      </c>
      <c r="VQC97" s="1392" t="s">
        <v>809</v>
      </c>
      <c r="VQD97" s="1392" t="s">
        <v>809</v>
      </c>
      <c r="VQE97" s="1392" t="s">
        <v>809</v>
      </c>
      <c r="VQF97" s="1392" t="s">
        <v>809</v>
      </c>
      <c r="VQG97" s="1392" t="s">
        <v>809</v>
      </c>
      <c r="VQH97" s="1392" t="s">
        <v>809</v>
      </c>
      <c r="VQI97" s="1392" t="s">
        <v>809</v>
      </c>
      <c r="VQJ97" s="1392" t="s">
        <v>809</v>
      </c>
      <c r="VQK97" s="1392" t="s">
        <v>809</v>
      </c>
      <c r="VQL97" s="1392" t="s">
        <v>809</v>
      </c>
      <c r="VQM97" s="1392" t="s">
        <v>809</v>
      </c>
      <c r="VQN97" s="1392" t="s">
        <v>809</v>
      </c>
      <c r="VQO97" s="1392" t="s">
        <v>809</v>
      </c>
      <c r="VQP97" s="1392" t="s">
        <v>809</v>
      </c>
      <c r="VQQ97" s="1392" t="s">
        <v>809</v>
      </c>
      <c r="VQR97" s="1392" t="s">
        <v>809</v>
      </c>
      <c r="VQS97" s="1392" t="s">
        <v>809</v>
      </c>
      <c r="VQT97" s="1392" t="s">
        <v>809</v>
      </c>
      <c r="VQU97" s="1392" t="s">
        <v>809</v>
      </c>
      <c r="VQV97" s="1392" t="s">
        <v>809</v>
      </c>
      <c r="VQW97" s="1392" t="s">
        <v>809</v>
      </c>
      <c r="VQX97" s="1392" t="s">
        <v>809</v>
      </c>
      <c r="VQY97" s="1392" t="s">
        <v>809</v>
      </c>
      <c r="VQZ97" s="1392" t="s">
        <v>809</v>
      </c>
      <c r="VRA97" s="1392" t="s">
        <v>809</v>
      </c>
      <c r="VRB97" s="1392" t="s">
        <v>809</v>
      </c>
      <c r="VRC97" s="1392" t="s">
        <v>809</v>
      </c>
      <c r="VRD97" s="1392" t="s">
        <v>809</v>
      </c>
      <c r="VRE97" s="1392" t="s">
        <v>809</v>
      </c>
      <c r="VRF97" s="1392" t="s">
        <v>809</v>
      </c>
      <c r="VRG97" s="1392" t="s">
        <v>809</v>
      </c>
      <c r="VRH97" s="1392" t="s">
        <v>809</v>
      </c>
      <c r="VRI97" s="1392" t="s">
        <v>809</v>
      </c>
      <c r="VRJ97" s="1392" t="s">
        <v>809</v>
      </c>
      <c r="VRK97" s="1392" t="s">
        <v>809</v>
      </c>
      <c r="VRL97" s="1392" t="s">
        <v>809</v>
      </c>
      <c r="VRM97" s="1392" t="s">
        <v>809</v>
      </c>
      <c r="VRN97" s="1392" t="s">
        <v>809</v>
      </c>
      <c r="VRO97" s="1392" t="s">
        <v>809</v>
      </c>
      <c r="VRP97" s="1392" t="s">
        <v>809</v>
      </c>
      <c r="VRQ97" s="1392" t="s">
        <v>809</v>
      </c>
      <c r="VRR97" s="1392" t="s">
        <v>809</v>
      </c>
      <c r="VRS97" s="1392" t="s">
        <v>809</v>
      </c>
      <c r="VRT97" s="1392" t="s">
        <v>809</v>
      </c>
      <c r="VRU97" s="1392" t="s">
        <v>809</v>
      </c>
      <c r="VRV97" s="1392" t="s">
        <v>809</v>
      </c>
      <c r="VRW97" s="1392" t="s">
        <v>809</v>
      </c>
      <c r="VRX97" s="1392" t="s">
        <v>809</v>
      </c>
      <c r="VRY97" s="1392" t="s">
        <v>809</v>
      </c>
      <c r="VRZ97" s="1392" t="s">
        <v>809</v>
      </c>
      <c r="VSA97" s="1392" t="s">
        <v>809</v>
      </c>
      <c r="VSB97" s="1392" t="s">
        <v>809</v>
      </c>
      <c r="VSC97" s="1392" t="s">
        <v>809</v>
      </c>
      <c r="VSD97" s="1392" t="s">
        <v>809</v>
      </c>
      <c r="VSE97" s="1392" t="s">
        <v>809</v>
      </c>
      <c r="VSF97" s="1392" t="s">
        <v>809</v>
      </c>
      <c r="VSG97" s="1392" t="s">
        <v>809</v>
      </c>
      <c r="VSH97" s="1392" t="s">
        <v>809</v>
      </c>
      <c r="VSI97" s="1392" t="s">
        <v>809</v>
      </c>
      <c r="VSJ97" s="1392" t="s">
        <v>809</v>
      </c>
      <c r="VSK97" s="1392" t="s">
        <v>809</v>
      </c>
      <c r="VSL97" s="1392" t="s">
        <v>809</v>
      </c>
      <c r="VSM97" s="1392" t="s">
        <v>809</v>
      </c>
      <c r="VSN97" s="1392" t="s">
        <v>809</v>
      </c>
      <c r="VSO97" s="1392" t="s">
        <v>809</v>
      </c>
      <c r="VSP97" s="1392" t="s">
        <v>809</v>
      </c>
      <c r="VSQ97" s="1392" t="s">
        <v>809</v>
      </c>
      <c r="VSR97" s="1392" t="s">
        <v>809</v>
      </c>
      <c r="VSS97" s="1392" t="s">
        <v>809</v>
      </c>
      <c r="VST97" s="1392" t="s">
        <v>809</v>
      </c>
      <c r="VSU97" s="1392" t="s">
        <v>809</v>
      </c>
      <c r="VSV97" s="1392" t="s">
        <v>809</v>
      </c>
      <c r="VSW97" s="1392" t="s">
        <v>809</v>
      </c>
      <c r="VSX97" s="1392" t="s">
        <v>809</v>
      </c>
      <c r="VSY97" s="1392" t="s">
        <v>809</v>
      </c>
      <c r="VSZ97" s="1392" t="s">
        <v>809</v>
      </c>
      <c r="VTA97" s="1392" t="s">
        <v>809</v>
      </c>
      <c r="VTB97" s="1392" t="s">
        <v>809</v>
      </c>
      <c r="VTC97" s="1392" t="s">
        <v>809</v>
      </c>
      <c r="VTD97" s="1392" t="s">
        <v>809</v>
      </c>
      <c r="VTE97" s="1392" t="s">
        <v>809</v>
      </c>
      <c r="VTF97" s="1392" t="s">
        <v>809</v>
      </c>
      <c r="VTG97" s="1392" t="s">
        <v>809</v>
      </c>
      <c r="VTH97" s="1392" t="s">
        <v>809</v>
      </c>
      <c r="VTI97" s="1392" t="s">
        <v>809</v>
      </c>
      <c r="VTJ97" s="1392" t="s">
        <v>809</v>
      </c>
      <c r="VTK97" s="1392" t="s">
        <v>809</v>
      </c>
      <c r="VTL97" s="1392" t="s">
        <v>809</v>
      </c>
      <c r="VTM97" s="1392" t="s">
        <v>809</v>
      </c>
      <c r="VTN97" s="1392" t="s">
        <v>809</v>
      </c>
      <c r="VTO97" s="1392" t="s">
        <v>809</v>
      </c>
      <c r="VTP97" s="1392" t="s">
        <v>809</v>
      </c>
      <c r="VTQ97" s="1392" t="s">
        <v>809</v>
      </c>
      <c r="VTR97" s="1392" t="s">
        <v>809</v>
      </c>
      <c r="VTS97" s="1392" t="s">
        <v>809</v>
      </c>
      <c r="VTT97" s="1392" t="s">
        <v>809</v>
      </c>
      <c r="VTU97" s="1392" t="s">
        <v>809</v>
      </c>
      <c r="VTV97" s="1392" t="s">
        <v>809</v>
      </c>
      <c r="VTW97" s="1392" t="s">
        <v>809</v>
      </c>
      <c r="VTX97" s="1392" t="s">
        <v>809</v>
      </c>
      <c r="VTY97" s="1392" t="s">
        <v>809</v>
      </c>
      <c r="VTZ97" s="1392" t="s">
        <v>809</v>
      </c>
      <c r="VUA97" s="1392" t="s">
        <v>809</v>
      </c>
      <c r="VUB97" s="1392" t="s">
        <v>809</v>
      </c>
      <c r="VUC97" s="1392" t="s">
        <v>809</v>
      </c>
      <c r="VUD97" s="1392" t="s">
        <v>809</v>
      </c>
      <c r="VUE97" s="1392" t="s">
        <v>809</v>
      </c>
      <c r="VUF97" s="1392" t="s">
        <v>809</v>
      </c>
      <c r="VUG97" s="1392" t="s">
        <v>809</v>
      </c>
      <c r="VUH97" s="1392" t="s">
        <v>809</v>
      </c>
      <c r="VUI97" s="1392" t="s">
        <v>809</v>
      </c>
      <c r="VUJ97" s="1392" t="s">
        <v>809</v>
      </c>
      <c r="VUK97" s="1392" t="s">
        <v>809</v>
      </c>
      <c r="VUL97" s="1392" t="s">
        <v>809</v>
      </c>
      <c r="VUM97" s="1392" t="s">
        <v>809</v>
      </c>
      <c r="VUN97" s="1392" t="s">
        <v>809</v>
      </c>
      <c r="VUO97" s="1392" t="s">
        <v>809</v>
      </c>
      <c r="VUP97" s="1392" t="s">
        <v>809</v>
      </c>
      <c r="VUQ97" s="1392" t="s">
        <v>809</v>
      </c>
      <c r="VUR97" s="1392" t="s">
        <v>809</v>
      </c>
      <c r="VUS97" s="1392" t="s">
        <v>809</v>
      </c>
      <c r="VUT97" s="1392" t="s">
        <v>809</v>
      </c>
      <c r="VUU97" s="1392" t="s">
        <v>809</v>
      </c>
      <c r="VUV97" s="1392" t="s">
        <v>809</v>
      </c>
      <c r="VUW97" s="1392" t="s">
        <v>809</v>
      </c>
      <c r="VUX97" s="1392" t="s">
        <v>809</v>
      </c>
      <c r="VUY97" s="1392" t="s">
        <v>809</v>
      </c>
      <c r="VUZ97" s="1392" t="s">
        <v>809</v>
      </c>
      <c r="VVA97" s="1392" t="s">
        <v>809</v>
      </c>
      <c r="VVB97" s="1392" t="s">
        <v>809</v>
      </c>
      <c r="VVC97" s="1392" t="s">
        <v>809</v>
      </c>
      <c r="VVD97" s="1392" t="s">
        <v>809</v>
      </c>
      <c r="VVE97" s="1392" t="s">
        <v>809</v>
      </c>
      <c r="VVF97" s="1392" t="s">
        <v>809</v>
      </c>
      <c r="VVG97" s="1392" t="s">
        <v>809</v>
      </c>
      <c r="VVH97" s="1392" t="s">
        <v>809</v>
      </c>
      <c r="VVI97" s="1392" t="s">
        <v>809</v>
      </c>
      <c r="VVJ97" s="1392" t="s">
        <v>809</v>
      </c>
      <c r="VVK97" s="1392" t="s">
        <v>809</v>
      </c>
      <c r="VVL97" s="1392" t="s">
        <v>809</v>
      </c>
      <c r="VVM97" s="1392" t="s">
        <v>809</v>
      </c>
      <c r="VVN97" s="1392" t="s">
        <v>809</v>
      </c>
      <c r="VVO97" s="1392" t="s">
        <v>809</v>
      </c>
      <c r="VVP97" s="1392" t="s">
        <v>809</v>
      </c>
      <c r="VVQ97" s="1392" t="s">
        <v>809</v>
      </c>
      <c r="VVR97" s="1392" t="s">
        <v>809</v>
      </c>
      <c r="VVS97" s="1392" t="s">
        <v>809</v>
      </c>
      <c r="VVT97" s="1392" t="s">
        <v>809</v>
      </c>
      <c r="VVU97" s="1392" t="s">
        <v>809</v>
      </c>
      <c r="VVV97" s="1392" t="s">
        <v>809</v>
      </c>
      <c r="VVW97" s="1392" t="s">
        <v>809</v>
      </c>
      <c r="VVX97" s="1392" t="s">
        <v>809</v>
      </c>
      <c r="VVY97" s="1392" t="s">
        <v>809</v>
      </c>
      <c r="VVZ97" s="1392" t="s">
        <v>809</v>
      </c>
      <c r="VWA97" s="1392" t="s">
        <v>809</v>
      </c>
      <c r="VWB97" s="1392" t="s">
        <v>809</v>
      </c>
      <c r="VWC97" s="1392" t="s">
        <v>809</v>
      </c>
      <c r="VWD97" s="1392" t="s">
        <v>809</v>
      </c>
      <c r="VWE97" s="1392" t="s">
        <v>809</v>
      </c>
      <c r="VWF97" s="1392" t="s">
        <v>809</v>
      </c>
      <c r="VWG97" s="1392" t="s">
        <v>809</v>
      </c>
      <c r="VWH97" s="1392" t="s">
        <v>809</v>
      </c>
      <c r="VWI97" s="1392" t="s">
        <v>809</v>
      </c>
      <c r="VWJ97" s="1392" t="s">
        <v>809</v>
      </c>
      <c r="VWK97" s="1392" t="s">
        <v>809</v>
      </c>
      <c r="VWL97" s="1392" t="s">
        <v>809</v>
      </c>
      <c r="VWM97" s="1392" t="s">
        <v>809</v>
      </c>
      <c r="VWN97" s="1392" t="s">
        <v>809</v>
      </c>
      <c r="VWO97" s="1392" t="s">
        <v>809</v>
      </c>
      <c r="VWP97" s="1392" t="s">
        <v>809</v>
      </c>
      <c r="VWQ97" s="1392" t="s">
        <v>809</v>
      </c>
      <c r="VWR97" s="1392" t="s">
        <v>809</v>
      </c>
      <c r="VWS97" s="1392" t="s">
        <v>809</v>
      </c>
      <c r="VWT97" s="1392" t="s">
        <v>809</v>
      </c>
      <c r="VWU97" s="1392" t="s">
        <v>809</v>
      </c>
      <c r="VWV97" s="1392" t="s">
        <v>809</v>
      </c>
      <c r="VWW97" s="1392" t="s">
        <v>809</v>
      </c>
      <c r="VWX97" s="1392" t="s">
        <v>809</v>
      </c>
      <c r="VWY97" s="1392" t="s">
        <v>809</v>
      </c>
      <c r="VWZ97" s="1392" t="s">
        <v>809</v>
      </c>
      <c r="VXA97" s="1392" t="s">
        <v>809</v>
      </c>
      <c r="VXB97" s="1392" t="s">
        <v>809</v>
      </c>
      <c r="VXC97" s="1392" t="s">
        <v>809</v>
      </c>
      <c r="VXD97" s="1392" t="s">
        <v>809</v>
      </c>
      <c r="VXE97" s="1392" t="s">
        <v>809</v>
      </c>
      <c r="VXF97" s="1392" t="s">
        <v>809</v>
      </c>
      <c r="VXG97" s="1392" t="s">
        <v>809</v>
      </c>
      <c r="VXH97" s="1392" t="s">
        <v>809</v>
      </c>
      <c r="VXI97" s="1392" t="s">
        <v>809</v>
      </c>
      <c r="VXJ97" s="1392" t="s">
        <v>809</v>
      </c>
      <c r="VXK97" s="1392" t="s">
        <v>809</v>
      </c>
      <c r="VXL97" s="1392" t="s">
        <v>809</v>
      </c>
      <c r="VXM97" s="1392" t="s">
        <v>809</v>
      </c>
      <c r="VXN97" s="1392" t="s">
        <v>809</v>
      </c>
      <c r="VXO97" s="1392" t="s">
        <v>809</v>
      </c>
      <c r="VXP97" s="1392" t="s">
        <v>809</v>
      </c>
      <c r="VXQ97" s="1392" t="s">
        <v>809</v>
      </c>
      <c r="VXR97" s="1392" t="s">
        <v>809</v>
      </c>
      <c r="VXS97" s="1392" t="s">
        <v>809</v>
      </c>
      <c r="VXT97" s="1392" t="s">
        <v>809</v>
      </c>
      <c r="VXU97" s="1392" t="s">
        <v>809</v>
      </c>
      <c r="VXV97" s="1392" t="s">
        <v>809</v>
      </c>
      <c r="VXW97" s="1392" t="s">
        <v>809</v>
      </c>
      <c r="VXX97" s="1392" t="s">
        <v>809</v>
      </c>
      <c r="VXY97" s="1392" t="s">
        <v>809</v>
      </c>
      <c r="VXZ97" s="1392" t="s">
        <v>809</v>
      </c>
      <c r="VYA97" s="1392" t="s">
        <v>809</v>
      </c>
      <c r="VYB97" s="1392" t="s">
        <v>809</v>
      </c>
      <c r="VYC97" s="1392" t="s">
        <v>809</v>
      </c>
      <c r="VYD97" s="1392" t="s">
        <v>809</v>
      </c>
      <c r="VYE97" s="1392" t="s">
        <v>809</v>
      </c>
      <c r="VYF97" s="1392" t="s">
        <v>809</v>
      </c>
      <c r="VYG97" s="1392" t="s">
        <v>809</v>
      </c>
      <c r="VYH97" s="1392" t="s">
        <v>809</v>
      </c>
      <c r="VYI97" s="1392" t="s">
        <v>809</v>
      </c>
      <c r="VYJ97" s="1392" t="s">
        <v>809</v>
      </c>
      <c r="VYK97" s="1392" t="s">
        <v>809</v>
      </c>
      <c r="VYL97" s="1392" t="s">
        <v>809</v>
      </c>
      <c r="VYM97" s="1392" t="s">
        <v>809</v>
      </c>
      <c r="VYN97" s="1392" t="s">
        <v>809</v>
      </c>
      <c r="VYO97" s="1392" t="s">
        <v>809</v>
      </c>
      <c r="VYP97" s="1392" t="s">
        <v>809</v>
      </c>
      <c r="VYQ97" s="1392" t="s">
        <v>809</v>
      </c>
      <c r="VYR97" s="1392" t="s">
        <v>809</v>
      </c>
      <c r="VYS97" s="1392" t="s">
        <v>809</v>
      </c>
      <c r="VYT97" s="1392" t="s">
        <v>809</v>
      </c>
      <c r="VYU97" s="1392" t="s">
        <v>809</v>
      </c>
      <c r="VYV97" s="1392" t="s">
        <v>809</v>
      </c>
      <c r="VYW97" s="1392" t="s">
        <v>809</v>
      </c>
      <c r="VYX97" s="1392" t="s">
        <v>809</v>
      </c>
      <c r="VYY97" s="1392" t="s">
        <v>809</v>
      </c>
      <c r="VYZ97" s="1392" t="s">
        <v>809</v>
      </c>
      <c r="VZA97" s="1392" t="s">
        <v>809</v>
      </c>
      <c r="VZB97" s="1392" t="s">
        <v>809</v>
      </c>
      <c r="VZC97" s="1392" t="s">
        <v>809</v>
      </c>
      <c r="VZD97" s="1392" t="s">
        <v>809</v>
      </c>
      <c r="VZE97" s="1392" t="s">
        <v>809</v>
      </c>
      <c r="VZF97" s="1392" t="s">
        <v>809</v>
      </c>
      <c r="VZG97" s="1392" t="s">
        <v>809</v>
      </c>
      <c r="VZH97" s="1392" t="s">
        <v>809</v>
      </c>
      <c r="VZI97" s="1392" t="s">
        <v>809</v>
      </c>
      <c r="VZJ97" s="1392" t="s">
        <v>809</v>
      </c>
      <c r="VZK97" s="1392" t="s">
        <v>809</v>
      </c>
      <c r="VZL97" s="1392" t="s">
        <v>809</v>
      </c>
      <c r="VZM97" s="1392" t="s">
        <v>809</v>
      </c>
      <c r="VZN97" s="1392" t="s">
        <v>809</v>
      </c>
      <c r="VZO97" s="1392" t="s">
        <v>809</v>
      </c>
      <c r="VZP97" s="1392" t="s">
        <v>809</v>
      </c>
      <c r="VZQ97" s="1392" t="s">
        <v>809</v>
      </c>
      <c r="VZR97" s="1392" t="s">
        <v>809</v>
      </c>
      <c r="VZS97" s="1392" t="s">
        <v>809</v>
      </c>
      <c r="VZT97" s="1392" t="s">
        <v>809</v>
      </c>
      <c r="VZU97" s="1392" t="s">
        <v>809</v>
      </c>
      <c r="VZV97" s="1392" t="s">
        <v>809</v>
      </c>
      <c r="VZW97" s="1392" t="s">
        <v>809</v>
      </c>
      <c r="VZX97" s="1392" t="s">
        <v>809</v>
      </c>
      <c r="VZY97" s="1392" t="s">
        <v>809</v>
      </c>
      <c r="VZZ97" s="1392" t="s">
        <v>809</v>
      </c>
      <c r="WAA97" s="1392" t="s">
        <v>809</v>
      </c>
      <c r="WAB97" s="1392" t="s">
        <v>809</v>
      </c>
      <c r="WAC97" s="1392" t="s">
        <v>809</v>
      </c>
      <c r="WAD97" s="1392" t="s">
        <v>809</v>
      </c>
      <c r="WAE97" s="1392" t="s">
        <v>809</v>
      </c>
      <c r="WAF97" s="1392" t="s">
        <v>809</v>
      </c>
      <c r="WAG97" s="1392" t="s">
        <v>809</v>
      </c>
      <c r="WAH97" s="1392" t="s">
        <v>809</v>
      </c>
      <c r="WAI97" s="1392" t="s">
        <v>809</v>
      </c>
      <c r="WAJ97" s="1392" t="s">
        <v>809</v>
      </c>
      <c r="WAK97" s="1392" t="s">
        <v>809</v>
      </c>
      <c r="WAL97" s="1392" t="s">
        <v>809</v>
      </c>
      <c r="WAM97" s="1392" t="s">
        <v>809</v>
      </c>
      <c r="WAN97" s="1392" t="s">
        <v>809</v>
      </c>
      <c r="WAO97" s="1392" t="s">
        <v>809</v>
      </c>
      <c r="WAP97" s="1392" t="s">
        <v>809</v>
      </c>
      <c r="WAQ97" s="1392" t="s">
        <v>809</v>
      </c>
      <c r="WAR97" s="1392" t="s">
        <v>809</v>
      </c>
      <c r="WAS97" s="1392" t="s">
        <v>809</v>
      </c>
      <c r="WAT97" s="1392" t="s">
        <v>809</v>
      </c>
      <c r="WAU97" s="1392" t="s">
        <v>809</v>
      </c>
      <c r="WAV97" s="1392" t="s">
        <v>809</v>
      </c>
      <c r="WAW97" s="1392" t="s">
        <v>809</v>
      </c>
      <c r="WAX97" s="1392" t="s">
        <v>809</v>
      </c>
      <c r="WAY97" s="1392" t="s">
        <v>809</v>
      </c>
      <c r="WAZ97" s="1392" t="s">
        <v>809</v>
      </c>
      <c r="WBA97" s="1392" t="s">
        <v>809</v>
      </c>
      <c r="WBB97" s="1392" t="s">
        <v>809</v>
      </c>
      <c r="WBC97" s="1392" t="s">
        <v>809</v>
      </c>
      <c r="WBD97" s="1392" t="s">
        <v>809</v>
      </c>
      <c r="WBE97" s="1392" t="s">
        <v>809</v>
      </c>
      <c r="WBF97" s="1392" t="s">
        <v>809</v>
      </c>
      <c r="WBG97" s="1392" t="s">
        <v>809</v>
      </c>
      <c r="WBH97" s="1392" t="s">
        <v>809</v>
      </c>
      <c r="WBI97" s="1392" t="s">
        <v>809</v>
      </c>
      <c r="WBJ97" s="1392" t="s">
        <v>809</v>
      </c>
      <c r="WBK97" s="1392" t="s">
        <v>809</v>
      </c>
      <c r="WBL97" s="1392" t="s">
        <v>809</v>
      </c>
      <c r="WBM97" s="1392" t="s">
        <v>809</v>
      </c>
      <c r="WBN97" s="1392" t="s">
        <v>809</v>
      </c>
      <c r="WBO97" s="1392" t="s">
        <v>809</v>
      </c>
      <c r="WBP97" s="1392" t="s">
        <v>809</v>
      </c>
      <c r="WBQ97" s="1392" t="s">
        <v>809</v>
      </c>
      <c r="WBR97" s="1392" t="s">
        <v>809</v>
      </c>
      <c r="WBS97" s="1392" t="s">
        <v>809</v>
      </c>
      <c r="WBT97" s="1392" t="s">
        <v>809</v>
      </c>
      <c r="WBU97" s="1392" t="s">
        <v>809</v>
      </c>
      <c r="WBV97" s="1392" t="s">
        <v>809</v>
      </c>
      <c r="WBW97" s="1392" t="s">
        <v>809</v>
      </c>
      <c r="WBX97" s="1392" t="s">
        <v>809</v>
      </c>
      <c r="WBY97" s="1392" t="s">
        <v>809</v>
      </c>
      <c r="WBZ97" s="1392" t="s">
        <v>809</v>
      </c>
      <c r="WCA97" s="1392" t="s">
        <v>809</v>
      </c>
      <c r="WCB97" s="1392" t="s">
        <v>809</v>
      </c>
      <c r="WCC97" s="1392" t="s">
        <v>809</v>
      </c>
      <c r="WCD97" s="1392" t="s">
        <v>809</v>
      </c>
      <c r="WCE97" s="1392" t="s">
        <v>809</v>
      </c>
      <c r="WCF97" s="1392" t="s">
        <v>809</v>
      </c>
      <c r="WCG97" s="1392" t="s">
        <v>809</v>
      </c>
      <c r="WCH97" s="1392" t="s">
        <v>809</v>
      </c>
      <c r="WCI97" s="1392" t="s">
        <v>809</v>
      </c>
      <c r="WCJ97" s="1392" t="s">
        <v>809</v>
      </c>
      <c r="WCK97" s="1392" t="s">
        <v>809</v>
      </c>
      <c r="WCL97" s="1392" t="s">
        <v>809</v>
      </c>
      <c r="WCM97" s="1392" t="s">
        <v>809</v>
      </c>
      <c r="WCN97" s="1392" t="s">
        <v>809</v>
      </c>
      <c r="WCO97" s="1392" t="s">
        <v>809</v>
      </c>
      <c r="WCP97" s="1392" t="s">
        <v>809</v>
      </c>
      <c r="WCQ97" s="1392" t="s">
        <v>809</v>
      </c>
      <c r="WCR97" s="1392" t="s">
        <v>809</v>
      </c>
      <c r="WCS97" s="1392" t="s">
        <v>809</v>
      </c>
      <c r="WCT97" s="1392" t="s">
        <v>809</v>
      </c>
      <c r="WCU97" s="1392" t="s">
        <v>809</v>
      </c>
      <c r="WCV97" s="1392" t="s">
        <v>809</v>
      </c>
      <c r="WCW97" s="1392" t="s">
        <v>809</v>
      </c>
      <c r="WCX97" s="1392" t="s">
        <v>809</v>
      </c>
      <c r="WCY97" s="1392" t="s">
        <v>809</v>
      </c>
      <c r="WCZ97" s="1392" t="s">
        <v>809</v>
      </c>
      <c r="WDA97" s="1392" t="s">
        <v>809</v>
      </c>
      <c r="WDB97" s="1392" t="s">
        <v>809</v>
      </c>
      <c r="WDC97" s="1392" t="s">
        <v>809</v>
      </c>
      <c r="WDD97" s="1392" t="s">
        <v>809</v>
      </c>
      <c r="WDE97" s="1392" t="s">
        <v>809</v>
      </c>
      <c r="WDF97" s="1392" t="s">
        <v>809</v>
      </c>
      <c r="WDG97" s="1392" t="s">
        <v>809</v>
      </c>
      <c r="WDH97" s="1392" t="s">
        <v>809</v>
      </c>
      <c r="WDI97" s="1392" t="s">
        <v>809</v>
      </c>
      <c r="WDJ97" s="1392" t="s">
        <v>809</v>
      </c>
      <c r="WDK97" s="1392" t="s">
        <v>809</v>
      </c>
      <c r="WDL97" s="1392" t="s">
        <v>809</v>
      </c>
      <c r="WDM97" s="1392" t="s">
        <v>809</v>
      </c>
      <c r="WDN97" s="1392" t="s">
        <v>809</v>
      </c>
      <c r="WDO97" s="1392" t="s">
        <v>809</v>
      </c>
      <c r="WDP97" s="1392" t="s">
        <v>809</v>
      </c>
      <c r="WDQ97" s="1392" t="s">
        <v>809</v>
      </c>
      <c r="WDR97" s="1392" t="s">
        <v>809</v>
      </c>
      <c r="WDS97" s="1392" t="s">
        <v>809</v>
      </c>
      <c r="WDT97" s="1392" t="s">
        <v>809</v>
      </c>
      <c r="WDU97" s="1392" t="s">
        <v>809</v>
      </c>
      <c r="WDV97" s="1392" t="s">
        <v>809</v>
      </c>
      <c r="WDW97" s="1392" t="s">
        <v>809</v>
      </c>
      <c r="WDX97" s="1392" t="s">
        <v>809</v>
      </c>
      <c r="WDY97" s="1392" t="s">
        <v>809</v>
      </c>
      <c r="WDZ97" s="1392" t="s">
        <v>809</v>
      </c>
      <c r="WEA97" s="1392" t="s">
        <v>809</v>
      </c>
      <c r="WEB97" s="1392" t="s">
        <v>809</v>
      </c>
      <c r="WEC97" s="1392" t="s">
        <v>809</v>
      </c>
      <c r="WED97" s="1392" t="s">
        <v>809</v>
      </c>
      <c r="WEE97" s="1392" t="s">
        <v>809</v>
      </c>
      <c r="WEF97" s="1392" t="s">
        <v>809</v>
      </c>
      <c r="WEG97" s="1392" t="s">
        <v>809</v>
      </c>
      <c r="WEH97" s="1392" t="s">
        <v>809</v>
      </c>
      <c r="WEI97" s="1392" t="s">
        <v>809</v>
      </c>
      <c r="WEJ97" s="1392" t="s">
        <v>809</v>
      </c>
      <c r="WEK97" s="1392" t="s">
        <v>809</v>
      </c>
      <c r="WEL97" s="1392" t="s">
        <v>809</v>
      </c>
      <c r="WEM97" s="1392" t="s">
        <v>809</v>
      </c>
      <c r="WEN97" s="1392" t="s">
        <v>809</v>
      </c>
      <c r="WEO97" s="1392" t="s">
        <v>809</v>
      </c>
      <c r="WEP97" s="1392" t="s">
        <v>809</v>
      </c>
      <c r="WEQ97" s="1392" t="s">
        <v>809</v>
      </c>
      <c r="WER97" s="1392" t="s">
        <v>809</v>
      </c>
      <c r="WES97" s="1392" t="s">
        <v>809</v>
      </c>
      <c r="WET97" s="1392" t="s">
        <v>809</v>
      </c>
      <c r="WEU97" s="1392" t="s">
        <v>809</v>
      </c>
      <c r="WEV97" s="1392" t="s">
        <v>809</v>
      </c>
      <c r="WEW97" s="1392" t="s">
        <v>809</v>
      </c>
      <c r="WEX97" s="1392" t="s">
        <v>809</v>
      </c>
      <c r="WEY97" s="1392" t="s">
        <v>809</v>
      </c>
      <c r="WEZ97" s="1392" t="s">
        <v>809</v>
      </c>
      <c r="WFA97" s="1392" t="s">
        <v>809</v>
      </c>
      <c r="WFB97" s="1392" t="s">
        <v>809</v>
      </c>
      <c r="WFC97" s="1392" t="s">
        <v>809</v>
      </c>
      <c r="WFD97" s="1392" t="s">
        <v>809</v>
      </c>
      <c r="WFE97" s="1392" t="s">
        <v>809</v>
      </c>
      <c r="WFF97" s="1392" t="s">
        <v>809</v>
      </c>
      <c r="WFG97" s="1392" t="s">
        <v>809</v>
      </c>
      <c r="WFH97" s="1392" t="s">
        <v>809</v>
      </c>
      <c r="WFI97" s="1392" t="s">
        <v>809</v>
      </c>
      <c r="WFJ97" s="1392" t="s">
        <v>809</v>
      </c>
      <c r="WFK97" s="1392" t="s">
        <v>809</v>
      </c>
      <c r="WFL97" s="1392" t="s">
        <v>809</v>
      </c>
      <c r="WFM97" s="1392" t="s">
        <v>809</v>
      </c>
      <c r="WFN97" s="1392" t="s">
        <v>809</v>
      </c>
      <c r="WFO97" s="1392" t="s">
        <v>809</v>
      </c>
      <c r="WFP97" s="1392" t="s">
        <v>809</v>
      </c>
      <c r="WFQ97" s="1392" t="s">
        <v>809</v>
      </c>
      <c r="WFR97" s="1392" t="s">
        <v>809</v>
      </c>
      <c r="WFS97" s="1392" t="s">
        <v>809</v>
      </c>
      <c r="WFT97" s="1392" t="s">
        <v>809</v>
      </c>
      <c r="WFU97" s="1392" t="s">
        <v>809</v>
      </c>
      <c r="WFV97" s="1392" t="s">
        <v>809</v>
      </c>
      <c r="WFW97" s="1392" t="s">
        <v>809</v>
      </c>
      <c r="WFX97" s="1392" t="s">
        <v>809</v>
      </c>
      <c r="WFY97" s="1392" t="s">
        <v>809</v>
      </c>
      <c r="WFZ97" s="1392" t="s">
        <v>809</v>
      </c>
      <c r="WGA97" s="1392" t="s">
        <v>809</v>
      </c>
      <c r="WGB97" s="1392" t="s">
        <v>809</v>
      </c>
      <c r="WGC97" s="1392" t="s">
        <v>809</v>
      </c>
      <c r="WGD97" s="1392" t="s">
        <v>809</v>
      </c>
      <c r="WGE97" s="1392" t="s">
        <v>809</v>
      </c>
      <c r="WGF97" s="1392" t="s">
        <v>809</v>
      </c>
      <c r="WGG97" s="1392" t="s">
        <v>809</v>
      </c>
      <c r="WGH97" s="1392" t="s">
        <v>809</v>
      </c>
      <c r="WGI97" s="1392" t="s">
        <v>809</v>
      </c>
      <c r="WGJ97" s="1392" t="s">
        <v>809</v>
      </c>
      <c r="WGK97" s="1392" t="s">
        <v>809</v>
      </c>
      <c r="WGL97" s="1392" t="s">
        <v>809</v>
      </c>
      <c r="WGM97" s="1392" t="s">
        <v>809</v>
      </c>
      <c r="WGN97" s="1392" t="s">
        <v>809</v>
      </c>
      <c r="WGO97" s="1392" t="s">
        <v>809</v>
      </c>
      <c r="WGP97" s="1392" t="s">
        <v>809</v>
      </c>
      <c r="WGQ97" s="1392" t="s">
        <v>809</v>
      </c>
      <c r="WGR97" s="1392" t="s">
        <v>809</v>
      </c>
      <c r="WGS97" s="1392" t="s">
        <v>809</v>
      </c>
      <c r="WGT97" s="1392" t="s">
        <v>809</v>
      </c>
      <c r="WGU97" s="1392" t="s">
        <v>809</v>
      </c>
      <c r="WGV97" s="1392" t="s">
        <v>809</v>
      </c>
      <c r="WGW97" s="1392" t="s">
        <v>809</v>
      </c>
      <c r="WGX97" s="1392" t="s">
        <v>809</v>
      </c>
      <c r="WGY97" s="1392" t="s">
        <v>809</v>
      </c>
      <c r="WGZ97" s="1392" t="s">
        <v>809</v>
      </c>
      <c r="WHA97" s="1392" t="s">
        <v>809</v>
      </c>
      <c r="WHB97" s="1392" t="s">
        <v>809</v>
      </c>
      <c r="WHC97" s="1392" t="s">
        <v>809</v>
      </c>
      <c r="WHD97" s="1392" t="s">
        <v>809</v>
      </c>
      <c r="WHE97" s="1392" t="s">
        <v>809</v>
      </c>
      <c r="WHF97" s="1392" t="s">
        <v>809</v>
      </c>
      <c r="WHG97" s="1392" t="s">
        <v>809</v>
      </c>
      <c r="WHH97" s="1392" t="s">
        <v>809</v>
      </c>
      <c r="WHI97" s="1392" t="s">
        <v>809</v>
      </c>
      <c r="WHJ97" s="1392" t="s">
        <v>809</v>
      </c>
      <c r="WHK97" s="1392" t="s">
        <v>809</v>
      </c>
      <c r="WHL97" s="1392" t="s">
        <v>809</v>
      </c>
      <c r="WHM97" s="1392" t="s">
        <v>809</v>
      </c>
      <c r="WHN97" s="1392" t="s">
        <v>809</v>
      </c>
      <c r="WHO97" s="1392" t="s">
        <v>809</v>
      </c>
      <c r="WHP97" s="1392" t="s">
        <v>809</v>
      </c>
      <c r="WHQ97" s="1392" t="s">
        <v>809</v>
      </c>
      <c r="WHR97" s="1392" t="s">
        <v>809</v>
      </c>
      <c r="WHS97" s="1392" t="s">
        <v>809</v>
      </c>
      <c r="WHT97" s="1392" t="s">
        <v>809</v>
      </c>
      <c r="WHU97" s="1392" t="s">
        <v>809</v>
      </c>
      <c r="WHV97" s="1392" t="s">
        <v>809</v>
      </c>
      <c r="WHW97" s="1392" t="s">
        <v>809</v>
      </c>
      <c r="WHX97" s="1392" t="s">
        <v>809</v>
      </c>
      <c r="WHY97" s="1392" t="s">
        <v>809</v>
      </c>
      <c r="WHZ97" s="1392" t="s">
        <v>809</v>
      </c>
      <c r="WIA97" s="1392" t="s">
        <v>809</v>
      </c>
      <c r="WIB97" s="1392" t="s">
        <v>809</v>
      </c>
      <c r="WIC97" s="1392" t="s">
        <v>809</v>
      </c>
      <c r="WID97" s="1392" t="s">
        <v>809</v>
      </c>
      <c r="WIE97" s="1392" t="s">
        <v>809</v>
      </c>
      <c r="WIF97" s="1392" t="s">
        <v>809</v>
      </c>
      <c r="WIG97" s="1392" t="s">
        <v>809</v>
      </c>
      <c r="WIH97" s="1392" t="s">
        <v>809</v>
      </c>
      <c r="WII97" s="1392" t="s">
        <v>809</v>
      </c>
      <c r="WIJ97" s="1392" t="s">
        <v>809</v>
      </c>
      <c r="WIK97" s="1392" t="s">
        <v>809</v>
      </c>
      <c r="WIL97" s="1392" t="s">
        <v>809</v>
      </c>
      <c r="WIM97" s="1392" t="s">
        <v>809</v>
      </c>
      <c r="WIN97" s="1392" t="s">
        <v>809</v>
      </c>
      <c r="WIO97" s="1392" t="s">
        <v>809</v>
      </c>
      <c r="WIP97" s="1392" t="s">
        <v>809</v>
      </c>
      <c r="WIQ97" s="1392" t="s">
        <v>809</v>
      </c>
      <c r="WIR97" s="1392" t="s">
        <v>809</v>
      </c>
      <c r="WIS97" s="1392" t="s">
        <v>809</v>
      </c>
      <c r="WIT97" s="1392" t="s">
        <v>809</v>
      </c>
      <c r="WIU97" s="1392" t="s">
        <v>809</v>
      </c>
      <c r="WIV97" s="1392" t="s">
        <v>809</v>
      </c>
      <c r="WIW97" s="1392" t="s">
        <v>809</v>
      </c>
      <c r="WIX97" s="1392" t="s">
        <v>809</v>
      </c>
      <c r="WIY97" s="1392" t="s">
        <v>809</v>
      </c>
      <c r="WIZ97" s="1392" t="s">
        <v>809</v>
      </c>
      <c r="WJA97" s="1392" t="s">
        <v>809</v>
      </c>
      <c r="WJB97" s="1392" t="s">
        <v>809</v>
      </c>
      <c r="WJC97" s="1392" t="s">
        <v>809</v>
      </c>
      <c r="WJD97" s="1392" t="s">
        <v>809</v>
      </c>
      <c r="WJE97" s="1392" t="s">
        <v>809</v>
      </c>
      <c r="WJF97" s="1392" t="s">
        <v>809</v>
      </c>
      <c r="WJG97" s="1392" t="s">
        <v>809</v>
      </c>
      <c r="WJH97" s="1392" t="s">
        <v>809</v>
      </c>
      <c r="WJI97" s="1392" t="s">
        <v>809</v>
      </c>
      <c r="WJJ97" s="1392" t="s">
        <v>809</v>
      </c>
      <c r="WJK97" s="1392" t="s">
        <v>809</v>
      </c>
      <c r="WJL97" s="1392" t="s">
        <v>809</v>
      </c>
      <c r="WJM97" s="1392" t="s">
        <v>809</v>
      </c>
      <c r="WJN97" s="1392" t="s">
        <v>809</v>
      </c>
      <c r="WJO97" s="1392" t="s">
        <v>809</v>
      </c>
      <c r="WJP97" s="1392" t="s">
        <v>809</v>
      </c>
      <c r="WJQ97" s="1392" t="s">
        <v>809</v>
      </c>
      <c r="WJR97" s="1392" t="s">
        <v>809</v>
      </c>
      <c r="WJS97" s="1392" t="s">
        <v>809</v>
      </c>
      <c r="WJT97" s="1392" t="s">
        <v>809</v>
      </c>
      <c r="WJU97" s="1392" t="s">
        <v>809</v>
      </c>
      <c r="WJV97" s="1392" t="s">
        <v>809</v>
      </c>
      <c r="WJW97" s="1392" t="s">
        <v>809</v>
      </c>
      <c r="WJX97" s="1392" t="s">
        <v>809</v>
      </c>
      <c r="WJY97" s="1392" t="s">
        <v>809</v>
      </c>
      <c r="WJZ97" s="1392" t="s">
        <v>809</v>
      </c>
      <c r="WKA97" s="1392" t="s">
        <v>809</v>
      </c>
      <c r="WKB97" s="1392" t="s">
        <v>809</v>
      </c>
      <c r="WKC97" s="1392" t="s">
        <v>809</v>
      </c>
      <c r="WKD97" s="1392" t="s">
        <v>809</v>
      </c>
      <c r="WKE97" s="1392" t="s">
        <v>809</v>
      </c>
      <c r="WKF97" s="1392" t="s">
        <v>809</v>
      </c>
      <c r="WKG97" s="1392" t="s">
        <v>809</v>
      </c>
      <c r="WKH97" s="1392" t="s">
        <v>809</v>
      </c>
      <c r="WKI97" s="1392" t="s">
        <v>809</v>
      </c>
      <c r="WKJ97" s="1392" t="s">
        <v>809</v>
      </c>
      <c r="WKK97" s="1392" t="s">
        <v>809</v>
      </c>
      <c r="WKL97" s="1392" t="s">
        <v>809</v>
      </c>
      <c r="WKM97" s="1392" t="s">
        <v>809</v>
      </c>
      <c r="WKN97" s="1392" t="s">
        <v>809</v>
      </c>
      <c r="WKO97" s="1392" t="s">
        <v>809</v>
      </c>
      <c r="WKP97" s="1392" t="s">
        <v>809</v>
      </c>
      <c r="WKQ97" s="1392" t="s">
        <v>809</v>
      </c>
      <c r="WKR97" s="1392" t="s">
        <v>809</v>
      </c>
      <c r="WKS97" s="1392" t="s">
        <v>809</v>
      </c>
      <c r="WKT97" s="1392" t="s">
        <v>809</v>
      </c>
      <c r="WKU97" s="1392" t="s">
        <v>809</v>
      </c>
      <c r="WKV97" s="1392" t="s">
        <v>809</v>
      </c>
      <c r="WKW97" s="1392" t="s">
        <v>809</v>
      </c>
      <c r="WKX97" s="1392" t="s">
        <v>809</v>
      </c>
      <c r="WKY97" s="1392" t="s">
        <v>809</v>
      </c>
      <c r="WKZ97" s="1392" t="s">
        <v>809</v>
      </c>
      <c r="WLA97" s="1392" t="s">
        <v>809</v>
      </c>
      <c r="WLB97" s="1392" t="s">
        <v>809</v>
      </c>
      <c r="WLC97" s="1392" t="s">
        <v>809</v>
      </c>
      <c r="WLD97" s="1392" t="s">
        <v>809</v>
      </c>
      <c r="WLE97" s="1392" t="s">
        <v>809</v>
      </c>
      <c r="WLF97" s="1392" t="s">
        <v>809</v>
      </c>
      <c r="WLG97" s="1392" t="s">
        <v>809</v>
      </c>
      <c r="WLH97" s="1392" t="s">
        <v>809</v>
      </c>
      <c r="WLI97" s="1392" t="s">
        <v>809</v>
      </c>
      <c r="WLJ97" s="1392" t="s">
        <v>809</v>
      </c>
      <c r="WLK97" s="1392" t="s">
        <v>809</v>
      </c>
      <c r="WLL97" s="1392" t="s">
        <v>809</v>
      </c>
      <c r="WLM97" s="1392" t="s">
        <v>809</v>
      </c>
      <c r="WLN97" s="1392" t="s">
        <v>809</v>
      </c>
      <c r="WLO97" s="1392" t="s">
        <v>809</v>
      </c>
      <c r="WLP97" s="1392" t="s">
        <v>809</v>
      </c>
      <c r="WLQ97" s="1392" t="s">
        <v>809</v>
      </c>
      <c r="WLR97" s="1392" t="s">
        <v>809</v>
      </c>
      <c r="WLS97" s="1392" t="s">
        <v>809</v>
      </c>
      <c r="WLT97" s="1392" t="s">
        <v>809</v>
      </c>
      <c r="WLU97" s="1392" t="s">
        <v>809</v>
      </c>
      <c r="WLV97" s="1392" t="s">
        <v>809</v>
      </c>
      <c r="WLW97" s="1392" t="s">
        <v>809</v>
      </c>
      <c r="WLX97" s="1392" t="s">
        <v>809</v>
      </c>
      <c r="WLY97" s="1392" t="s">
        <v>809</v>
      </c>
      <c r="WLZ97" s="1392" t="s">
        <v>809</v>
      </c>
      <c r="WMA97" s="1392" t="s">
        <v>809</v>
      </c>
      <c r="WMB97" s="1392" t="s">
        <v>809</v>
      </c>
      <c r="WMC97" s="1392" t="s">
        <v>809</v>
      </c>
      <c r="WMD97" s="1392" t="s">
        <v>809</v>
      </c>
      <c r="WME97" s="1392" t="s">
        <v>809</v>
      </c>
      <c r="WMF97" s="1392" t="s">
        <v>809</v>
      </c>
      <c r="WMG97" s="1392" t="s">
        <v>809</v>
      </c>
      <c r="WMH97" s="1392" t="s">
        <v>809</v>
      </c>
      <c r="WMI97" s="1392" t="s">
        <v>809</v>
      </c>
      <c r="WMJ97" s="1392" t="s">
        <v>809</v>
      </c>
      <c r="WMK97" s="1392" t="s">
        <v>809</v>
      </c>
      <c r="WML97" s="1392" t="s">
        <v>809</v>
      </c>
      <c r="WMM97" s="1392" t="s">
        <v>809</v>
      </c>
      <c r="WMN97" s="1392" t="s">
        <v>809</v>
      </c>
      <c r="WMO97" s="1392" t="s">
        <v>809</v>
      </c>
      <c r="WMP97" s="1392" t="s">
        <v>809</v>
      </c>
      <c r="WMQ97" s="1392" t="s">
        <v>809</v>
      </c>
      <c r="WMR97" s="1392" t="s">
        <v>809</v>
      </c>
      <c r="WMS97" s="1392" t="s">
        <v>809</v>
      </c>
      <c r="WMT97" s="1392" t="s">
        <v>809</v>
      </c>
      <c r="WMU97" s="1392" t="s">
        <v>809</v>
      </c>
      <c r="WMV97" s="1392" t="s">
        <v>809</v>
      </c>
      <c r="WMW97" s="1392" t="s">
        <v>809</v>
      </c>
      <c r="WMX97" s="1392" t="s">
        <v>809</v>
      </c>
      <c r="WMY97" s="1392" t="s">
        <v>809</v>
      </c>
      <c r="WMZ97" s="1392" t="s">
        <v>809</v>
      </c>
      <c r="WNA97" s="1392" t="s">
        <v>809</v>
      </c>
      <c r="WNB97" s="1392" t="s">
        <v>809</v>
      </c>
      <c r="WNC97" s="1392" t="s">
        <v>809</v>
      </c>
      <c r="WND97" s="1392" t="s">
        <v>809</v>
      </c>
      <c r="WNE97" s="1392" t="s">
        <v>809</v>
      </c>
      <c r="WNF97" s="1392" t="s">
        <v>809</v>
      </c>
      <c r="WNG97" s="1392" t="s">
        <v>809</v>
      </c>
      <c r="WNH97" s="1392" t="s">
        <v>809</v>
      </c>
      <c r="WNI97" s="1392" t="s">
        <v>809</v>
      </c>
      <c r="WNJ97" s="1392" t="s">
        <v>809</v>
      </c>
      <c r="WNK97" s="1392" t="s">
        <v>809</v>
      </c>
      <c r="WNL97" s="1392" t="s">
        <v>809</v>
      </c>
      <c r="WNM97" s="1392" t="s">
        <v>809</v>
      </c>
      <c r="WNN97" s="1392" t="s">
        <v>809</v>
      </c>
      <c r="WNO97" s="1392" t="s">
        <v>809</v>
      </c>
      <c r="WNP97" s="1392" t="s">
        <v>809</v>
      </c>
      <c r="WNQ97" s="1392" t="s">
        <v>809</v>
      </c>
      <c r="WNR97" s="1392" t="s">
        <v>809</v>
      </c>
      <c r="WNS97" s="1392" t="s">
        <v>809</v>
      </c>
      <c r="WNT97" s="1392" t="s">
        <v>809</v>
      </c>
      <c r="WNU97" s="1392" t="s">
        <v>809</v>
      </c>
      <c r="WNV97" s="1392" t="s">
        <v>809</v>
      </c>
      <c r="WNW97" s="1392" t="s">
        <v>809</v>
      </c>
      <c r="WNX97" s="1392" t="s">
        <v>809</v>
      </c>
      <c r="WNY97" s="1392" t="s">
        <v>809</v>
      </c>
      <c r="WNZ97" s="1392" t="s">
        <v>809</v>
      </c>
      <c r="WOA97" s="1392" t="s">
        <v>809</v>
      </c>
      <c r="WOB97" s="1392" t="s">
        <v>809</v>
      </c>
      <c r="WOC97" s="1392" t="s">
        <v>809</v>
      </c>
      <c r="WOD97" s="1392" t="s">
        <v>809</v>
      </c>
      <c r="WOE97" s="1392" t="s">
        <v>809</v>
      </c>
      <c r="WOF97" s="1392" t="s">
        <v>809</v>
      </c>
      <c r="WOG97" s="1392" t="s">
        <v>809</v>
      </c>
      <c r="WOH97" s="1392" t="s">
        <v>809</v>
      </c>
      <c r="WOI97" s="1392" t="s">
        <v>809</v>
      </c>
      <c r="WOJ97" s="1392" t="s">
        <v>809</v>
      </c>
      <c r="WOK97" s="1392" t="s">
        <v>809</v>
      </c>
      <c r="WOL97" s="1392" t="s">
        <v>809</v>
      </c>
      <c r="WOM97" s="1392" t="s">
        <v>809</v>
      </c>
      <c r="WON97" s="1392" t="s">
        <v>809</v>
      </c>
      <c r="WOO97" s="1392" t="s">
        <v>809</v>
      </c>
      <c r="WOP97" s="1392" t="s">
        <v>809</v>
      </c>
      <c r="WOQ97" s="1392" t="s">
        <v>809</v>
      </c>
      <c r="WOR97" s="1392" t="s">
        <v>809</v>
      </c>
      <c r="WOS97" s="1392" t="s">
        <v>809</v>
      </c>
      <c r="WOT97" s="1392" t="s">
        <v>809</v>
      </c>
      <c r="WOU97" s="1392" t="s">
        <v>809</v>
      </c>
      <c r="WOV97" s="1392" t="s">
        <v>809</v>
      </c>
      <c r="WOW97" s="1392" t="s">
        <v>809</v>
      </c>
      <c r="WOX97" s="1392" t="s">
        <v>809</v>
      </c>
      <c r="WOY97" s="1392" t="s">
        <v>809</v>
      </c>
      <c r="WOZ97" s="1392" t="s">
        <v>809</v>
      </c>
      <c r="WPA97" s="1392" t="s">
        <v>809</v>
      </c>
      <c r="WPB97" s="1392" t="s">
        <v>809</v>
      </c>
      <c r="WPC97" s="1392" t="s">
        <v>809</v>
      </c>
      <c r="WPD97" s="1392" t="s">
        <v>809</v>
      </c>
      <c r="WPE97" s="1392" t="s">
        <v>809</v>
      </c>
      <c r="WPF97" s="1392" t="s">
        <v>809</v>
      </c>
      <c r="WPG97" s="1392" t="s">
        <v>809</v>
      </c>
      <c r="WPH97" s="1392" t="s">
        <v>809</v>
      </c>
      <c r="WPI97" s="1392" t="s">
        <v>809</v>
      </c>
      <c r="WPJ97" s="1392" t="s">
        <v>809</v>
      </c>
      <c r="WPK97" s="1392" t="s">
        <v>809</v>
      </c>
      <c r="WPL97" s="1392" t="s">
        <v>809</v>
      </c>
      <c r="WPM97" s="1392" t="s">
        <v>809</v>
      </c>
      <c r="WPN97" s="1392" t="s">
        <v>809</v>
      </c>
      <c r="WPO97" s="1392" t="s">
        <v>809</v>
      </c>
      <c r="WPP97" s="1392" t="s">
        <v>809</v>
      </c>
      <c r="WPQ97" s="1392" t="s">
        <v>809</v>
      </c>
      <c r="WPR97" s="1392" t="s">
        <v>809</v>
      </c>
      <c r="WPS97" s="1392" t="s">
        <v>809</v>
      </c>
      <c r="WPT97" s="1392" t="s">
        <v>809</v>
      </c>
      <c r="WPU97" s="1392" t="s">
        <v>809</v>
      </c>
      <c r="WPV97" s="1392" t="s">
        <v>809</v>
      </c>
      <c r="WPW97" s="1392" t="s">
        <v>809</v>
      </c>
      <c r="WPX97" s="1392" t="s">
        <v>809</v>
      </c>
      <c r="WPY97" s="1392" t="s">
        <v>809</v>
      </c>
      <c r="WPZ97" s="1392" t="s">
        <v>809</v>
      </c>
      <c r="WQA97" s="1392" t="s">
        <v>809</v>
      </c>
      <c r="WQB97" s="1392" t="s">
        <v>809</v>
      </c>
      <c r="WQC97" s="1392" t="s">
        <v>809</v>
      </c>
      <c r="WQD97" s="1392" t="s">
        <v>809</v>
      </c>
      <c r="WQE97" s="1392" t="s">
        <v>809</v>
      </c>
      <c r="WQF97" s="1392" t="s">
        <v>809</v>
      </c>
      <c r="WQG97" s="1392" t="s">
        <v>809</v>
      </c>
      <c r="WQH97" s="1392" t="s">
        <v>809</v>
      </c>
      <c r="WQI97" s="1392" t="s">
        <v>809</v>
      </c>
      <c r="WQJ97" s="1392" t="s">
        <v>809</v>
      </c>
      <c r="WQK97" s="1392" t="s">
        <v>809</v>
      </c>
      <c r="WQL97" s="1392" t="s">
        <v>809</v>
      </c>
      <c r="WQM97" s="1392" t="s">
        <v>809</v>
      </c>
      <c r="WQN97" s="1392" t="s">
        <v>809</v>
      </c>
      <c r="WQO97" s="1392" t="s">
        <v>809</v>
      </c>
      <c r="WQP97" s="1392" t="s">
        <v>809</v>
      </c>
      <c r="WQQ97" s="1392" t="s">
        <v>809</v>
      </c>
      <c r="WQR97" s="1392" t="s">
        <v>809</v>
      </c>
      <c r="WQS97" s="1392" t="s">
        <v>809</v>
      </c>
      <c r="WQT97" s="1392" t="s">
        <v>809</v>
      </c>
      <c r="WQU97" s="1392" t="s">
        <v>809</v>
      </c>
      <c r="WQV97" s="1392" t="s">
        <v>809</v>
      </c>
      <c r="WQW97" s="1392" t="s">
        <v>809</v>
      </c>
      <c r="WQX97" s="1392" t="s">
        <v>809</v>
      </c>
      <c r="WQY97" s="1392" t="s">
        <v>809</v>
      </c>
      <c r="WQZ97" s="1392" t="s">
        <v>809</v>
      </c>
      <c r="WRA97" s="1392" t="s">
        <v>809</v>
      </c>
      <c r="WRB97" s="1392" t="s">
        <v>809</v>
      </c>
      <c r="WRC97" s="1392" t="s">
        <v>809</v>
      </c>
      <c r="WRD97" s="1392" t="s">
        <v>809</v>
      </c>
      <c r="WRE97" s="1392" t="s">
        <v>809</v>
      </c>
      <c r="WRF97" s="1392" t="s">
        <v>809</v>
      </c>
      <c r="WRG97" s="1392" t="s">
        <v>809</v>
      </c>
      <c r="WRH97" s="1392" t="s">
        <v>809</v>
      </c>
      <c r="WRI97" s="1392" t="s">
        <v>809</v>
      </c>
      <c r="WRJ97" s="1392" t="s">
        <v>809</v>
      </c>
      <c r="WRK97" s="1392" t="s">
        <v>809</v>
      </c>
      <c r="WRL97" s="1392" t="s">
        <v>809</v>
      </c>
      <c r="WRM97" s="1392" t="s">
        <v>809</v>
      </c>
      <c r="WRN97" s="1392" t="s">
        <v>809</v>
      </c>
      <c r="WRO97" s="1392" t="s">
        <v>809</v>
      </c>
      <c r="WRP97" s="1392" t="s">
        <v>809</v>
      </c>
      <c r="WRQ97" s="1392" t="s">
        <v>809</v>
      </c>
      <c r="WRR97" s="1392" t="s">
        <v>809</v>
      </c>
      <c r="WRS97" s="1392" t="s">
        <v>809</v>
      </c>
      <c r="WRT97" s="1392" t="s">
        <v>809</v>
      </c>
      <c r="WRU97" s="1392" t="s">
        <v>809</v>
      </c>
      <c r="WRV97" s="1392" t="s">
        <v>809</v>
      </c>
      <c r="WRW97" s="1392" t="s">
        <v>809</v>
      </c>
      <c r="WRX97" s="1392" t="s">
        <v>809</v>
      </c>
      <c r="WRY97" s="1392" t="s">
        <v>809</v>
      </c>
      <c r="WRZ97" s="1392" t="s">
        <v>809</v>
      </c>
      <c r="WSA97" s="1392" t="s">
        <v>809</v>
      </c>
      <c r="WSB97" s="1392" t="s">
        <v>809</v>
      </c>
      <c r="WSC97" s="1392" t="s">
        <v>809</v>
      </c>
      <c r="WSD97" s="1392" t="s">
        <v>809</v>
      </c>
      <c r="WSE97" s="1392" t="s">
        <v>809</v>
      </c>
      <c r="WSF97" s="1392" t="s">
        <v>809</v>
      </c>
      <c r="WSG97" s="1392" t="s">
        <v>809</v>
      </c>
      <c r="WSH97" s="1392" t="s">
        <v>809</v>
      </c>
      <c r="WSI97" s="1392" t="s">
        <v>809</v>
      </c>
      <c r="WSJ97" s="1392" t="s">
        <v>809</v>
      </c>
      <c r="WSK97" s="1392" t="s">
        <v>809</v>
      </c>
      <c r="WSL97" s="1392" t="s">
        <v>809</v>
      </c>
      <c r="WSM97" s="1392" t="s">
        <v>809</v>
      </c>
      <c r="WSN97" s="1392" t="s">
        <v>809</v>
      </c>
      <c r="WSO97" s="1392" t="s">
        <v>809</v>
      </c>
      <c r="WSP97" s="1392" t="s">
        <v>809</v>
      </c>
      <c r="WSQ97" s="1392" t="s">
        <v>809</v>
      </c>
      <c r="WSR97" s="1392" t="s">
        <v>809</v>
      </c>
      <c r="WSS97" s="1392" t="s">
        <v>809</v>
      </c>
      <c r="WST97" s="1392" t="s">
        <v>809</v>
      </c>
      <c r="WSU97" s="1392" t="s">
        <v>809</v>
      </c>
      <c r="WSV97" s="1392" t="s">
        <v>809</v>
      </c>
      <c r="WSW97" s="1392" t="s">
        <v>809</v>
      </c>
      <c r="WSX97" s="1392" t="s">
        <v>809</v>
      </c>
      <c r="WSY97" s="1392" t="s">
        <v>809</v>
      </c>
      <c r="WSZ97" s="1392" t="s">
        <v>809</v>
      </c>
      <c r="WTA97" s="1392" t="s">
        <v>809</v>
      </c>
      <c r="WTB97" s="1392" t="s">
        <v>809</v>
      </c>
      <c r="WTC97" s="1392" t="s">
        <v>809</v>
      </c>
      <c r="WTD97" s="1392" t="s">
        <v>809</v>
      </c>
      <c r="WTE97" s="1392" t="s">
        <v>809</v>
      </c>
      <c r="WTF97" s="1392" t="s">
        <v>809</v>
      </c>
      <c r="WTG97" s="1392" t="s">
        <v>809</v>
      </c>
      <c r="WTH97" s="1392" t="s">
        <v>809</v>
      </c>
      <c r="WTI97" s="1392" t="s">
        <v>809</v>
      </c>
      <c r="WTJ97" s="1392" t="s">
        <v>809</v>
      </c>
      <c r="WTK97" s="1392" t="s">
        <v>809</v>
      </c>
      <c r="WTL97" s="1392" t="s">
        <v>809</v>
      </c>
      <c r="WTM97" s="1392" t="s">
        <v>809</v>
      </c>
      <c r="WTN97" s="1392" t="s">
        <v>809</v>
      </c>
      <c r="WTO97" s="1392" t="s">
        <v>809</v>
      </c>
      <c r="WTP97" s="1392" t="s">
        <v>809</v>
      </c>
      <c r="WTQ97" s="1392" t="s">
        <v>809</v>
      </c>
      <c r="WTR97" s="1392" t="s">
        <v>809</v>
      </c>
      <c r="WTS97" s="1392" t="s">
        <v>809</v>
      </c>
      <c r="WTT97" s="1392" t="s">
        <v>809</v>
      </c>
      <c r="WTU97" s="1392" t="s">
        <v>809</v>
      </c>
      <c r="WTV97" s="1392" t="s">
        <v>809</v>
      </c>
      <c r="WTW97" s="1392" t="s">
        <v>809</v>
      </c>
      <c r="WTX97" s="1392" t="s">
        <v>809</v>
      </c>
      <c r="WTY97" s="1392" t="s">
        <v>809</v>
      </c>
      <c r="WTZ97" s="1392" t="s">
        <v>809</v>
      </c>
      <c r="WUA97" s="1392" t="s">
        <v>809</v>
      </c>
      <c r="WUB97" s="1392" t="s">
        <v>809</v>
      </c>
      <c r="WUC97" s="1392" t="s">
        <v>809</v>
      </c>
      <c r="WUD97" s="1392" t="s">
        <v>809</v>
      </c>
      <c r="WUE97" s="1392" t="s">
        <v>809</v>
      </c>
      <c r="WUF97" s="1392" t="s">
        <v>809</v>
      </c>
      <c r="WUG97" s="1392" t="s">
        <v>809</v>
      </c>
      <c r="WUH97" s="1392" t="s">
        <v>809</v>
      </c>
      <c r="WUI97" s="1392" t="s">
        <v>809</v>
      </c>
      <c r="WUJ97" s="1392" t="s">
        <v>809</v>
      </c>
      <c r="WUK97" s="1392" t="s">
        <v>809</v>
      </c>
      <c r="WUL97" s="1392" t="s">
        <v>809</v>
      </c>
      <c r="WUM97" s="1392" t="s">
        <v>809</v>
      </c>
      <c r="WUN97" s="1392" t="s">
        <v>809</v>
      </c>
      <c r="WUO97" s="1392" t="s">
        <v>809</v>
      </c>
      <c r="WUP97" s="1392" t="s">
        <v>809</v>
      </c>
      <c r="WUQ97" s="1392" t="s">
        <v>809</v>
      </c>
      <c r="WUR97" s="1392" t="s">
        <v>809</v>
      </c>
      <c r="WUS97" s="1392" t="s">
        <v>809</v>
      </c>
      <c r="WUT97" s="1392" t="s">
        <v>809</v>
      </c>
      <c r="WUU97" s="1392" t="s">
        <v>809</v>
      </c>
      <c r="WUV97" s="1392" t="s">
        <v>809</v>
      </c>
      <c r="WUW97" s="1392" t="s">
        <v>809</v>
      </c>
      <c r="WUX97" s="1392" t="s">
        <v>809</v>
      </c>
      <c r="WUY97" s="1392" t="s">
        <v>809</v>
      </c>
      <c r="WUZ97" s="1392" t="s">
        <v>809</v>
      </c>
      <c r="WVA97" s="1392" t="s">
        <v>809</v>
      </c>
      <c r="WVB97" s="1392" t="s">
        <v>809</v>
      </c>
      <c r="WVC97" s="1392" t="s">
        <v>809</v>
      </c>
      <c r="WVD97" s="1392" t="s">
        <v>809</v>
      </c>
      <c r="WVE97" s="1392" t="s">
        <v>809</v>
      </c>
      <c r="WVF97" s="1392" t="s">
        <v>809</v>
      </c>
      <c r="WVG97" s="1392" t="s">
        <v>809</v>
      </c>
      <c r="WVH97" s="1392" t="s">
        <v>809</v>
      </c>
      <c r="WVI97" s="1392" t="s">
        <v>809</v>
      </c>
      <c r="WVJ97" s="1392" t="s">
        <v>809</v>
      </c>
      <c r="WVK97" s="1392" t="s">
        <v>809</v>
      </c>
      <c r="WVL97" s="1392" t="s">
        <v>809</v>
      </c>
      <c r="WVM97" s="1392" t="s">
        <v>809</v>
      </c>
      <c r="WVN97" s="1392" t="s">
        <v>809</v>
      </c>
      <c r="WVO97" s="1392" t="s">
        <v>809</v>
      </c>
      <c r="WVP97" s="1392" t="s">
        <v>809</v>
      </c>
      <c r="WVQ97" s="1392" t="s">
        <v>809</v>
      </c>
      <c r="WVR97" s="1392" t="s">
        <v>809</v>
      </c>
      <c r="WVS97" s="1392" t="s">
        <v>809</v>
      </c>
      <c r="WVT97" s="1392" t="s">
        <v>809</v>
      </c>
      <c r="WVU97" s="1392" t="s">
        <v>809</v>
      </c>
      <c r="WVV97" s="1392" t="s">
        <v>809</v>
      </c>
      <c r="WVW97" s="1392" t="s">
        <v>809</v>
      </c>
      <c r="WVX97" s="1392" t="s">
        <v>809</v>
      </c>
      <c r="WVY97" s="1392" t="s">
        <v>809</v>
      </c>
      <c r="WVZ97" s="1392" t="s">
        <v>809</v>
      </c>
      <c r="WWA97" s="1392" t="s">
        <v>809</v>
      </c>
      <c r="WWB97" s="1392" t="s">
        <v>809</v>
      </c>
      <c r="WWC97" s="1392" t="s">
        <v>809</v>
      </c>
      <c r="WWD97" s="1392" t="s">
        <v>809</v>
      </c>
      <c r="WWE97" s="1392" t="s">
        <v>809</v>
      </c>
      <c r="WWF97" s="1392" t="s">
        <v>809</v>
      </c>
      <c r="WWG97" s="1392" t="s">
        <v>809</v>
      </c>
      <c r="WWH97" s="1392" t="s">
        <v>809</v>
      </c>
      <c r="WWI97" s="1392" t="s">
        <v>809</v>
      </c>
      <c r="WWJ97" s="1392" t="s">
        <v>809</v>
      </c>
      <c r="WWK97" s="1392" t="s">
        <v>809</v>
      </c>
      <c r="WWL97" s="1392" t="s">
        <v>809</v>
      </c>
      <c r="WWM97" s="1392" t="s">
        <v>809</v>
      </c>
      <c r="WWN97" s="1392" t="s">
        <v>809</v>
      </c>
      <c r="WWO97" s="1392" t="s">
        <v>809</v>
      </c>
      <c r="WWP97" s="1392" t="s">
        <v>809</v>
      </c>
      <c r="WWQ97" s="1392" t="s">
        <v>809</v>
      </c>
      <c r="WWR97" s="1392" t="s">
        <v>809</v>
      </c>
      <c r="WWS97" s="1392" t="s">
        <v>809</v>
      </c>
      <c r="WWT97" s="1392" t="s">
        <v>809</v>
      </c>
      <c r="WWU97" s="1392" t="s">
        <v>809</v>
      </c>
      <c r="WWV97" s="1392" t="s">
        <v>809</v>
      </c>
      <c r="WWW97" s="1392" t="s">
        <v>809</v>
      </c>
      <c r="WWX97" s="1392" t="s">
        <v>809</v>
      </c>
      <c r="WWY97" s="1392" t="s">
        <v>809</v>
      </c>
      <c r="WWZ97" s="1392" t="s">
        <v>809</v>
      </c>
      <c r="WXA97" s="1392" t="s">
        <v>809</v>
      </c>
      <c r="WXB97" s="1392" t="s">
        <v>809</v>
      </c>
      <c r="WXC97" s="1392" t="s">
        <v>809</v>
      </c>
      <c r="WXD97" s="1392" t="s">
        <v>809</v>
      </c>
      <c r="WXE97" s="1392" t="s">
        <v>809</v>
      </c>
      <c r="WXF97" s="1392" t="s">
        <v>809</v>
      </c>
      <c r="WXG97" s="1392" t="s">
        <v>809</v>
      </c>
      <c r="WXH97" s="1392" t="s">
        <v>809</v>
      </c>
      <c r="WXI97" s="1392" t="s">
        <v>809</v>
      </c>
      <c r="WXJ97" s="1392" t="s">
        <v>809</v>
      </c>
      <c r="WXK97" s="1392" t="s">
        <v>809</v>
      </c>
      <c r="WXL97" s="1392" t="s">
        <v>809</v>
      </c>
      <c r="WXM97" s="1392" t="s">
        <v>809</v>
      </c>
      <c r="WXN97" s="1392" t="s">
        <v>809</v>
      </c>
      <c r="WXO97" s="1392" t="s">
        <v>809</v>
      </c>
      <c r="WXP97" s="1392" t="s">
        <v>809</v>
      </c>
      <c r="WXQ97" s="1392" t="s">
        <v>809</v>
      </c>
      <c r="WXR97" s="1392" t="s">
        <v>809</v>
      </c>
      <c r="WXS97" s="1392" t="s">
        <v>809</v>
      </c>
      <c r="WXT97" s="1392" t="s">
        <v>809</v>
      </c>
      <c r="WXU97" s="1392" t="s">
        <v>809</v>
      </c>
      <c r="WXV97" s="1392" t="s">
        <v>809</v>
      </c>
      <c r="WXW97" s="1392" t="s">
        <v>809</v>
      </c>
      <c r="WXX97" s="1392" t="s">
        <v>809</v>
      </c>
      <c r="WXY97" s="1392" t="s">
        <v>809</v>
      </c>
      <c r="WXZ97" s="1392" t="s">
        <v>809</v>
      </c>
      <c r="WYA97" s="1392" t="s">
        <v>809</v>
      </c>
      <c r="WYB97" s="1392" t="s">
        <v>809</v>
      </c>
      <c r="WYC97" s="1392" t="s">
        <v>809</v>
      </c>
      <c r="WYD97" s="1392" t="s">
        <v>809</v>
      </c>
      <c r="WYE97" s="1392" t="s">
        <v>809</v>
      </c>
      <c r="WYF97" s="1392" t="s">
        <v>809</v>
      </c>
      <c r="WYG97" s="1392" t="s">
        <v>809</v>
      </c>
      <c r="WYH97" s="1392" t="s">
        <v>809</v>
      </c>
      <c r="WYI97" s="1392" t="s">
        <v>809</v>
      </c>
      <c r="WYJ97" s="1392" t="s">
        <v>809</v>
      </c>
      <c r="WYK97" s="1392" t="s">
        <v>809</v>
      </c>
      <c r="WYL97" s="1392" t="s">
        <v>809</v>
      </c>
      <c r="WYM97" s="1392" t="s">
        <v>809</v>
      </c>
      <c r="WYN97" s="1392" t="s">
        <v>809</v>
      </c>
      <c r="WYO97" s="1392" t="s">
        <v>809</v>
      </c>
      <c r="WYP97" s="1392" t="s">
        <v>809</v>
      </c>
      <c r="WYQ97" s="1392" t="s">
        <v>809</v>
      </c>
      <c r="WYR97" s="1392" t="s">
        <v>809</v>
      </c>
      <c r="WYS97" s="1392" t="s">
        <v>809</v>
      </c>
      <c r="WYT97" s="1392" t="s">
        <v>809</v>
      </c>
      <c r="WYU97" s="1392" t="s">
        <v>809</v>
      </c>
      <c r="WYV97" s="1392" t="s">
        <v>809</v>
      </c>
      <c r="WYW97" s="1392" t="s">
        <v>809</v>
      </c>
      <c r="WYX97" s="1392" t="s">
        <v>809</v>
      </c>
      <c r="WYY97" s="1392" t="s">
        <v>809</v>
      </c>
      <c r="WYZ97" s="1392" t="s">
        <v>809</v>
      </c>
      <c r="WZA97" s="1392" t="s">
        <v>809</v>
      </c>
      <c r="WZB97" s="1392" t="s">
        <v>809</v>
      </c>
      <c r="WZC97" s="1392" t="s">
        <v>809</v>
      </c>
      <c r="WZD97" s="1392" t="s">
        <v>809</v>
      </c>
      <c r="WZE97" s="1392" t="s">
        <v>809</v>
      </c>
      <c r="WZF97" s="1392" t="s">
        <v>809</v>
      </c>
      <c r="WZG97" s="1392" t="s">
        <v>809</v>
      </c>
      <c r="WZH97" s="1392" t="s">
        <v>809</v>
      </c>
      <c r="WZI97" s="1392" t="s">
        <v>809</v>
      </c>
      <c r="WZJ97" s="1392" t="s">
        <v>809</v>
      </c>
      <c r="WZK97" s="1392" t="s">
        <v>809</v>
      </c>
      <c r="WZL97" s="1392" t="s">
        <v>809</v>
      </c>
      <c r="WZM97" s="1392" t="s">
        <v>809</v>
      </c>
      <c r="WZN97" s="1392" t="s">
        <v>809</v>
      </c>
      <c r="WZO97" s="1392" t="s">
        <v>809</v>
      </c>
      <c r="WZP97" s="1392" t="s">
        <v>809</v>
      </c>
      <c r="WZQ97" s="1392" t="s">
        <v>809</v>
      </c>
      <c r="WZR97" s="1392" t="s">
        <v>809</v>
      </c>
      <c r="WZS97" s="1392" t="s">
        <v>809</v>
      </c>
      <c r="WZT97" s="1392" t="s">
        <v>809</v>
      </c>
      <c r="WZU97" s="1392" t="s">
        <v>809</v>
      </c>
      <c r="WZV97" s="1392" t="s">
        <v>809</v>
      </c>
      <c r="WZW97" s="1392" t="s">
        <v>809</v>
      </c>
      <c r="WZX97" s="1392" t="s">
        <v>809</v>
      </c>
      <c r="WZY97" s="1392" t="s">
        <v>809</v>
      </c>
      <c r="WZZ97" s="1392" t="s">
        <v>809</v>
      </c>
      <c r="XAA97" s="1392" t="s">
        <v>809</v>
      </c>
      <c r="XAB97" s="1392" t="s">
        <v>809</v>
      </c>
      <c r="XAC97" s="1392" t="s">
        <v>809</v>
      </c>
      <c r="XAD97" s="1392" t="s">
        <v>809</v>
      </c>
      <c r="XAE97" s="1392" t="s">
        <v>809</v>
      </c>
      <c r="XAF97" s="1392" t="s">
        <v>809</v>
      </c>
      <c r="XAG97" s="1392" t="s">
        <v>809</v>
      </c>
      <c r="XAH97" s="1392" t="s">
        <v>809</v>
      </c>
      <c r="XAI97" s="1392" t="s">
        <v>809</v>
      </c>
      <c r="XAJ97" s="1392" t="s">
        <v>809</v>
      </c>
      <c r="XAK97" s="1392" t="s">
        <v>809</v>
      </c>
      <c r="XAL97" s="1392" t="s">
        <v>809</v>
      </c>
      <c r="XAM97" s="1392" t="s">
        <v>809</v>
      </c>
      <c r="XAN97" s="1392" t="s">
        <v>809</v>
      </c>
      <c r="XAO97" s="1392" t="s">
        <v>809</v>
      </c>
      <c r="XAP97" s="1392" t="s">
        <v>809</v>
      </c>
      <c r="XAQ97" s="1392" t="s">
        <v>809</v>
      </c>
      <c r="XAR97" s="1392" t="s">
        <v>809</v>
      </c>
      <c r="XAS97" s="1392" t="s">
        <v>809</v>
      </c>
      <c r="XAT97" s="1392" t="s">
        <v>809</v>
      </c>
      <c r="XAU97" s="1392" t="s">
        <v>809</v>
      </c>
      <c r="XAV97" s="1392" t="s">
        <v>809</v>
      </c>
      <c r="XAW97" s="1392" t="s">
        <v>809</v>
      </c>
      <c r="XAX97" s="1392" t="s">
        <v>809</v>
      </c>
      <c r="XAY97" s="1392" t="s">
        <v>809</v>
      </c>
      <c r="XAZ97" s="1392" t="s">
        <v>809</v>
      </c>
      <c r="XBA97" s="1392" t="s">
        <v>809</v>
      </c>
      <c r="XBB97" s="1392" t="s">
        <v>809</v>
      </c>
      <c r="XBC97" s="1392" t="s">
        <v>809</v>
      </c>
      <c r="XBD97" s="1392" t="s">
        <v>809</v>
      </c>
      <c r="XBE97" s="1392" t="s">
        <v>809</v>
      </c>
      <c r="XBF97" s="1392" t="s">
        <v>809</v>
      </c>
      <c r="XBG97" s="1392" t="s">
        <v>809</v>
      </c>
      <c r="XBH97" s="1392" t="s">
        <v>809</v>
      </c>
      <c r="XBI97" s="1392" t="s">
        <v>809</v>
      </c>
      <c r="XBJ97" s="1392" t="s">
        <v>809</v>
      </c>
      <c r="XBK97" s="1392" t="s">
        <v>809</v>
      </c>
      <c r="XBL97" s="1392" t="s">
        <v>809</v>
      </c>
      <c r="XBM97" s="1392" t="s">
        <v>809</v>
      </c>
      <c r="XBN97" s="1392" t="s">
        <v>809</v>
      </c>
      <c r="XBO97" s="1392" t="s">
        <v>809</v>
      </c>
      <c r="XBP97" s="1392" t="s">
        <v>809</v>
      </c>
      <c r="XBQ97" s="1392" t="s">
        <v>809</v>
      </c>
      <c r="XBR97" s="1392" t="s">
        <v>809</v>
      </c>
      <c r="XBS97" s="1392" t="s">
        <v>809</v>
      </c>
      <c r="XBT97" s="1392" t="s">
        <v>809</v>
      </c>
      <c r="XBU97" s="1392" t="s">
        <v>809</v>
      </c>
      <c r="XBV97" s="1392" t="s">
        <v>809</v>
      </c>
      <c r="XBW97" s="1392" t="s">
        <v>809</v>
      </c>
      <c r="XBX97" s="1392" t="s">
        <v>809</v>
      </c>
      <c r="XBY97" s="1392" t="s">
        <v>809</v>
      </c>
      <c r="XBZ97" s="1392" t="s">
        <v>809</v>
      </c>
      <c r="XCA97" s="1392" t="s">
        <v>809</v>
      </c>
      <c r="XCB97" s="1392" t="s">
        <v>809</v>
      </c>
      <c r="XCC97" s="1392" t="s">
        <v>809</v>
      </c>
      <c r="XCD97" s="1392" t="s">
        <v>809</v>
      </c>
      <c r="XCE97" s="1392" t="s">
        <v>809</v>
      </c>
      <c r="XCF97" s="1392" t="s">
        <v>809</v>
      </c>
      <c r="XCG97" s="1392" t="s">
        <v>809</v>
      </c>
      <c r="XCH97" s="1392" t="s">
        <v>809</v>
      </c>
      <c r="XCI97" s="1392" t="s">
        <v>809</v>
      </c>
      <c r="XCJ97" s="1392" t="s">
        <v>809</v>
      </c>
      <c r="XCK97" s="1392" t="s">
        <v>809</v>
      </c>
      <c r="XCL97" s="1392" t="s">
        <v>809</v>
      </c>
      <c r="XCM97" s="1392" t="s">
        <v>809</v>
      </c>
      <c r="XCN97" s="1392" t="s">
        <v>809</v>
      </c>
      <c r="XCO97" s="1392" t="s">
        <v>809</v>
      </c>
      <c r="XCP97" s="1392" t="s">
        <v>809</v>
      </c>
      <c r="XCQ97" s="1392" t="s">
        <v>809</v>
      </c>
      <c r="XCR97" s="1392" t="s">
        <v>809</v>
      </c>
      <c r="XCS97" s="1392" t="s">
        <v>809</v>
      </c>
      <c r="XCT97" s="1392" t="s">
        <v>809</v>
      </c>
      <c r="XCU97" s="1392" t="s">
        <v>809</v>
      </c>
      <c r="XCV97" s="1392" t="s">
        <v>809</v>
      </c>
      <c r="XCW97" s="1392" t="s">
        <v>809</v>
      </c>
      <c r="XCX97" s="1392" t="s">
        <v>809</v>
      </c>
      <c r="XCY97" s="1392" t="s">
        <v>809</v>
      </c>
      <c r="XCZ97" s="1392" t="s">
        <v>809</v>
      </c>
      <c r="XDA97" s="1392" t="s">
        <v>809</v>
      </c>
      <c r="XDB97" s="1392" t="s">
        <v>809</v>
      </c>
      <c r="XDC97" s="1392" t="s">
        <v>809</v>
      </c>
      <c r="XDD97" s="1392" t="s">
        <v>809</v>
      </c>
      <c r="XDE97" s="1392" t="s">
        <v>809</v>
      </c>
      <c r="XDF97" s="1392" t="s">
        <v>809</v>
      </c>
      <c r="XDG97" s="1392" t="s">
        <v>809</v>
      </c>
      <c r="XDH97" s="1392" t="s">
        <v>809</v>
      </c>
      <c r="XDI97" s="1392" t="s">
        <v>809</v>
      </c>
      <c r="XDJ97" s="1392" t="s">
        <v>809</v>
      </c>
      <c r="XDK97" s="1392" t="s">
        <v>809</v>
      </c>
      <c r="XDL97" s="1392" t="s">
        <v>809</v>
      </c>
      <c r="XDM97" s="1392" t="s">
        <v>809</v>
      </c>
      <c r="XDN97" s="1392" t="s">
        <v>809</v>
      </c>
      <c r="XDO97" s="1392" t="s">
        <v>809</v>
      </c>
      <c r="XDP97" s="1392" t="s">
        <v>809</v>
      </c>
      <c r="XDQ97" s="1392" t="s">
        <v>809</v>
      </c>
      <c r="XDR97" s="1392" t="s">
        <v>809</v>
      </c>
      <c r="XDS97" s="1392" t="s">
        <v>809</v>
      </c>
      <c r="XDT97" s="1392" t="s">
        <v>809</v>
      </c>
      <c r="XDU97" s="1392" t="s">
        <v>809</v>
      </c>
      <c r="XDV97" s="1392" t="s">
        <v>809</v>
      </c>
      <c r="XDW97" s="1392" t="s">
        <v>809</v>
      </c>
      <c r="XDX97" s="1392" t="s">
        <v>809</v>
      </c>
      <c r="XDY97" s="1392" t="s">
        <v>809</v>
      </c>
      <c r="XDZ97" s="1392" t="s">
        <v>809</v>
      </c>
      <c r="XEA97" s="1392" t="s">
        <v>809</v>
      </c>
      <c r="XEB97" s="1392" t="s">
        <v>809</v>
      </c>
      <c r="XEC97" s="1392" t="s">
        <v>809</v>
      </c>
      <c r="XED97" s="1392" t="s">
        <v>809</v>
      </c>
      <c r="XEE97" s="1392" t="s">
        <v>809</v>
      </c>
      <c r="XEF97" s="1392" t="s">
        <v>809</v>
      </c>
      <c r="XEG97" s="1392" t="s">
        <v>809</v>
      </c>
      <c r="XEH97" s="1392" t="s">
        <v>809</v>
      </c>
      <c r="XEI97" s="1392" t="s">
        <v>809</v>
      </c>
      <c r="XEJ97" s="1392" t="s">
        <v>809</v>
      </c>
      <c r="XEK97" s="1392" t="s">
        <v>809</v>
      </c>
      <c r="XEL97" s="1392" t="s">
        <v>809</v>
      </c>
      <c r="XEM97" s="1392" t="s">
        <v>809</v>
      </c>
      <c r="XEN97" s="1392" t="s">
        <v>809</v>
      </c>
      <c r="XEO97" s="1392" t="s">
        <v>809</v>
      </c>
      <c r="XEP97" s="1392" t="s">
        <v>809</v>
      </c>
      <c r="XEQ97" s="1392" t="s">
        <v>809</v>
      </c>
      <c r="XER97" s="1392" t="s">
        <v>809</v>
      </c>
      <c r="XES97" s="1392" t="s">
        <v>809</v>
      </c>
      <c r="XET97" s="1392" t="s">
        <v>809</v>
      </c>
      <c r="XEU97" s="1392" t="s">
        <v>809</v>
      </c>
      <c r="XEV97" s="1392" t="s">
        <v>809</v>
      </c>
      <c r="XEW97" s="1392" t="s">
        <v>809</v>
      </c>
      <c r="XEX97" s="1392" t="s">
        <v>809</v>
      </c>
      <c r="XEY97" s="1392" t="s">
        <v>809</v>
      </c>
      <c r="XEZ97" s="1392" t="s">
        <v>809</v>
      </c>
      <c r="XFA97" s="1392" t="s">
        <v>809</v>
      </c>
      <c r="XFB97" s="1392" t="s">
        <v>809</v>
      </c>
      <c r="XFC97" s="1392" t="s">
        <v>809</v>
      </c>
      <c r="XFD97" s="1392" t="s">
        <v>809</v>
      </c>
    </row>
    <row r="98" spans="1:16384">
      <c r="A98" s="1390" t="s">
        <v>816</v>
      </c>
    </row>
    <row r="99" spans="1:16384">
      <c r="A99" s="1390" t="s">
        <v>817</v>
      </c>
    </row>
    <row r="100" spans="1:16384">
      <c r="A100" s="1390" t="s">
        <v>818</v>
      </c>
    </row>
    <row r="101" spans="1:16384">
      <c r="A101" s="1390" t="s">
        <v>819</v>
      </c>
    </row>
    <row r="102" spans="1:16384">
      <c r="A102" s="1390" t="s">
        <v>820</v>
      </c>
    </row>
    <row r="103" spans="1:16384">
      <c r="A103" s="1390" t="s">
        <v>821</v>
      </c>
    </row>
    <row r="104" spans="1:16384">
      <c r="A104" s="1390" t="s">
        <v>822</v>
      </c>
    </row>
    <row r="105" spans="1:16384">
      <c r="A105" s="1390" t="s">
        <v>823</v>
      </c>
    </row>
    <row r="106" spans="1:16384">
      <c r="A106" s="1390" t="s">
        <v>824</v>
      </c>
    </row>
    <row r="107" spans="1:16384">
      <c r="A107" s="1390" t="s">
        <v>825</v>
      </c>
    </row>
    <row r="108" spans="1:16384">
      <c r="A108" s="1392"/>
    </row>
    <row r="109" spans="1:16384">
      <c r="A109" s="1389" t="s">
        <v>826</v>
      </c>
    </row>
    <row r="110" spans="1:16384" ht="4.5" customHeight="1">
      <c r="A110" s="1389"/>
    </row>
    <row r="111" spans="1:16384">
      <c r="A111" s="1390" t="s">
        <v>827</v>
      </c>
    </row>
    <row r="112" spans="1:16384">
      <c r="A112" s="1390" t="s">
        <v>828</v>
      </c>
    </row>
    <row r="113" spans="1:1">
      <c r="A113" s="1390" t="s">
        <v>829</v>
      </c>
    </row>
    <row r="114" spans="1:1">
      <c r="A114" s="1390" t="s">
        <v>830</v>
      </c>
    </row>
    <row r="115" spans="1:1">
      <c r="A115" s="1390" t="s">
        <v>831</v>
      </c>
    </row>
    <row r="116" spans="1:1">
      <c r="A116" s="1390" t="s">
        <v>832</v>
      </c>
    </row>
    <row r="117" spans="1:1">
      <c r="A117" s="1390" t="s">
        <v>833</v>
      </c>
    </row>
    <row r="118" spans="1:1">
      <c r="A118" s="1390" t="s">
        <v>834</v>
      </c>
    </row>
    <row r="119" spans="1:1">
      <c r="A119" s="1390" t="s">
        <v>835</v>
      </c>
    </row>
    <row r="120" spans="1:1" ht="16.5" customHeight="1">
      <c r="A120" s="1392"/>
    </row>
    <row r="121" spans="1:1">
      <c r="A121" s="1389" t="s">
        <v>836</v>
      </c>
    </row>
    <row r="122" spans="1:1" ht="4.5" customHeight="1">
      <c r="A122" s="1389"/>
    </row>
    <row r="123" spans="1:1">
      <c r="A123" s="1390" t="s">
        <v>837</v>
      </c>
    </row>
    <row r="124" spans="1:1">
      <c r="A124" s="1390" t="s">
        <v>838</v>
      </c>
    </row>
    <row r="125" spans="1:1">
      <c r="A125" s="1390" t="s">
        <v>839</v>
      </c>
    </row>
    <row r="127" spans="1:1">
      <c r="A127" s="1387" t="s">
        <v>840</v>
      </c>
    </row>
    <row r="128" spans="1:1" ht="9.75" customHeight="1">
      <c r="A128" s="1387"/>
    </row>
    <row r="129" spans="1:1">
      <c r="A129" s="1394" t="s">
        <v>841</v>
      </c>
    </row>
    <row r="130" spans="1:1" ht="23.25" customHeight="1">
      <c r="A130" s="1390" t="s">
        <v>842</v>
      </c>
    </row>
    <row r="131" spans="1:1">
      <c r="A131" s="1390" t="s">
        <v>843</v>
      </c>
    </row>
    <row r="132" spans="1:1">
      <c r="A132" s="1390" t="s">
        <v>844</v>
      </c>
    </row>
    <row r="133" spans="1:1">
      <c r="A133" s="1390" t="s">
        <v>845</v>
      </c>
    </row>
    <row r="134" spans="1:1">
      <c r="A134" s="1392"/>
    </row>
    <row r="135" spans="1:1">
      <c r="A135" s="1394" t="s">
        <v>846</v>
      </c>
    </row>
    <row r="136" spans="1:1" ht="6" customHeight="1">
      <c r="A136" s="1394"/>
    </row>
    <row r="137" spans="1:1">
      <c r="A137" s="1390" t="s">
        <v>847</v>
      </c>
    </row>
    <row r="138" spans="1:1">
      <c r="A138" s="1390" t="s">
        <v>848</v>
      </c>
    </row>
    <row r="139" spans="1:1">
      <c r="A139" s="1390" t="s">
        <v>849</v>
      </c>
    </row>
    <row r="140" spans="1:1">
      <c r="A140" s="1390" t="s">
        <v>850</v>
      </c>
    </row>
    <row r="141" spans="1:1" ht="8.25" customHeight="1">
      <c r="A141" s="1392"/>
    </row>
    <row r="142" spans="1:1">
      <c r="A142" s="1394" t="s">
        <v>851</v>
      </c>
    </row>
    <row r="143" spans="1:1" ht="4.5" customHeight="1">
      <c r="A143" s="1392"/>
    </row>
    <row r="144" spans="1:1">
      <c r="A144" s="1390" t="s">
        <v>852</v>
      </c>
    </row>
    <row r="145" spans="1:1">
      <c r="A145" s="1390" t="s">
        <v>853</v>
      </c>
    </row>
    <row r="146" spans="1:1">
      <c r="A146" s="1390" t="s">
        <v>854</v>
      </c>
    </row>
    <row r="147" spans="1:1">
      <c r="A147" s="1390" t="s">
        <v>855</v>
      </c>
    </row>
    <row r="148" spans="1:1">
      <c r="A148" s="1390" t="s">
        <v>856</v>
      </c>
    </row>
    <row r="149" spans="1:1" ht="9" customHeight="1"/>
    <row r="150" spans="1:1">
      <c r="A150" s="1394" t="s">
        <v>857</v>
      </c>
    </row>
    <row r="151" spans="1:1" ht="4.5" customHeight="1"/>
    <row r="152" spans="1:1">
      <c r="A152" s="1390" t="s">
        <v>858</v>
      </c>
    </row>
    <row r="153" spans="1:1">
      <c r="A153" s="1390" t="s">
        <v>859</v>
      </c>
    </row>
    <row r="154" spans="1:1">
      <c r="A154" s="1390" t="s">
        <v>860</v>
      </c>
    </row>
    <row r="155" spans="1:1">
      <c r="A155" s="1390" t="s">
        <v>861</v>
      </c>
    </row>
    <row r="156" spans="1:1">
      <c r="A156" s="1390" t="s">
        <v>862</v>
      </c>
    </row>
    <row r="157" spans="1:1">
      <c r="A157" s="1390" t="s">
        <v>863</v>
      </c>
    </row>
    <row r="158" spans="1:1">
      <c r="A158" s="1390" t="s">
        <v>864</v>
      </c>
    </row>
    <row r="159" spans="1:1">
      <c r="A159" s="1390" t="s">
        <v>865</v>
      </c>
    </row>
    <row r="160" spans="1:1">
      <c r="A160" s="1390" t="s">
        <v>866</v>
      </c>
    </row>
    <row r="161" spans="1:1">
      <c r="A161" s="1390" t="s">
        <v>867</v>
      </c>
    </row>
    <row r="162" spans="1:1">
      <c r="A162" s="1390" t="s">
        <v>868</v>
      </c>
    </row>
    <row r="163" spans="1:1">
      <c r="A163" s="1390" t="s">
        <v>869</v>
      </c>
    </row>
    <row r="164" spans="1:1">
      <c r="A164" s="1390" t="s">
        <v>870</v>
      </c>
    </row>
    <row r="165" spans="1:1">
      <c r="A165" s="1390" t="s">
        <v>871</v>
      </c>
    </row>
    <row r="166" spans="1:1">
      <c r="A166" s="1390" t="s">
        <v>872</v>
      </c>
    </row>
    <row r="167" spans="1:1">
      <c r="A167" s="1390" t="s">
        <v>873</v>
      </c>
    </row>
    <row r="168" spans="1:1">
      <c r="A168" s="1390" t="s">
        <v>874</v>
      </c>
    </row>
    <row r="169" spans="1:1">
      <c r="A169" s="1390" t="s">
        <v>875</v>
      </c>
    </row>
    <row r="170" spans="1:1">
      <c r="A170" s="1390" t="s">
        <v>876</v>
      </c>
    </row>
    <row r="171" spans="1:1">
      <c r="A171" s="1390" t="s">
        <v>877</v>
      </c>
    </row>
    <row r="172" spans="1:1">
      <c r="A172" s="1390" t="s">
        <v>878</v>
      </c>
    </row>
    <row r="173" spans="1:1">
      <c r="A173" s="1390" t="s">
        <v>879</v>
      </c>
    </row>
    <row r="174" spans="1:1">
      <c r="A174" s="1390" t="s">
        <v>880</v>
      </c>
    </row>
    <row r="175" spans="1:1">
      <c r="A175" s="1390" t="s">
        <v>881</v>
      </c>
    </row>
    <row r="176" spans="1:1">
      <c r="A176" s="1390" t="s">
        <v>882</v>
      </c>
    </row>
    <row r="177" spans="1:1" ht="5.25" customHeight="1">
      <c r="A177" s="1392"/>
    </row>
    <row r="178" spans="1:1">
      <c r="A178" s="1387" t="s">
        <v>883</v>
      </c>
    </row>
    <row r="179" spans="1:1" ht="5.25" customHeight="1">
      <c r="A179" s="1387"/>
    </row>
    <row r="180" spans="1:1">
      <c r="A180" s="1390" t="s">
        <v>884</v>
      </c>
    </row>
    <row r="181" spans="1:1">
      <c r="A181" s="1390" t="s">
        <v>885</v>
      </c>
    </row>
    <row r="182" spans="1:1">
      <c r="A182" s="1390" t="s">
        <v>886</v>
      </c>
    </row>
    <row r="183" spans="1:1">
      <c r="A183" s="1390" t="s">
        <v>887</v>
      </c>
    </row>
    <row r="184" spans="1:1" ht="7.5" customHeight="1"/>
    <row r="185" spans="1:1">
      <c r="A185" s="1387" t="s">
        <v>912</v>
      </c>
    </row>
    <row r="186" spans="1:1" ht="10.5" customHeight="1"/>
    <row r="187" spans="1:1" ht="12" customHeight="1">
      <c r="A187" s="1390" t="s">
        <v>914</v>
      </c>
    </row>
    <row r="188" spans="1:1" ht="12" customHeight="1">
      <c r="A188" s="1390" t="s">
        <v>919</v>
      </c>
    </row>
    <row r="189" spans="1:1">
      <c r="A189" s="1390" t="s">
        <v>913</v>
      </c>
    </row>
    <row r="190" spans="1:1">
      <c r="A190" s="1390" t="s">
        <v>920</v>
      </c>
    </row>
    <row r="191" spans="1:1">
      <c r="A191" s="1390" t="s">
        <v>921</v>
      </c>
    </row>
    <row r="192" spans="1:1">
      <c r="A192" s="1390" t="s">
        <v>922</v>
      </c>
    </row>
    <row r="193" spans="1:1">
      <c r="A193" s="1390" t="s">
        <v>948</v>
      </c>
    </row>
    <row r="194" spans="1:1" ht="9" customHeight="1"/>
    <row r="195" spans="1:1">
      <c r="A195" s="1387" t="s">
        <v>910</v>
      </c>
    </row>
    <row r="196" spans="1:1" ht="0.75" customHeight="1"/>
    <row r="197" spans="1:1" s="1391" customFormat="1">
      <c r="A197" s="1390" t="s">
        <v>915</v>
      </c>
    </row>
    <row r="198" spans="1:1">
      <c r="A198" s="1390" t="s">
        <v>916</v>
      </c>
    </row>
    <row r="199" spans="1:1" ht="15" customHeight="1"/>
    <row r="200" spans="1:1">
      <c r="A200" s="1387" t="s">
        <v>911</v>
      </c>
    </row>
    <row r="201" spans="1:1" ht="0.75" customHeight="1"/>
    <row r="202" spans="1:1" s="1391" customFormat="1">
      <c r="A202" s="1390" t="s">
        <v>917</v>
      </c>
    </row>
    <row r="203" spans="1:1">
      <c r="A203" s="1390" t="s">
        <v>918</v>
      </c>
    </row>
    <row r="208" spans="1:1">
      <c r="A208" s="77" t="s">
        <v>31</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49" location="'III.3.7. Afil. SFS RS Vs pob.'!A1" display="III.3.7 Comportamiento de la Afiliación al SFS del RS con Relación a la Población Pobre del País "/>
    <hyperlink ref="A53" location="III.4.1.Afil.RET1!A1" display="III.4.1 Definiciones y Análisis del RET "/>
    <hyperlink ref="A54" location="' III.4.2.Afil. SFSP Anual.'!A1" display="III.4.2 Afiliación Anual de Pensionados al SFS"/>
    <hyperlink ref="A55" location="' III.4.3.Afil. SFSP Mensual'!A1" display="III.4.3 Afiliación Mensual de Pensionados al SFS"/>
    <hyperlink ref="A56" location="' III.4.4.Cob.Afil. SFSP Mensual'!A1" display="III.4.4 Cobertura Afiliación Mensual de Pensionados al SFS"/>
    <hyperlink ref="A60" location="'III.5.1.Definición Afil. SVDS'!A1" display="III.5.1  Definiciones del SVDS"/>
    <hyperlink ref="A61" location="'III.5.2.Analisis Afil. SVDS'!A1" display="III.5.2  Análisis de Afiliación del SVDS"/>
    <hyperlink ref="A62" location="'III.5.3.Afil. SVDS'!A1" display="III.5.3 Cantidad de Afiliados y Cotizantes Anual del RC"/>
    <hyperlink ref="A63" location="'III.5.4.Afil. SVDS mensual'!A1" display="III.5.4  Afiliación Mensual al SVDS del RC"/>
    <hyperlink ref="A64" location="'III.5.5.Afil. cotiz.'!A1" display="III.5.5  Comparación Anual del Número de Afiliados Cotizantes con la Población Ocupada Formal"/>
    <hyperlink ref="A65" location="'III.5.6.Cotiz. x rango de edad'!A1" display="III.5.6  Cotizantes del SVDS por Rango de Edad"/>
    <hyperlink ref="A66" location="'III.5.7.Cotiz x sal. min. cot.'!A1" display="III.5.7  Cotizantes del SVDS por Cantidad de Salario Mínimo Cotizable"/>
    <hyperlink ref="A67" location="'III.5.8.Cotiz.x AFP y fondos'!A1" display="III.5.8  Distribución de los Afiliados Cotizantes por AFP`s y Fondos de Reparto"/>
    <hyperlink ref="A68" location="III.5.9.PEA_Pensiones_Género!A1" display="III.5.9  Población Económicamente Activa Afiliada al SVDS por Género"/>
    <hyperlink ref="A69" location="'III.5.10.Cot.Afil X Sexo'!A1" display="III.5.10 Afiliados y Cotizantes del SVDS por Género"/>
    <hyperlink ref="A70" location="'III.5.11.Traspasos anual'!A1" display="III.5.11  Traspaso Totales por Año"/>
    <hyperlink ref="A71" location="'III.5.12.Trasp. recibidos'!A1" display="III.5.12 Traspasos Recibidos en Entidades de CCI y Reparto"/>
    <hyperlink ref="A72" location="'III.5.13.Trasp. cedidos'!A1" display="III.5.13 Traspaso Cedidos en Entidades de CCI y Reparto"/>
    <hyperlink ref="A73" location="'III.5.14.Trasp. netos'!A1" display="III.5.14 Traspaso Netos en Entidades de CCI y Reparto"/>
    <hyperlink ref="A74" location="'III.5.15.Afil. SVDSxprov.'!A1" display="III.5.15 Distribución de Afiliados de las AFP por Provincias"/>
    <hyperlink ref="A78" location="'III.6.1.Definición Afil. SRL'!A1" display="III.6.1 Definiciones de SRL"/>
    <hyperlink ref="A79" location="'III.6.2.Afil. SRL.RC1 '!A1" display="III.6.2 Análisis de la Afiliación del SRL"/>
    <hyperlink ref="A80" location="'III.6.3.Afil. SRL'!A1" display="III.6.3 Comparativo Afiliación al SRL en Relación a la Población Ocupada en el Sector Formal"/>
    <hyperlink ref="A81" location="'III.6.4.Afil. SRL x sexoy edad'!A1" display="III.6.4 Afiliación al SRL por Grupo de Edad y Género"/>
    <hyperlink ref="A82" location="'III.6.5.Afil. ARL x riesgo'!A1" display="III.6.5 Empleados Afiliados Activos al SDSS por Tipo de Riesgos Laborales de sus Empresas"/>
    <hyperlink ref="A83" location="'III.6.6.ID. Accidentabilidad'!A1" display="III.6.6 Accidentabilidad Laboral de los Afiliados al SRL"/>
    <hyperlink ref="A88" location="'IV.1a.Definición Ing.Gastos)'!A1" display="IV.I.1  Definiciones Ingresos y Egresos del SDSS"/>
    <hyperlink ref="A89" location="'IV.1.2. Analisis Ing.Egr'!A1" display="IV.I.2  Análisis de Ingresos y Egresos del SDSS"/>
    <hyperlink ref="A90" location="'IV.1.3. Ingr y egr SDSS'!A1" display="IV.I.3  Ingreso y egreso Anuales del SDSS"/>
    <hyperlink ref="A91" location="'IV.1.4. Recaudo x sector'!A1" display="IV.I.4  Recaudo del RC del SDSS por Origen por Sector Económico"/>
    <hyperlink ref="A92" location="'IV.1.5 Rec. x origen'!A1" display="IV.I.5  Recaudo del RC del SDSS por Origen de los Aportes"/>
    <hyperlink ref="A93" location="'IV.1.6 Aport.Gob.SS'!A1" display="IV.I.6   Aportes del Gobierno a la Seguridad Social"/>
    <hyperlink ref="A97" location="'IV.2.1 AnálisisIng.Egr.Seg'!A1" display="IV.2.1  Análisis de Ingresos y Egresos por Seguros"/>
    <hyperlink ref="A98" location="'IV.2.2. Pagos SFS A'!A1" display="IV.2.2  Fondos Pagados Anualmente por Cuentas al SFS del RC"/>
    <hyperlink ref="A99" location="'IV.2.3.Pagos_SFS M'!A1" display="IV.2.3  Fondos Pagados Mensualmente por Cuentas al SFS del RC"/>
    <hyperlink ref="A100" location="'IV.2.4.Pagos x ARS 2'!A1" display="IV.2.4  Fondos Pagados a las ARS del SFS del RC"/>
    <hyperlink ref="A101" location="'IV.2.5.Pagos x ARS'!A1" display="IV.2.5  Fondos Pagados del RC a las ARS del SFS"/>
    <hyperlink ref="A102" location="'IV.2.6.INV_SFS x Entidad'!A1" display="IV.2.6 Distribución de las Inversiones de la Cuenta de la Salud por Instrumento"/>
    <hyperlink ref="A103" location="'IV.2.6.INV_SFS x Entidad'!A1" display="IV.2.7 Distribución de las Inversiones del SFS del RC"/>
    <hyperlink ref="A104" location="'IV.2.8.Aport. GOB. y Pagos RS'!A1" display="IV.2.8 Aportes del Gobierno Central y Pago a SENASA"/>
    <hyperlink ref="A105" location="'IV.2.9.Saldos RS mensual'!A1" display="IV.2.9 Aportes y Pagos Mensual del SFS en el RS"/>
    <hyperlink ref="A106" location="'IV.2.10 Pagos.SFS Pens.'!A1" display="IV.2.10 Pagos Anuales del SFSP Ley 1896-379"/>
    <hyperlink ref="A107" location="'IV.2.11.Pagos.SFS Pens.Mens.'!A1" display="IV.2.11 Pagos Mensuales del SFSP por ARS"/>
    <hyperlink ref="A111" location="IV.3.1.AnálisisIng.Eg.SVDS!A1" display="IV.3.1  Análisis de Ingresos y Egresos del SVDS"/>
    <hyperlink ref="A112" location="'IV.3.2.Pagos_ SVDS'!A1" display="IV.3.2 Dispersión Histórica del SVDS"/>
    <hyperlink ref="A113" location="'IV.3.3.Pagos anuales x cuentas'!A1" display="IV.3.3  Pago Anual al SVDS por Cuentas del SVDS"/>
    <hyperlink ref="A114" location="'IV.3.4.Pago Entidades'!A1" display="IV.3.4  Pagos a Entidades del Seguro de Vejez, Discapacidad y Sobrevivencia"/>
    <hyperlink ref="A115" location="'IV.3.5.Patrim. fp anual'!A1" display="IV.3.5  Patrimonio de los Fondos de Pensiones por Año"/>
    <hyperlink ref="A116" location="'IV.3.6.Cartera de inv fp'!A1" display="IV.3.6 Composición de la Cartera Total de Inversión de los Fondos de Pensiones por Tipo de Emisor"/>
    <hyperlink ref="A117" location="'IV.3.7. Comp. Cartera'!A1" display="IV.3.7 Composición de la Cartera Total de Inversión de los Fondos de Pensiones por Instrumento"/>
    <hyperlink ref="A118" location="'IV.3.8. Rent. nom. de los FP'!A1" display="IV.3.8  Rentabilidad Nominal Promedio de los Fondos de Pensiones"/>
    <hyperlink ref="A119" location="IV.3.9.Rentab.Real!A1" display="IV.3.9 Rentabilidad Promedio de los Fondos de Pensiones"/>
    <hyperlink ref="A123" location="'IV.4.1. Analisis '!A1" display="IV.4.1  Análisis del SRL"/>
    <hyperlink ref="A124" location="'IV.4.2.Pagos ARL A'!A1" display="IV.4.2 Pagos Anuales al ARL por Cuentas"/>
    <hyperlink ref="A125" location="'IV.4.3.Pagos_ARL M'!A1" display="IV.4.3 Pagos Mensuales por Cuentas al Seguro de Riesgo Laborales"/>
    <hyperlink ref="A130" location="'V.1b. Def. EI'!A1" display="V. 1.1  Definiciones EI"/>
    <hyperlink ref="A131" location="V.1.2.AnalisEI!A1" display="V. 1.2 Análisis de las Estancias Infantiles"/>
    <hyperlink ref="A132" location="V.1.3.Afil.EI!A1" display="V. 1.3 Niños Afiliados de las Estancias Infantiles del RC"/>
    <hyperlink ref="A133" location="V.1.4.Afil.EI!A1" display="V. 1.4 Pagos a las Estancias Infantiles"/>
    <hyperlink ref="A137" location="'V.2.1.SUBSIDIO_SFS Def.'!A1" display="V.2.1  Definiciones Subsidios"/>
    <hyperlink ref="A138" location="V.2.2.Análisis!A1" display="V.2.2 Análisis de Subsidio de Matenidad, Lactancia y Enfermedad Común"/>
    <hyperlink ref="A139" location="' V.2.3.Benef. subsid '!A1" display="V.2.3 Afiliados Beneficiarios por Subsidios de Maternidad, Lactancia y Enfermedad Común"/>
    <hyperlink ref="A140" location="'V.2.4. Monto subsid (2)'!A1" display="V.2.4 Montos Aprobados en Millones de RD$ por Concepto de Subsidios por Maternidad, Lactancia y Enfermedad Común"/>
    <hyperlink ref="A144" location="'V.3.1. Def-Análisis pens.'!A1" display="V.3.1  Definiciones Subsidios SVDS"/>
    <hyperlink ref="A145" location="'V.3.1. Def-Análisis pens.'!A1" display="V.3.2 Análisis de Subsidio de SVDS"/>
    <hyperlink ref="A146" location="'V.3.2 Pensiones por año'!A1" display="V.3.3 Pensiones Otorgadas por Año del SVDS"/>
    <hyperlink ref="A147" location="'V.3.3.Pens.Disc. AFP'!A1" display="V.3.4 Monto de Pensión Promedio por Tipo de Discapacidad Según AFP"/>
    <hyperlink ref="A148" location="'V.3.4.Pensiones Sob.Disc'!A1" display="V.3.5 Pensión Promedio de Sobrevivencia y Discapacidad (RD$) del SVDS"/>
    <hyperlink ref="A180" location="'VI.1.Analisis CMNR'!A1" display="VI.1 Análisis de CMNR"/>
    <hyperlink ref="A181" location="VI.2.Status!A1" display="VI.2  Solicitudes Recibidas en las Comisiones Médicas por Estatus"/>
    <hyperlink ref="A182" location="VI.3.Apelaciones1!A1" display="VI.3 Apelaciones de Dictamenes de la CMNR"/>
    <hyperlink ref="A183" location="'VI.4. Entidad Receptora Origen'!A1" display="VI.4 Apelaciones por Entidad Receptora y Orígen"/>
    <hyperlink ref="A197" location="Contenido!A1" display="VIII.1  Distribución de la Población Ocupada Formal por Rama de Actividad"/>
    <hyperlink ref="A198" location="'VIII.2 Pob. econ.'!Área_de_impresión" display="VIII.2 Población Total República Dominicana y por Tipo de Ocupación"/>
    <hyperlink ref="A152" location="'V.4.1.Def-Analisis   '!A1" display="V.4.1 Análisis de Beneficios de la Administradora de Riesgos Laborales"/>
    <hyperlink ref="A153" location="'V.4.2.NA. Reportes ARL'!A1" display="V.4.2 Reporte de Accidente Laborales y Enfermedades Profesionales"/>
    <hyperlink ref="A154" location="'V.4.3. NA.Cant. accid x región'!A1" display="V.4.3  Reporte de Accidente Laborales y Enfermedades Profesionales por Región"/>
    <hyperlink ref="A155" location="'V.4.4.NA.Cant. accid x Prov.)'!A1" display="V.4.4 Reporte de Accidentes Laborales y Enfermedades Profesionales por Provincia"/>
    <hyperlink ref="A156" location="'V.4.5.NA.Cant. accid x Proced.'!A1" display="V.4.5 Reporte de Accidentes Laborales y Enfermedades Profesionales por Zona de Procedencia"/>
    <hyperlink ref="A157" location="'V.4.6. NA.Cant. accid x sector'!A1" display="V.4.6 Reporte de Accidente Laborales y Enfermedades Profesionales por Tipo Sector"/>
    <hyperlink ref="A158" location="'V.4.7. Accid x sexo'!A1" display="V.4.7 Reporte de Accidentes Laborales y Enfermedades Profesionales por Sexo"/>
    <hyperlink ref="A159" location="'V.4.8. Accid x rango de edad'!A1" display="V.4.8 Reporte de Accidentes Laborales y Enfermedades Profesionales por Rango de Edad"/>
    <hyperlink ref="A160" location="'V.4.9.Accid x Escolaridad'!A1" display="V.4.9 Reporte de Accidentes Laborales y Enfermedades Profesionales por Nivel de Escolaridad"/>
    <hyperlink ref="A161" location="'V.4.10.Accid x sector '!A1" display="V.4.10 Comparación Reporte de Accidentes Laborales y Enfermedades Profesionales y Afiliación al SRL por Sector"/>
    <hyperlink ref="A162" location="'V.4.11.Accid x sexo'!A1" display="V.4.11 Comparación Reporte de Accidentes laborales y Enfermedades Profesionales y Afiliación al SRL por Sexo"/>
    <hyperlink ref="A163" location="'V.4.12.Accid x edad'!A1" display="V.4.12 Comparación  Reporte de Accidentes Laborales y Enfermedades Profesionales y Afiliación al SRL por Edad"/>
    <hyperlink ref="A164" location="'V.4.13.EC. Accid. Lab'!A1" display="V.4.13 Cantidad de Expedientes Calificados por la ARL Vs Casos Reportados"/>
    <hyperlink ref="A165" location="'V.4.14.EC. Accid. Lab.'!A1" display="V.4.14 Cantidad de Expedientes de Accidentes Laborales Calificados por la ARL "/>
    <hyperlink ref="A166" location="'V.4.15.EC. Accid. Lab x tipo'!A1" display="V.4.15 Cantidad de Expedientes Calificados por la ARL por Tipo de Accidente"/>
    <hyperlink ref="A167" location="'V.4.16. EC. Accid. Lab x Lesión'!A1" display="V.4.16 Cantidad de Expedientes Calificados por la ARL por Grado de Lesión"/>
    <hyperlink ref="A168" location="'V.4.17. Accid.Lab suceso'!A1" display="V.4.17 Cantidad de Expedientes Calificados por la ARL  Según Circunstancia del Suceso"/>
    <hyperlink ref="A169" location="'V.4.18. EC. x Agente daño'!A1" display="V.4.18 Cantidad de Expedientes Calificados por la ARL Según Agente Dañino"/>
    <hyperlink ref="A170" location="'V.4.19. EC. x  lugar de accid.'!A1" display="V.4.19 Cantidad de Expedientes Calificados por la ARL Según Lugar de Accidente"/>
    <hyperlink ref="A171" location="'V.4.20.EC. Accid incapac.'!A1" display="V.4.20 Cantidad de Expedientes Calificados por la ARL con Accidentes Laborales con Lesiones Discapacitantes"/>
    <hyperlink ref="A172" location="'V.4.21. EC. Enferm. Prof (R)'!A1" display="V.4.21 Cantidad de Expedientes de Enfermedades Profesionales Calificados en Proceso de Investigación"/>
    <hyperlink ref="A173" location="'V.4.22.EC. Accid Lab.(R)'!A1" display="V.4.22 Cantidad de Expedientes de Accidentes Laborales Calificados en Proceso de Reinvestigación"/>
    <hyperlink ref="A174" location="'V.4.23. Accid. Aprobxtipo'!A1" display="V.4.23 Casos Aprobados en Proceso de Reinvestigación por Tipo de Accidente"/>
    <hyperlink ref="A175" location="'V.4.24. Accid. Aprob xLesión '!A1" display="V.4.24 Casos Aprobados en Proceso de Reinvestigación por Grado de Lesión"/>
    <hyperlink ref="A176" location="'V.4.25.Accid.Aprob Según suc.'!A1" display="V.4.25 Casos Aprobados en Proceso de Reinvestigación por Circunstancia del Suceso"/>
    <hyperlink ref="A202" location="Contenido!A1" display="IX.1  Definiciones de Sistema Dominicano de Seguridad Social"/>
    <hyperlink ref="A203" location="'IX.2b. Logros1'!Área_de_impresión" display="IX.2 Logros del Sistema Dominicano de Seguridad Social"/>
    <hyperlink ref="A187" location="'VII.1. Analisis CBSS'!Área_de_impresión" display="VII.1 Analisis del Convenio Bilateral"/>
    <hyperlink ref="A188" location="'VII.2.CBSS Tram.'!Área_de_impresión" display="VII.2 Cantidad de Solicitudes por año y tipo de trámite"/>
    <hyperlink ref="A189" location="'VII.3.CBSS-Benef'!Área_de_impresión" display="VII.3 Cantidad de Solicitantes por Año y Tipo de Beneficio"/>
    <hyperlink ref="A190" location="'VII.4.CBSS-Tramit.'!Área_de_impresión" display="VII.4  Cantidad de Solicitudes y Tramitaciones Concluidas "/>
    <hyperlink ref="A191" location="'VII.5.CBSS-Rel.Concl. '!Área_de_impresión" display="VII.5  Cantidad de Expedientes Enviados a España en Espera de Documentación o Resolución Conclusiva"/>
    <hyperlink ref="A192" location="'VII.6.CBSS-Cert.'!Área_de_impresión" display="VII.6 Cantidad de Expedientes con Solicitud de Certificación a Entidades Dominicanas"/>
    <hyperlink ref="A193" location="VII.7.CBSS.Sex!Área_de_impresión" display="VII.7 Cantidad de Solicitudes por Fecha y Sexo"/>
    <hyperlink ref="A185" location="VII.CBSS!Área_de_impresión" display="VII. Estadísticas del Convenio Bilateral de Seguridad Social entre España y la República Dominicana"/>
    <hyperlink ref="A1" location="'VIII.1 Ocup. formal'!Área_de_impresión" display="'VIII.1 Ocup. formal'!Área_de_impresión"/>
    <hyperlink ref="A197:XFD197" location="'VIII.1 Ocup. formal'!Área_de_impresión" display="VIII.1  Distribución de la Población Ocupada Formal por Rama de Actividad"/>
    <hyperlink ref="A202:XFD202"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50" man="1"/>
    <brk id="94" man="1"/>
    <brk id="140" man="1"/>
    <brk id="183" man="1"/>
    <brk id="20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R56"/>
  <sheetViews>
    <sheetView showGridLines="0" view="pageBreakPreview" zoomScale="55" zoomScaleNormal="100" zoomScaleSheetLayoutView="55" zoomScalePageLayoutView="62" workbookViewId="0">
      <selection activeCell="J11" sqref="J11"/>
    </sheetView>
  </sheetViews>
  <sheetFormatPr baseColWidth="10" defaultColWidth="11.42578125" defaultRowHeight="15"/>
  <cols>
    <col min="1" max="1" width="22.42578125" style="77" customWidth="1"/>
    <col min="2" max="2" width="20.85546875" style="77" customWidth="1"/>
    <col min="3" max="3" width="23.28515625" style="77" customWidth="1"/>
    <col min="4" max="4" width="20.42578125" style="77" customWidth="1"/>
    <col min="5" max="5" width="26" style="77" customWidth="1"/>
    <col min="6" max="8" width="16.2851562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6384" width="11.42578125" style="77"/>
  </cols>
  <sheetData>
    <row r="1" spans="1:18" ht="87" customHeight="1">
      <c r="A1" s="2070"/>
      <c r="B1" s="2070"/>
      <c r="C1" s="2070"/>
      <c r="D1" s="2070"/>
      <c r="E1" s="2070"/>
      <c r="F1" s="2070"/>
      <c r="G1" s="2070"/>
      <c r="H1" s="2070"/>
      <c r="I1" s="2070"/>
      <c r="J1" s="2070"/>
      <c r="K1" s="2070"/>
      <c r="L1" s="2070"/>
      <c r="M1" s="2070"/>
      <c r="N1" s="2070"/>
      <c r="O1" s="2070"/>
      <c r="P1" s="2070"/>
      <c r="Q1" s="2070"/>
    </row>
    <row r="2" spans="1:18" ht="24" customHeight="1">
      <c r="A2" s="180"/>
      <c r="B2" s="180"/>
      <c r="C2" s="180"/>
      <c r="D2" s="180"/>
      <c r="E2" s="180"/>
      <c r="F2" s="180"/>
      <c r="G2" s="180"/>
      <c r="H2" s="180"/>
      <c r="I2" s="180"/>
      <c r="J2" s="180"/>
      <c r="K2" s="180"/>
      <c r="L2" s="180"/>
      <c r="M2" s="180"/>
      <c r="N2" s="180"/>
      <c r="O2" s="180"/>
      <c r="P2" s="180"/>
    </row>
    <row r="3" spans="1:18" ht="65.25" customHeight="1">
      <c r="A3" s="332" t="s">
        <v>227</v>
      </c>
      <c r="B3" s="294" t="s">
        <v>526</v>
      </c>
      <c r="C3" s="294" t="s">
        <v>738</v>
      </c>
      <c r="D3" s="294" t="s">
        <v>728</v>
      </c>
      <c r="E3" s="296" t="s">
        <v>527</v>
      </c>
      <c r="F3" s="294" t="s">
        <v>224</v>
      </c>
      <c r="G3" s="294" t="s">
        <v>225</v>
      </c>
      <c r="H3" s="295" t="s">
        <v>396</v>
      </c>
      <c r="I3" s="236"/>
      <c r="J3" s="236"/>
      <c r="K3" s="236"/>
      <c r="L3" s="236"/>
      <c r="M3" s="236"/>
      <c r="N3" s="236"/>
      <c r="O3" s="236"/>
      <c r="P3" s="237" t="s">
        <v>504</v>
      </c>
      <c r="Q3" s="61"/>
      <c r="R3" s="61"/>
    </row>
    <row r="4" spans="1:18" s="879" customFormat="1" ht="25.5" customHeight="1">
      <c r="A4" s="297" t="s">
        <v>26</v>
      </c>
      <c r="B4" s="1307"/>
      <c r="C4" s="1307">
        <v>266531</v>
      </c>
      <c r="D4" s="1308">
        <v>0</v>
      </c>
      <c r="E4" s="1309">
        <f>B4+C4+D4</f>
        <v>266531</v>
      </c>
      <c r="F4" s="886"/>
      <c r="G4" s="886">
        <f t="shared" ref="G4:G10" si="0">C4/E4</f>
        <v>1</v>
      </c>
      <c r="H4" s="1339"/>
      <c r="I4" s="1310"/>
      <c r="J4" s="1310"/>
      <c r="K4" s="1310"/>
      <c r="M4" s="232"/>
      <c r="N4" s="232" t="s">
        <v>168</v>
      </c>
      <c r="O4" s="1311"/>
      <c r="P4" s="235">
        <f t="shared" ref="P4:P9" si="1">L4/E4</f>
        <v>0</v>
      </c>
      <c r="Q4" s="1312"/>
      <c r="R4" s="1312"/>
    </row>
    <row r="5" spans="1:18" s="879" customFormat="1" ht="25.5" customHeight="1">
      <c r="A5" s="297" t="s">
        <v>27</v>
      </c>
      <c r="B5" s="1307"/>
      <c r="C5" s="1307">
        <v>513416</v>
      </c>
      <c r="D5" s="1308">
        <v>0</v>
      </c>
      <c r="E5" s="1309">
        <f>B5+C5+D5</f>
        <v>513416</v>
      </c>
      <c r="F5" s="886"/>
      <c r="G5" s="886">
        <f t="shared" si="0"/>
        <v>1</v>
      </c>
      <c r="H5" s="1339"/>
      <c r="I5" s="1310"/>
      <c r="J5" s="1310"/>
      <c r="K5" s="1310"/>
      <c r="L5" s="1313"/>
      <c r="M5" s="232"/>
      <c r="N5" s="232"/>
      <c r="O5" s="1311"/>
      <c r="P5" s="235">
        <f t="shared" si="1"/>
        <v>0</v>
      </c>
      <c r="Q5" s="1312"/>
      <c r="R5" s="1312"/>
    </row>
    <row r="6" spans="1:18" s="879" customFormat="1" ht="25.5" customHeight="1">
      <c r="A6" s="297" t="s">
        <v>28</v>
      </c>
      <c r="B6" s="1307">
        <v>1599467</v>
      </c>
      <c r="C6" s="1307">
        <v>1081936</v>
      </c>
      <c r="D6" s="1308">
        <v>0</v>
      </c>
      <c r="E6" s="1309">
        <f t="shared" ref="E6:E14" si="2">B6+C6+D6</f>
        <v>2681403</v>
      </c>
      <c r="F6" s="886">
        <f t="shared" ref="F6:F15" si="3">B6/E6</f>
        <v>0.59650377060068926</v>
      </c>
      <c r="G6" s="886">
        <f t="shared" si="0"/>
        <v>0.40349622939931074</v>
      </c>
      <c r="H6" s="1339"/>
      <c r="I6" s="1310"/>
      <c r="J6" s="1310"/>
      <c r="K6" s="1310"/>
      <c r="L6" s="1313"/>
      <c r="M6" s="232"/>
      <c r="N6" s="232"/>
      <c r="O6" s="1311"/>
      <c r="P6" s="235">
        <f t="shared" si="1"/>
        <v>0</v>
      </c>
      <c r="Q6" s="1312"/>
      <c r="R6" s="1312"/>
    </row>
    <row r="7" spans="1:18" s="879" customFormat="1" ht="25.5" customHeight="1">
      <c r="A7" s="297" t="s">
        <v>29</v>
      </c>
      <c r="B7" s="1307">
        <v>1729671</v>
      </c>
      <c r="C7" s="1307">
        <v>1224643</v>
      </c>
      <c r="D7" s="1308">
        <v>0</v>
      </c>
      <c r="E7" s="1309">
        <f t="shared" si="2"/>
        <v>2954314</v>
      </c>
      <c r="F7" s="886">
        <f t="shared" si="3"/>
        <v>0.5854729727442648</v>
      </c>
      <c r="G7" s="886">
        <f t="shared" si="0"/>
        <v>0.41452702725573515</v>
      </c>
      <c r="H7" s="1339"/>
      <c r="I7" s="1310"/>
      <c r="J7" s="1310"/>
      <c r="K7" s="1310"/>
      <c r="L7" s="1313"/>
      <c r="M7" s="232"/>
      <c r="N7" s="232"/>
      <c r="O7" s="1311"/>
      <c r="P7" s="235">
        <f t="shared" si="1"/>
        <v>0</v>
      </c>
      <c r="Q7" s="1312"/>
      <c r="R7" s="1312"/>
    </row>
    <row r="8" spans="1:18" s="879" customFormat="1" ht="25.5" customHeight="1">
      <c r="A8" s="297" t="s">
        <v>30</v>
      </c>
      <c r="B8" s="1307">
        <v>2096232</v>
      </c>
      <c r="C8" s="1307">
        <v>1346166</v>
      </c>
      <c r="D8" s="1308">
        <v>18375</v>
      </c>
      <c r="E8" s="1309">
        <f t="shared" si="2"/>
        <v>3460773</v>
      </c>
      <c r="F8" s="886">
        <f t="shared" si="3"/>
        <v>0.60571207646384206</v>
      </c>
      <c r="G8" s="886">
        <f t="shared" si="0"/>
        <v>0.3889784160937455</v>
      </c>
      <c r="H8" s="887">
        <f t="shared" ref="H8:H15" si="4">D8/E8</f>
        <v>5.309507442412432E-3</v>
      </c>
      <c r="I8" s="1310"/>
      <c r="J8" s="1310"/>
      <c r="K8" s="1310"/>
      <c r="L8" s="1313"/>
      <c r="M8" s="232"/>
      <c r="N8" s="232"/>
      <c r="O8" s="1311"/>
      <c r="P8" s="235">
        <f t="shared" si="1"/>
        <v>0</v>
      </c>
      <c r="Q8" s="1312"/>
      <c r="R8" s="1312"/>
    </row>
    <row r="9" spans="1:18" s="879" customFormat="1" ht="25.5" customHeight="1">
      <c r="A9" s="297" t="s">
        <v>183</v>
      </c>
      <c r="B9" s="1307">
        <v>2417992</v>
      </c>
      <c r="C9" s="1307">
        <v>1847833</v>
      </c>
      <c r="D9" s="1308">
        <v>27177</v>
      </c>
      <c r="E9" s="1309">
        <f t="shared" si="2"/>
        <v>4293002</v>
      </c>
      <c r="F9" s="886">
        <f t="shared" si="3"/>
        <v>0.56324036187264759</v>
      </c>
      <c r="G9" s="886">
        <f t="shared" si="0"/>
        <v>0.43042910299133336</v>
      </c>
      <c r="H9" s="887">
        <f t="shared" si="4"/>
        <v>6.3305351360190372E-3</v>
      </c>
      <c r="I9" s="1310"/>
      <c r="J9" s="1310"/>
      <c r="K9" s="1310"/>
      <c r="L9" s="1313"/>
      <c r="M9" s="232"/>
      <c r="N9" s="232"/>
      <c r="O9" s="1311"/>
      <c r="P9" s="235">
        <f t="shared" si="1"/>
        <v>0</v>
      </c>
      <c r="Q9" s="1312"/>
      <c r="R9" s="1312"/>
    </row>
    <row r="10" spans="1:18" s="879" customFormat="1" ht="25.5" customHeight="1">
      <c r="A10" s="297" t="s">
        <v>223</v>
      </c>
      <c r="B10" s="1307">
        <v>2586943</v>
      </c>
      <c r="C10" s="1307">
        <v>1996335</v>
      </c>
      <c r="D10" s="1308">
        <v>29648</v>
      </c>
      <c r="E10" s="1309">
        <f t="shared" si="2"/>
        <v>4612926</v>
      </c>
      <c r="F10" s="886">
        <f t="shared" si="3"/>
        <v>0.56080305645484019</v>
      </c>
      <c r="G10" s="886">
        <f t="shared" si="0"/>
        <v>0.43276978646525005</v>
      </c>
      <c r="H10" s="887">
        <f t="shared" si="4"/>
        <v>6.4271570799098012E-3</v>
      </c>
      <c r="I10" s="1310"/>
      <c r="J10" s="1310"/>
      <c r="K10" s="1310"/>
      <c r="L10" s="1313"/>
      <c r="M10" s="232"/>
      <c r="N10" s="232"/>
      <c r="O10" s="232"/>
      <c r="P10" s="235">
        <f>L10/E10</f>
        <v>0</v>
      </c>
      <c r="Q10" s="1312"/>
      <c r="R10" s="1312"/>
    </row>
    <row r="11" spans="1:18" s="879" customFormat="1" ht="25.5" customHeight="1">
      <c r="A11" s="297" t="s">
        <v>456</v>
      </c>
      <c r="B11" s="1307">
        <v>2747735</v>
      </c>
      <c r="C11" s="1307">
        <v>2294356</v>
      </c>
      <c r="D11" s="1308">
        <v>30884</v>
      </c>
      <c r="E11" s="1309">
        <f t="shared" si="2"/>
        <v>5072975</v>
      </c>
      <c r="F11" s="886">
        <f t="shared" si="3"/>
        <v>0.54164173882189448</v>
      </c>
      <c r="G11" s="886">
        <f>C11/E11</f>
        <v>0.45227031475613422</v>
      </c>
      <c r="H11" s="887">
        <f t="shared" si="4"/>
        <v>6.0879464219713289E-3</v>
      </c>
      <c r="I11" s="1310"/>
      <c r="J11" s="1310"/>
      <c r="K11" s="1310"/>
      <c r="L11" s="1313"/>
      <c r="M11" s="232"/>
      <c r="N11" s="232"/>
      <c r="O11" s="232"/>
      <c r="P11" s="235">
        <f>L11/E11</f>
        <v>0</v>
      </c>
      <c r="Q11" s="1312"/>
      <c r="R11" s="1312"/>
    </row>
    <row r="12" spans="1:18" s="879" customFormat="1" ht="25.5" customHeight="1">
      <c r="A12" s="297" t="s">
        <v>530</v>
      </c>
      <c r="B12" s="1307">
        <v>2965326</v>
      </c>
      <c r="C12" s="1307">
        <v>2646899</v>
      </c>
      <c r="D12" s="1308">
        <v>29217</v>
      </c>
      <c r="E12" s="1309">
        <f t="shared" si="2"/>
        <v>5641442</v>
      </c>
      <c r="F12" s="886">
        <f t="shared" si="3"/>
        <v>0.52563263080609535</v>
      </c>
      <c r="G12" s="886">
        <f>C12/E12</f>
        <v>0.46918837417809134</v>
      </c>
      <c r="H12" s="887">
        <f t="shared" si="4"/>
        <v>5.1789950158133329E-3</v>
      </c>
      <c r="I12" s="1310"/>
      <c r="J12" s="1310"/>
      <c r="K12" s="1310"/>
      <c r="L12" s="1313"/>
      <c r="M12" s="232"/>
      <c r="N12" s="232"/>
      <c r="O12" s="232"/>
      <c r="P12" s="235"/>
      <c r="Q12" s="1312"/>
      <c r="R12" s="1312"/>
    </row>
    <row r="13" spans="1:18" s="879" customFormat="1" ht="25.5" customHeight="1">
      <c r="A13" s="297" t="s">
        <v>542</v>
      </c>
      <c r="B13" s="1307">
        <v>3224947</v>
      </c>
      <c r="C13" s="1307">
        <v>3015646</v>
      </c>
      <c r="D13" s="1308">
        <v>30470</v>
      </c>
      <c r="E13" s="1309">
        <f t="shared" si="2"/>
        <v>6271063</v>
      </c>
      <c r="F13" s="886">
        <f t="shared" si="3"/>
        <v>0.5142584279571103</v>
      </c>
      <c r="G13" s="886">
        <f>C13/E13</f>
        <v>0.48088274667309194</v>
      </c>
      <c r="H13" s="887">
        <f t="shared" si="4"/>
        <v>4.8588253697977521E-3</v>
      </c>
      <c r="I13" s="1310"/>
      <c r="J13" s="1310"/>
      <c r="K13" s="1310"/>
      <c r="L13" s="1313"/>
      <c r="M13" s="232"/>
      <c r="N13" s="232"/>
      <c r="O13" s="232"/>
      <c r="P13" s="235"/>
      <c r="Q13" s="1312"/>
      <c r="R13" s="1312"/>
    </row>
    <row r="14" spans="1:18" s="879" customFormat="1" ht="25.5" customHeight="1">
      <c r="A14" s="297" t="s">
        <v>953</v>
      </c>
      <c r="B14" s="1307">
        <v>3407061</v>
      </c>
      <c r="C14" s="1307">
        <v>3110557</v>
      </c>
      <c r="D14" s="1308">
        <v>30564</v>
      </c>
      <c r="E14" s="1309">
        <f t="shared" si="2"/>
        <v>6548182</v>
      </c>
      <c r="F14" s="886">
        <f t="shared" ref="F14" si="5">B14/E14</f>
        <v>0.52030639954723312</v>
      </c>
      <c r="G14" s="886">
        <f>C14/E14</f>
        <v>0.47502604539702775</v>
      </c>
      <c r="H14" s="887">
        <f t="shared" ref="H14" si="6">D14/E14</f>
        <v>4.667555055739135E-3</v>
      </c>
      <c r="I14" s="1310"/>
      <c r="J14" s="1310"/>
      <c r="K14" s="1310"/>
      <c r="L14" s="1313"/>
      <c r="M14" s="232"/>
      <c r="N14" s="232"/>
      <c r="O14" s="232"/>
      <c r="P14" s="235"/>
      <c r="Q14" s="1312"/>
      <c r="R14" s="1312"/>
    </row>
    <row r="15" spans="1:18" s="879" customFormat="1" ht="25.5" customHeight="1">
      <c r="A15" s="324" t="s">
        <v>1003</v>
      </c>
      <c r="B15" s="1314">
        <v>3560883</v>
      </c>
      <c r="C15" s="1314">
        <v>3277201</v>
      </c>
      <c r="D15" s="1315">
        <v>29955</v>
      </c>
      <c r="E15" s="1316">
        <f>B15+C15+D15</f>
        <v>6868039</v>
      </c>
      <c r="F15" s="1338">
        <f t="shared" si="3"/>
        <v>0.51847157536525346</v>
      </c>
      <c r="G15" s="1338">
        <f>C15/E15</f>
        <v>0.47716691766019381</v>
      </c>
      <c r="H15" s="890">
        <f t="shared" si="4"/>
        <v>4.361506974552707E-3</v>
      </c>
      <c r="I15" s="1337"/>
      <c r="J15" s="1310"/>
      <c r="K15" s="1310"/>
      <c r="L15" s="1313"/>
      <c r="M15" s="232"/>
      <c r="N15" s="232"/>
      <c r="O15" s="232"/>
      <c r="P15" s="235"/>
      <c r="Q15" s="1312"/>
      <c r="R15" s="1312"/>
    </row>
    <row r="16" spans="1:18" ht="23.25" customHeight="1">
      <c r="A16" s="2071" t="s">
        <v>649</v>
      </c>
      <c r="B16" s="2071"/>
      <c r="C16" s="2071"/>
      <c r="D16" s="2071"/>
      <c r="E16" s="2071"/>
      <c r="F16" s="2071"/>
      <c r="G16" s="2071"/>
      <c r="H16" s="2071"/>
      <c r="I16" s="2071"/>
      <c r="J16" s="2071"/>
      <c r="K16" s="2071"/>
      <c r="L16" s="2071"/>
      <c r="M16" s="2071"/>
      <c r="N16" s="2071"/>
      <c r="O16" s="2071"/>
      <c r="P16" s="2071"/>
      <c r="Q16" s="61"/>
      <c r="R16" s="61"/>
    </row>
    <row r="17" spans="1:18" ht="25.5" customHeight="1">
      <c r="A17" s="31"/>
      <c r="B17" s="31"/>
      <c r="C17" s="31"/>
      <c r="D17" s="31"/>
      <c r="E17" s="31"/>
      <c r="F17" s="31"/>
      <c r="G17" s="31"/>
      <c r="H17" s="31"/>
      <c r="I17" s="31"/>
      <c r="J17" s="31"/>
      <c r="K17" s="31"/>
      <c r="L17" s="31"/>
      <c r="M17" s="31"/>
      <c r="N17" s="31"/>
      <c r="O17" s="31"/>
      <c r="P17" s="31"/>
      <c r="R17" s="61"/>
    </row>
    <row r="18" spans="1:18" ht="25.5" customHeight="1">
      <c r="A18" s="31"/>
      <c r="B18" s="31"/>
      <c r="C18" s="31"/>
      <c r="D18" s="31"/>
      <c r="E18" s="31"/>
      <c r="F18" s="31"/>
      <c r="G18" s="31"/>
      <c r="H18" s="31"/>
      <c r="I18" s="31"/>
      <c r="J18" s="31"/>
      <c r="K18" s="31"/>
      <c r="L18" s="31"/>
      <c r="M18" s="31"/>
      <c r="N18" s="31"/>
      <c r="O18" s="31"/>
      <c r="P18" s="31"/>
      <c r="Q18" s="31"/>
      <c r="R18" s="61"/>
    </row>
    <row r="19" spans="1:18" ht="25.5" customHeight="1">
      <c r="A19" s="31"/>
      <c r="B19" s="31"/>
      <c r="C19" s="31"/>
      <c r="D19" s="31"/>
      <c r="E19" s="31"/>
      <c r="F19" s="31"/>
      <c r="G19" s="31"/>
      <c r="H19" s="31"/>
      <c r="I19" s="31"/>
      <c r="J19" s="31"/>
      <c r="K19" s="31"/>
      <c r="L19" s="31"/>
      <c r="M19" s="31"/>
      <c r="N19" s="31"/>
      <c r="O19" s="31"/>
      <c r="P19" s="31"/>
      <c r="Q19" s="31"/>
      <c r="R19" s="61"/>
    </row>
    <row r="20" spans="1:18" ht="25.5" customHeight="1">
      <c r="A20" s="31"/>
      <c r="B20" s="31"/>
      <c r="C20" s="31"/>
      <c r="D20" s="31"/>
      <c r="E20" s="31"/>
      <c r="F20" s="31"/>
      <c r="G20" s="31"/>
      <c r="H20" s="31"/>
      <c r="I20" s="31"/>
      <c r="J20" s="31"/>
      <c r="K20" s="31"/>
      <c r="L20" s="31"/>
      <c r="M20" s="31"/>
      <c r="N20" s="31"/>
      <c r="O20" s="31"/>
      <c r="P20" s="31"/>
      <c r="Q20" s="31"/>
      <c r="R20" s="61"/>
    </row>
    <row r="21" spans="1:18" ht="25.5" customHeight="1">
      <c r="A21" s="31"/>
      <c r="B21" s="31"/>
      <c r="C21" s="31"/>
      <c r="D21" s="31"/>
      <c r="E21" s="31"/>
      <c r="F21" s="31"/>
      <c r="G21" s="31"/>
      <c r="H21" s="31"/>
      <c r="I21" s="31"/>
      <c r="J21" s="31"/>
      <c r="K21" s="31"/>
      <c r="L21" s="31"/>
      <c r="M21" s="31"/>
      <c r="N21" s="31"/>
      <c r="O21" s="31"/>
      <c r="P21" s="31"/>
      <c r="Q21" s="31"/>
      <c r="R21" s="61"/>
    </row>
    <row r="22" spans="1:18" ht="25.5" customHeight="1">
      <c r="A22" s="31"/>
      <c r="B22" s="31"/>
      <c r="C22" s="31"/>
      <c r="D22" s="31"/>
      <c r="E22" s="31"/>
      <c r="F22" s="31"/>
      <c r="G22" s="31"/>
      <c r="H22" s="31"/>
      <c r="I22" s="31"/>
      <c r="J22" s="31"/>
      <c r="K22" s="31"/>
      <c r="L22" s="31"/>
      <c r="M22" s="31"/>
      <c r="N22" s="31"/>
      <c r="O22" s="31"/>
      <c r="P22" s="31"/>
      <c r="Q22" s="31"/>
      <c r="R22" s="61"/>
    </row>
    <row r="23" spans="1:18" ht="25.5" customHeight="1">
      <c r="A23" s="31"/>
      <c r="B23" s="31"/>
      <c r="C23" s="31"/>
      <c r="D23" s="31"/>
      <c r="E23" s="31"/>
      <c r="F23" s="31"/>
      <c r="G23" s="31"/>
      <c r="H23" s="31"/>
      <c r="I23" s="31"/>
      <c r="J23" s="31"/>
      <c r="K23" s="31"/>
      <c r="L23" s="31"/>
      <c r="M23" s="31"/>
      <c r="N23" s="31"/>
      <c r="O23" s="31"/>
      <c r="P23" s="31"/>
      <c r="Q23" s="31"/>
      <c r="R23" s="61"/>
    </row>
    <row r="24" spans="1:18" ht="25.5" customHeight="1">
      <c r="A24" s="31"/>
      <c r="B24" s="31"/>
      <c r="C24" s="31"/>
      <c r="D24" s="31"/>
      <c r="E24" s="31"/>
      <c r="F24" s="31"/>
      <c r="G24" s="31"/>
      <c r="H24" s="31"/>
      <c r="I24" s="31"/>
      <c r="J24" s="31"/>
      <c r="K24" s="31"/>
      <c r="L24" s="31"/>
      <c r="M24" s="31"/>
      <c r="N24" s="31"/>
      <c r="O24" s="31"/>
      <c r="P24" s="31"/>
      <c r="Q24" s="31"/>
      <c r="R24" s="61"/>
    </row>
    <row r="25" spans="1:18" ht="25.5" customHeight="1">
      <c r="A25" s="31"/>
      <c r="B25" s="31"/>
      <c r="C25" s="31"/>
      <c r="D25" s="31"/>
      <c r="E25" s="31"/>
      <c r="F25" s="31"/>
      <c r="G25" s="31"/>
      <c r="H25" s="31"/>
      <c r="I25" s="31"/>
      <c r="J25" s="31"/>
      <c r="K25" s="31"/>
      <c r="L25" s="31"/>
      <c r="M25" s="31"/>
      <c r="N25" s="31"/>
      <c r="O25" s="31"/>
      <c r="P25" s="31"/>
      <c r="Q25" s="31"/>
      <c r="R25" s="61"/>
    </row>
    <row r="26" spans="1:18" ht="25.5" customHeight="1">
      <c r="A26" s="31"/>
      <c r="B26" s="31"/>
      <c r="C26" s="31"/>
      <c r="D26" s="31"/>
      <c r="E26" s="31"/>
      <c r="F26" s="31"/>
      <c r="G26" s="31"/>
      <c r="H26" s="31"/>
      <c r="I26" s="31"/>
      <c r="J26" s="31"/>
      <c r="K26" s="31"/>
      <c r="L26" s="31"/>
      <c r="M26" s="31"/>
      <c r="N26" s="31"/>
      <c r="O26" s="31"/>
      <c r="P26" s="31"/>
      <c r="Q26" s="31"/>
      <c r="R26" s="31"/>
    </row>
    <row r="27" spans="1:18" ht="25.5" customHeight="1">
      <c r="A27" s="31"/>
      <c r="B27" s="31"/>
      <c r="C27" s="31"/>
      <c r="D27" s="31"/>
      <c r="E27" s="31"/>
      <c r="F27" s="31"/>
      <c r="G27" s="31"/>
      <c r="H27" s="31"/>
      <c r="I27" s="31"/>
      <c r="J27" s="31"/>
      <c r="K27" s="31"/>
      <c r="L27" s="31"/>
      <c r="M27" s="31"/>
      <c r="N27" s="31"/>
      <c r="O27" s="31"/>
      <c r="P27" s="31"/>
      <c r="Q27" s="31"/>
      <c r="R27" s="31"/>
    </row>
    <row r="28" spans="1:18" ht="25.5" customHeight="1">
      <c r="A28" s="31"/>
      <c r="B28" s="31"/>
      <c r="C28" s="31"/>
      <c r="D28" s="31"/>
      <c r="E28" s="31"/>
      <c r="F28" s="31"/>
      <c r="G28" s="31"/>
      <c r="H28" s="31"/>
      <c r="I28" s="31"/>
      <c r="J28" s="31"/>
      <c r="K28" s="31"/>
      <c r="L28" s="31"/>
      <c r="M28" s="31"/>
      <c r="N28" s="31"/>
      <c r="O28" s="31"/>
      <c r="P28" s="31"/>
      <c r="Q28" s="31"/>
      <c r="R28" s="31"/>
    </row>
    <row r="29" spans="1:18" ht="25.5" customHeight="1">
      <c r="A29" s="31"/>
      <c r="B29" s="31"/>
      <c r="C29" s="31"/>
      <c r="D29" s="31"/>
      <c r="E29" s="31"/>
      <c r="F29" s="31"/>
      <c r="G29" s="31"/>
      <c r="H29" s="31"/>
      <c r="I29" s="31"/>
      <c r="J29" s="31"/>
      <c r="K29" s="31"/>
      <c r="L29" s="31"/>
      <c r="M29" s="31"/>
      <c r="N29" s="31"/>
      <c r="O29" s="31"/>
      <c r="P29" s="31"/>
      <c r="Q29" s="31"/>
      <c r="R29" s="31"/>
    </row>
    <row r="30" spans="1:18" ht="25.5" customHeight="1">
      <c r="A30" s="31"/>
      <c r="B30" s="31"/>
      <c r="C30" s="31"/>
      <c r="D30" s="31"/>
      <c r="E30" s="31"/>
      <c r="F30" s="31"/>
      <c r="G30" s="31"/>
      <c r="H30" s="31"/>
      <c r="I30" s="31"/>
      <c r="J30" s="31"/>
      <c r="K30" s="31"/>
      <c r="L30" s="31"/>
      <c r="M30" s="31"/>
      <c r="N30" s="31"/>
      <c r="O30" s="31"/>
      <c r="P30" s="31"/>
      <c r="Q30" s="31"/>
      <c r="R30" s="31"/>
    </row>
    <row r="31" spans="1:18" ht="25.5" customHeight="1">
      <c r="A31" s="31"/>
      <c r="B31" s="31"/>
      <c r="C31" s="31"/>
      <c r="D31" s="31"/>
      <c r="E31" s="31"/>
      <c r="F31" s="31"/>
      <c r="G31" s="31"/>
      <c r="H31" s="31"/>
      <c r="I31" s="31"/>
      <c r="J31" s="31"/>
      <c r="K31" s="31"/>
      <c r="L31" s="31"/>
      <c r="M31" s="31"/>
      <c r="N31" s="31"/>
      <c r="O31" s="31"/>
      <c r="P31" s="31"/>
      <c r="Q31" s="31"/>
      <c r="R31" s="31"/>
    </row>
    <row r="32" spans="1:18" ht="25.5" customHeight="1">
      <c r="A32" s="31"/>
      <c r="B32" s="31"/>
      <c r="C32" s="31"/>
      <c r="D32" s="31"/>
      <c r="E32" s="31"/>
      <c r="F32" s="31"/>
      <c r="G32" s="31"/>
      <c r="H32" s="31"/>
      <c r="I32" s="31"/>
      <c r="J32" s="31"/>
      <c r="K32" s="31"/>
      <c r="L32" s="31"/>
      <c r="M32" s="31"/>
      <c r="N32" s="31"/>
      <c r="O32" s="31"/>
      <c r="P32" s="31"/>
      <c r="Q32" s="31"/>
      <c r="R32" s="31"/>
    </row>
    <row r="33" spans="1:18" ht="25.5" customHeight="1">
      <c r="A33" s="31"/>
      <c r="B33" s="31"/>
      <c r="C33" s="31"/>
      <c r="D33" s="31"/>
      <c r="E33" s="31"/>
      <c r="F33" s="31"/>
      <c r="G33" s="31"/>
      <c r="H33" s="31"/>
      <c r="I33" s="31"/>
      <c r="J33" s="31"/>
      <c r="K33" s="31"/>
      <c r="L33" s="31"/>
      <c r="M33" s="31"/>
      <c r="N33" s="31"/>
      <c r="O33" s="31"/>
      <c r="P33" s="31"/>
      <c r="Q33" s="31"/>
      <c r="R33" s="31"/>
    </row>
    <row r="34" spans="1:18" ht="25.5" customHeight="1">
      <c r="A34" s="31"/>
      <c r="B34" s="31"/>
      <c r="C34" s="31"/>
      <c r="D34" s="31"/>
      <c r="E34" s="31"/>
      <c r="F34" s="31"/>
      <c r="G34" s="31"/>
      <c r="H34" s="31"/>
      <c r="I34" s="31"/>
      <c r="J34" s="31"/>
      <c r="K34" s="31"/>
      <c r="L34" s="31"/>
      <c r="M34" s="31"/>
      <c r="N34" s="31"/>
      <c r="O34" s="31"/>
      <c r="P34" s="31"/>
      <c r="Q34" s="31"/>
      <c r="R34" s="31"/>
    </row>
    <row r="35" spans="1:18" ht="25.5" customHeight="1">
      <c r="A35" s="31"/>
      <c r="B35" s="31"/>
      <c r="C35" s="31"/>
      <c r="D35" s="31"/>
      <c r="E35" s="31"/>
      <c r="F35" s="31"/>
      <c r="G35" s="31"/>
      <c r="H35" s="31"/>
      <c r="I35" s="31"/>
      <c r="J35" s="31"/>
      <c r="K35" s="31"/>
      <c r="L35" s="31"/>
      <c r="M35" s="31"/>
      <c r="N35" s="31"/>
      <c r="O35" s="31"/>
      <c r="P35" s="31"/>
      <c r="Q35" s="31"/>
      <c r="R35" s="31"/>
    </row>
    <row r="36" spans="1:18" ht="25.5" customHeight="1">
      <c r="A36" s="31"/>
      <c r="B36" s="31"/>
      <c r="C36" s="31"/>
      <c r="D36" s="31"/>
      <c r="E36" s="31"/>
      <c r="F36" s="31"/>
      <c r="G36" s="31"/>
      <c r="H36" s="31"/>
      <c r="I36" s="31"/>
      <c r="J36" s="31"/>
      <c r="K36" s="31"/>
      <c r="L36" s="31"/>
      <c r="M36" s="31"/>
      <c r="N36" s="31"/>
      <c r="O36" s="31"/>
      <c r="P36" s="31"/>
      <c r="Q36" s="31"/>
      <c r="R36" s="31"/>
    </row>
    <row r="37" spans="1:18" ht="25.5" customHeight="1">
      <c r="A37" s="31"/>
      <c r="B37" s="31"/>
      <c r="C37" s="31"/>
      <c r="D37" s="31"/>
      <c r="E37" s="31"/>
      <c r="F37" s="31"/>
      <c r="G37" s="31"/>
      <c r="H37" s="31"/>
      <c r="I37" s="31"/>
      <c r="J37" s="31"/>
      <c r="K37" s="31"/>
      <c r="L37" s="31"/>
      <c r="M37" s="31"/>
      <c r="N37" s="31"/>
      <c r="O37" s="31"/>
      <c r="P37" s="31"/>
      <c r="Q37" s="31"/>
      <c r="R37" s="31"/>
    </row>
    <row r="38" spans="1:18" ht="25.5" customHeight="1">
      <c r="A38" s="31"/>
      <c r="B38" s="31"/>
      <c r="C38" s="31"/>
      <c r="D38" s="31"/>
      <c r="E38" s="31"/>
      <c r="F38" s="31"/>
      <c r="G38" s="31"/>
      <c r="H38" s="31"/>
      <c r="I38" s="31"/>
      <c r="J38" s="31"/>
      <c r="K38" s="31"/>
      <c r="L38" s="31"/>
      <c r="M38" s="31"/>
      <c r="N38" s="31"/>
      <c r="O38" s="31"/>
      <c r="P38" s="31"/>
      <c r="Q38" s="31"/>
      <c r="R38" s="31"/>
    </row>
    <row r="43" spans="1:18" ht="51" customHeight="1"/>
    <row r="44" spans="1:18" ht="78" customHeight="1">
      <c r="A44" s="318"/>
      <c r="B44" s="318"/>
      <c r="C44" s="318"/>
      <c r="D44" s="318"/>
      <c r="E44" s="318"/>
      <c r="F44" s="318"/>
      <c r="G44" s="318"/>
      <c r="H44" s="318"/>
      <c r="I44" s="318"/>
      <c r="J44" s="318"/>
      <c r="K44" s="318"/>
      <c r="L44" s="318"/>
      <c r="M44" s="318"/>
      <c r="N44" s="318"/>
      <c r="O44" s="318"/>
      <c r="P44" s="318"/>
      <c r="Q44" s="318"/>
      <c r="R44" s="318"/>
    </row>
    <row r="56" spans="2:18">
      <c r="B56" s="96"/>
      <c r="C56" s="96"/>
      <c r="D56" s="96"/>
      <c r="E56" s="96"/>
      <c r="F56" s="96"/>
      <c r="G56" s="96"/>
      <c r="H56" s="96"/>
      <c r="I56" s="96"/>
      <c r="J56" s="96"/>
      <c r="K56" s="96"/>
      <c r="L56" s="96"/>
      <c r="M56" s="96"/>
      <c r="N56" s="96"/>
      <c r="O56" s="96"/>
      <c r="P56" s="96"/>
      <c r="Q56" s="96"/>
      <c r="R56" s="96"/>
    </row>
  </sheetData>
  <mergeCells count="2">
    <mergeCell ref="A1:Q1"/>
    <mergeCell ref="A16:P16"/>
  </mergeCells>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E55"/>
  <sheetViews>
    <sheetView showGridLines="0" view="pageBreakPreview" topLeftCell="B1" zoomScale="55" zoomScaleNormal="100" zoomScaleSheetLayoutView="55" zoomScalePageLayoutView="62" workbookViewId="0">
      <selection activeCell="S32" sqref="S32"/>
    </sheetView>
  </sheetViews>
  <sheetFormatPr baseColWidth="10" defaultColWidth="11.42578125" defaultRowHeight="28.5"/>
  <cols>
    <col min="1" max="1" width="0" style="1458" hidden="1" customWidth="1"/>
    <col min="2" max="2" width="22" style="77" customWidth="1"/>
    <col min="3" max="4" width="17.42578125" style="77" customWidth="1"/>
    <col min="5" max="6" width="18.7109375" style="77" customWidth="1"/>
    <col min="7" max="8" width="18" style="77" customWidth="1"/>
    <col min="9" max="9" width="22.140625" style="77" customWidth="1"/>
    <col min="10" max="11" width="17.140625" style="77" customWidth="1"/>
    <col min="12" max="12" width="13.85546875" style="77" customWidth="1"/>
    <col min="13" max="13" width="12.7109375" style="77" customWidth="1"/>
    <col min="14" max="14" width="19" style="77" customWidth="1"/>
    <col min="15" max="15" width="16.140625" style="77" customWidth="1"/>
    <col min="16" max="16" width="14.28515625" style="77" customWidth="1"/>
    <col min="17" max="17" width="10.5703125" style="77" customWidth="1"/>
    <col min="18" max="18" width="6" style="77" customWidth="1"/>
    <col min="19" max="19" width="18.42578125" style="986" customWidth="1"/>
    <col min="20" max="20" width="17" style="986" customWidth="1"/>
    <col min="21" max="21" width="19.140625" style="986" customWidth="1"/>
    <col min="22" max="22" width="27" style="77" customWidth="1"/>
    <col min="23" max="23" width="14.85546875" style="77" customWidth="1"/>
    <col min="24" max="24" width="14.5703125" style="77" customWidth="1"/>
    <col min="25" max="25" width="24.7109375" style="77" customWidth="1"/>
    <col min="26" max="16384" width="11.42578125" style="77"/>
  </cols>
  <sheetData>
    <row r="1" spans="1:25" ht="87" customHeight="1">
      <c r="B1" s="2070"/>
      <c r="C1" s="2070"/>
      <c r="D1" s="2070"/>
      <c r="E1" s="2070"/>
      <c r="F1" s="2070"/>
      <c r="G1" s="2070"/>
      <c r="H1" s="2070"/>
      <c r="I1" s="2070"/>
      <c r="J1" s="2070"/>
      <c r="K1" s="2070"/>
      <c r="L1" s="2070"/>
      <c r="M1" s="2070"/>
      <c r="N1" s="2070"/>
      <c r="O1" s="2070"/>
      <c r="P1" s="2070"/>
      <c r="Q1" s="2070"/>
      <c r="R1" s="2070"/>
      <c r="S1" s="2070"/>
      <c r="T1" s="2070"/>
      <c r="U1" s="2070"/>
      <c r="V1" s="2070"/>
      <c r="W1" s="2070"/>
    </row>
    <row r="2" spans="1:25" ht="19.5" customHeight="1">
      <c r="B2" s="797"/>
      <c r="C2" s="799"/>
      <c r="D2" s="799"/>
      <c r="E2" s="799"/>
      <c r="F2" s="799"/>
      <c r="G2" s="797"/>
      <c r="H2" s="797"/>
      <c r="I2" s="799" t="s">
        <v>629</v>
      </c>
      <c r="J2" s="797"/>
      <c r="K2" s="797"/>
      <c r="L2" s="797"/>
      <c r="M2" s="797"/>
      <c r="N2" s="797"/>
      <c r="O2" s="797"/>
      <c r="P2" s="797"/>
      <c r="Q2" s="797"/>
      <c r="R2" s="977"/>
      <c r="S2" s="977"/>
      <c r="T2" s="977"/>
      <c r="U2" s="977"/>
      <c r="V2" s="797"/>
    </row>
    <row r="3" spans="1:25" s="1223" customFormat="1" ht="33" customHeight="1">
      <c r="B3" s="1212"/>
      <c r="C3" s="2073" t="s">
        <v>627</v>
      </c>
      <c r="D3" s="2074"/>
      <c r="E3" s="2073" t="s">
        <v>628</v>
      </c>
      <c r="F3" s="2075"/>
      <c r="G3" s="2076" t="s">
        <v>630</v>
      </c>
      <c r="H3" s="2076"/>
      <c r="I3" s="2076"/>
      <c r="J3" s="2076"/>
      <c r="K3" s="2077"/>
      <c r="L3" s="1212"/>
      <c r="M3" s="1212"/>
      <c r="N3" s="1212"/>
      <c r="O3" s="1212"/>
      <c r="P3" s="1212"/>
      <c r="Q3" s="1212"/>
      <c r="R3" s="1212"/>
      <c r="S3" s="1212"/>
      <c r="T3" s="1212"/>
      <c r="U3" s="1212"/>
      <c r="V3" s="1212"/>
    </row>
    <row r="4" spans="1:25" ht="32.25" customHeight="1">
      <c r="B4" s="332" t="s">
        <v>227</v>
      </c>
      <c r="C4" s="804" t="s">
        <v>120</v>
      </c>
      <c r="D4" s="294" t="s">
        <v>68</v>
      </c>
      <c r="E4" s="804" t="s">
        <v>120</v>
      </c>
      <c r="F4" s="295" t="s">
        <v>68</v>
      </c>
      <c r="G4" s="294" t="s">
        <v>120</v>
      </c>
      <c r="H4" s="294" t="s">
        <v>68</v>
      </c>
      <c r="I4" s="296" t="s">
        <v>23</v>
      </c>
      <c r="J4" s="294" t="s">
        <v>674</v>
      </c>
      <c r="K4" s="295" t="s">
        <v>626</v>
      </c>
      <c r="L4" s="1155"/>
      <c r="M4" s="1155"/>
      <c r="N4" s="1155"/>
      <c r="O4" s="1155"/>
      <c r="P4" s="1155"/>
      <c r="S4" s="984"/>
      <c r="T4" s="984"/>
      <c r="U4" s="985"/>
      <c r="V4" s="236"/>
      <c r="W4" s="236"/>
      <c r="X4" s="236"/>
      <c r="Y4" s="24"/>
    </row>
    <row r="5" spans="1:25" ht="25.5" customHeight="1">
      <c r="A5" s="1458">
        <v>2007</v>
      </c>
      <c r="B5" s="805" t="s">
        <v>28</v>
      </c>
      <c r="C5" s="1213">
        <v>479821</v>
      </c>
      <c r="D5" s="1214">
        <v>602115</v>
      </c>
      <c r="E5" s="1213">
        <v>792515</v>
      </c>
      <c r="F5" s="1215">
        <v>684666</v>
      </c>
      <c r="G5" s="884">
        <f>+E5+C5</f>
        <v>1272336</v>
      </c>
      <c r="H5" s="1214">
        <v>1286781</v>
      </c>
      <c r="I5" s="1216">
        <f t="shared" ref="I5:I13" si="0">G5+H5</f>
        <v>2559117</v>
      </c>
      <c r="J5" s="1217">
        <f>G5/I5</f>
        <v>0.49717773747741895</v>
      </c>
      <c r="K5" s="1218">
        <f>H5/I5</f>
        <v>0.502822262522581</v>
      </c>
      <c r="L5" s="1155"/>
      <c r="M5" s="1155"/>
      <c r="N5" s="1155"/>
      <c r="O5" s="1155"/>
      <c r="P5" s="1155"/>
      <c r="S5" s="984"/>
      <c r="T5" s="988"/>
      <c r="U5" s="987"/>
      <c r="V5" s="806"/>
      <c r="W5" s="803"/>
      <c r="X5" s="234"/>
      <c r="Y5" s="24"/>
    </row>
    <row r="6" spans="1:25" ht="25.5" customHeight="1">
      <c r="A6" s="1458">
        <v>2008</v>
      </c>
      <c r="B6" s="360" t="s">
        <v>29</v>
      </c>
      <c r="C6" s="1219">
        <v>545438</v>
      </c>
      <c r="D6" s="884">
        <v>679205</v>
      </c>
      <c r="E6" s="1219">
        <v>890402</v>
      </c>
      <c r="F6" s="885">
        <v>801857</v>
      </c>
      <c r="G6" s="884">
        <f t="shared" ref="G6:G11" si="1">+E6+C6</f>
        <v>1435840</v>
      </c>
      <c r="H6" s="884">
        <f t="shared" ref="H6:H12" si="2">+F6+D6</f>
        <v>1481062</v>
      </c>
      <c r="I6" s="1220">
        <f t="shared" si="0"/>
        <v>2916902</v>
      </c>
      <c r="J6" s="1221">
        <f t="shared" ref="J6:J14" si="3">G6/I6</f>
        <v>0.49224828259571285</v>
      </c>
      <c r="K6" s="1222">
        <f t="shared" ref="K6:K12" si="4">H6/I6</f>
        <v>0.50775171740428715</v>
      </c>
      <c r="L6" s="1155"/>
      <c r="M6" s="1155"/>
      <c r="N6" s="1155"/>
      <c r="O6" s="1155"/>
      <c r="P6" s="1155"/>
      <c r="S6" s="984"/>
      <c r="T6" s="988"/>
      <c r="U6" s="987"/>
      <c r="V6" s="806"/>
      <c r="W6" s="803"/>
      <c r="X6" s="234"/>
      <c r="Y6" s="24"/>
    </row>
    <row r="7" spans="1:25" ht="25.5" customHeight="1">
      <c r="A7" s="1458">
        <v>2009</v>
      </c>
      <c r="B7" s="360" t="s">
        <v>30</v>
      </c>
      <c r="C7" s="1219">
        <v>615631</v>
      </c>
      <c r="D7" s="884">
        <v>788594</v>
      </c>
      <c r="E7" s="1219">
        <v>1078877</v>
      </c>
      <c r="F7" s="885">
        <v>1009422</v>
      </c>
      <c r="G7" s="884">
        <f t="shared" si="1"/>
        <v>1694508</v>
      </c>
      <c r="H7" s="884">
        <f t="shared" si="2"/>
        <v>1798016</v>
      </c>
      <c r="I7" s="1220">
        <f t="shared" si="0"/>
        <v>3492524</v>
      </c>
      <c r="J7" s="1221">
        <f t="shared" si="3"/>
        <v>0.48518149052089549</v>
      </c>
      <c r="K7" s="1222">
        <f t="shared" si="4"/>
        <v>0.51481850947910446</v>
      </c>
      <c r="L7" s="1155"/>
      <c r="M7" s="1155"/>
      <c r="N7" s="1155"/>
      <c r="O7" s="1155"/>
      <c r="P7" s="1155"/>
      <c r="S7" s="984"/>
      <c r="T7" s="988"/>
      <c r="U7" s="987"/>
      <c r="V7" s="806"/>
      <c r="W7" s="803"/>
      <c r="X7" s="234"/>
      <c r="Y7" s="24"/>
    </row>
    <row r="8" spans="1:25" ht="25.5" customHeight="1">
      <c r="A8" s="1458">
        <v>2010</v>
      </c>
      <c r="B8" s="360" t="s">
        <v>183</v>
      </c>
      <c r="C8" s="1219">
        <v>904636</v>
      </c>
      <c r="D8" s="884">
        <v>1109150</v>
      </c>
      <c r="E8" s="1219">
        <v>1210182</v>
      </c>
      <c r="F8" s="885">
        <v>1153901</v>
      </c>
      <c r="G8" s="884">
        <f t="shared" si="1"/>
        <v>2114818</v>
      </c>
      <c r="H8" s="884">
        <f t="shared" si="2"/>
        <v>2263051</v>
      </c>
      <c r="I8" s="1220">
        <f t="shared" si="0"/>
        <v>4377869</v>
      </c>
      <c r="J8" s="1221">
        <f t="shared" si="3"/>
        <v>0.48307018780141664</v>
      </c>
      <c r="K8" s="1222">
        <f t="shared" si="4"/>
        <v>0.51692981219858336</v>
      </c>
      <c r="L8" s="1155"/>
      <c r="M8" s="1155"/>
      <c r="N8" s="1155"/>
      <c r="O8" s="1155"/>
      <c r="P8" s="1155"/>
      <c r="S8" s="984"/>
      <c r="T8" s="988"/>
      <c r="U8" s="987"/>
      <c r="V8" s="806"/>
      <c r="W8" s="803"/>
      <c r="X8" s="234"/>
      <c r="Y8" s="24"/>
    </row>
    <row r="9" spans="1:25" ht="25.5" customHeight="1">
      <c r="A9" s="1458">
        <v>2011</v>
      </c>
      <c r="B9" s="360" t="s">
        <v>223</v>
      </c>
      <c r="C9" s="1219">
        <v>899174</v>
      </c>
      <c r="D9" s="884">
        <v>1104253</v>
      </c>
      <c r="E9" s="1219">
        <v>1279458</v>
      </c>
      <c r="F9" s="885">
        <v>1237965</v>
      </c>
      <c r="G9" s="884">
        <f t="shared" si="1"/>
        <v>2178632</v>
      </c>
      <c r="H9" s="884">
        <f t="shared" si="2"/>
        <v>2342218</v>
      </c>
      <c r="I9" s="1220">
        <f t="shared" si="0"/>
        <v>4520850</v>
      </c>
      <c r="J9" s="1221">
        <f t="shared" si="3"/>
        <v>0.48190760587057746</v>
      </c>
      <c r="K9" s="1222">
        <f t="shared" si="4"/>
        <v>0.51809239412942254</v>
      </c>
      <c r="T9" s="988"/>
      <c r="U9" s="987"/>
      <c r="V9" s="806"/>
      <c r="W9" s="803"/>
      <c r="X9" s="234"/>
      <c r="Y9" s="24"/>
    </row>
    <row r="10" spans="1:25" ht="25.5" customHeight="1">
      <c r="A10" s="1458">
        <v>2012</v>
      </c>
      <c r="B10" s="360" t="s">
        <v>456</v>
      </c>
      <c r="C10" s="1219">
        <v>1031326</v>
      </c>
      <c r="D10" s="884">
        <v>1272025</v>
      </c>
      <c r="E10" s="1219">
        <v>1360788</v>
      </c>
      <c r="F10" s="885">
        <v>1327623</v>
      </c>
      <c r="G10" s="884">
        <f t="shared" si="1"/>
        <v>2392114</v>
      </c>
      <c r="H10" s="884">
        <f t="shared" si="2"/>
        <v>2599648</v>
      </c>
      <c r="I10" s="1220">
        <f t="shared" si="0"/>
        <v>4991762</v>
      </c>
      <c r="J10" s="1221">
        <f t="shared" si="3"/>
        <v>0.47921235026830206</v>
      </c>
      <c r="K10" s="1222">
        <f t="shared" si="4"/>
        <v>0.520787649731698</v>
      </c>
      <c r="S10" s="984"/>
      <c r="T10" s="988"/>
      <c r="U10" s="987"/>
      <c r="V10" s="806"/>
      <c r="W10" s="803"/>
      <c r="X10" s="234"/>
      <c r="Y10" s="24"/>
    </row>
    <row r="11" spans="1:25" ht="25.5" customHeight="1">
      <c r="A11" s="1458">
        <v>2013</v>
      </c>
      <c r="B11" s="360" t="s">
        <v>530</v>
      </c>
      <c r="C11" s="1219">
        <v>1243431</v>
      </c>
      <c r="D11" s="884">
        <v>1508322</v>
      </c>
      <c r="E11" s="1219">
        <v>1462398</v>
      </c>
      <c r="F11" s="885">
        <v>1438578</v>
      </c>
      <c r="G11" s="884">
        <f t="shared" si="1"/>
        <v>2705829</v>
      </c>
      <c r="H11" s="884">
        <f t="shared" si="2"/>
        <v>2946900</v>
      </c>
      <c r="I11" s="1220">
        <f t="shared" si="0"/>
        <v>5652729</v>
      </c>
      <c r="J11" s="1221">
        <f t="shared" si="3"/>
        <v>0.47867658258515489</v>
      </c>
      <c r="K11" s="1222">
        <f t="shared" si="4"/>
        <v>0.52132341741484511</v>
      </c>
      <c r="S11" s="984"/>
      <c r="T11" s="988"/>
      <c r="U11" s="987"/>
      <c r="V11" s="806"/>
      <c r="W11" s="803"/>
      <c r="X11" s="234"/>
      <c r="Y11" s="24"/>
    </row>
    <row r="12" spans="1:25" ht="25.5" customHeight="1">
      <c r="A12" s="1458">
        <v>2014</v>
      </c>
      <c r="B12" s="360" t="s">
        <v>542</v>
      </c>
      <c r="C12" s="1219">
        <v>1400518</v>
      </c>
      <c r="D12" s="884">
        <v>1615128</v>
      </c>
      <c r="E12" s="1219">
        <v>1578325</v>
      </c>
      <c r="F12" s="885">
        <v>1563274</v>
      </c>
      <c r="G12" s="884">
        <f>+E12+C12</f>
        <v>2978843</v>
      </c>
      <c r="H12" s="884">
        <f t="shared" si="2"/>
        <v>3178402</v>
      </c>
      <c r="I12" s="1220">
        <f t="shared" si="0"/>
        <v>6157245</v>
      </c>
      <c r="J12" s="1221">
        <f t="shared" si="3"/>
        <v>0.48379478159469047</v>
      </c>
      <c r="K12" s="1222">
        <f t="shared" si="4"/>
        <v>0.51620521840530953</v>
      </c>
      <c r="S12" s="984"/>
      <c r="T12" s="984"/>
      <c r="U12" s="987"/>
      <c r="V12" s="806"/>
      <c r="W12" s="803"/>
      <c r="X12" s="234"/>
      <c r="Y12" s="24"/>
    </row>
    <row r="13" spans="1:25" ht="25.5" customHeight="1">
      <c r="A13" s="1458">
        <v>2015</v>
      </c>
      <c r="B13" s="360" t="s">
        <v>953</v>
      </c>
      <c r="C13" s="1219">
        <v>1572793</v>
      </c>
      <c r="D13" s="884">
        <v>1744612</v>
      </c>
      <c r="E13" s="1219">
        <v>1674811</v>
      </c>
      <c r="F13" s="885">
        <v>1665027</v>
      </c>
      <c r="G13" s="884">
        <v>3247604</v>
      </c>
      <c r="H13" s="884">
        <v>3409639</v>
      </c>
      <c r="I13" s="1220">
        <f t="shared" si="0"/>
        <v>6657243</v>
      </c>
      <c r="J13" s="1221">
        <f t="shared" ref="J13" si="5">G13/I13</f>
        <v>0.48783017234011139</v>
      </c>
      <c r="K13" s="1222">
        <f t="shared" ref="K13" si="6">H13/I13</f>
        <v>0.51216982765988861</v>
      </c>
      <c r="L13" s="1458"/>
      <c r="N13" s="727"/>
      <c r="T13" s="988"/>
      <c r="U13" s="987"/>
      <c r="V13" s="806"/>
      <c r="W13" s="803"/>
      <c r="X13" s="234"/>
      <c r="Y13" s="31"/>
    </row>
    <row r="14" spans="1:25">
      <c r="A14" s="1458">
        <v>2016</v>
      </c>
      <c r="B14" s="880" t="s">
        <v>1003</v>
      </c>
      <c r="C14" s="1317">
        <v>1555307</v>
      </c>
      <c r="D14" s="888">
        <v>1743440</v>
      </c>
      <c r="E14" s="1317">
        <v>1750621</v>
      </c>
      <c r="F14" s="889">
        <v>1723159</v>
      </c>
      <c r="G14" s="888">
        <f>+C14+E14</f>
        <v>3305928</v>
      </c>
      <c r="H14" s="888">
        <f>+F14+D14</f>
        <v>3466599</v>
      </c>
      <c r="I14" s="1988">
        <f>G14+H14</f>
        <v>6772527</v>
      </c>
      <c r="J14" s="1824">
        <f t="shared" si="3"/>
        <v>0.48813803178636278</v>
      </c>
      <c r="K14" s="1825">
        <f>H14/I14</f>
        <v>0.51186196821363728</v>
      </c>
      <c r="M14" s="800"/>
      <c r="N14" s="800"/>
      <c r="O14" s="800"/>
      <c r="P14" s="800"/>
      <c r="Q14" s="800"/>
      <c r="R14" s="800"/>
      <c r="T14" s="988"/>
      <c r="U14" s="989"/>
      <c r="V14" s="800"/>
      <c r="W14" s="61"/>
      <c r="X14" s="61"/>
      <c r="Y14" s="31"/>
    </row>
    <row r="15" spans="1:25" ht="39" customHeight="1">
      <c r="B15" s="2072" t="s">
        <v>1000</v>
      </c>
      <c r="C15" s="2072"/>
      <c r="D15" s="2072"/>
      <c r="E15" s="2072"/>
      <c r="F15" s="2072"/>
      <c r="G15" s="2072"/>
      <c r="H15" s="2072"/>
      <c r="I15" s="2072"/>
      <c r="J15" s="2072"/>
      <c r="K15" s="2072"/>
      <c r="L15" s="800"/>
      <c r="M15" s="31"/>
      <c r="N15" s="31"/>
      <c r="O15" s="31"/>
      <c r="P15" s="31"/>
      <c r="Q15" s="31"/>
      <c r="R15" s="31"/>
      <c r="S15" s="984"/>
      <c r="T15" s="988"/>
      <c r="U15" s="990"/>
      <c r="V15" s="31"/>
      <c r="X15" s="61"/>
      <c r="Y15" s="31"/>
    </row>
    <row r="16" spans="1:25" ht="25.5" customHeight="1">
      <c r="B16" s="31"/>
      <c r="C16" s="31"/>
      <c r="D16" s="31"/>
      <c r="E16" s="31"/>
      <c r="F16" s="31"/>
      <c r="G16" s="31"/>
      <c r="H16" s="31"/>
      <c r="I16" s="31"/>
      <c r="J16" s="31"/>
      <c r="K16" s="31"/>
      <c r="L16" s="31"/>
      <c r="M16" s="31"/>
      <c r="N16" s="31"/>
      <c r="O16" s="31"/>
      <c r="P16" s="31"/>
      <c r="Q16" s="31"/>
      <c r="R16" s="31"/>
      <c r="S16" s="984"/>
      <c r="T16" s="988"/>
      <c r="U16" s="990"/>
      <c r="V16" s="31"/>
      <c r="W16" s="31"/>
      <c r="X16" s="61"/>
      <c r="Y16" s="31"/>
    </row>
    <row r="17" spans="2:31" ht="25.5" customHeight="1">
      <c r="B17" s="31"/>
      <c r="C17" s="31"/>
      <c r="D17" s="31"/>
      <c r="E17" s="31"/>
      <c r="F17" s="31"/>
      <c r="G17" s="31"/>
      <c r="H17" s="31"/>
      <c r="I17" s="31"/>
      <c r="J17" s="31"/>
      <c r="K17" s="31"/>
      <c r="L17" s="31"/>
      <c r="M17" s="31"/>
      <c r="N17" s="31"/>
      <c r="O17" s="31"/>
      <c r="P17" s="31"/>
      <c r="Q17" s="31"/>
      <c r="R17" s="31"/>
      <c r="S17" s="984"/>
      <c r="T17" s="984"/>
      <c r="U17" s="990"/>
      <c r="V17" s="31"/>
      <c r="W17" s="31"/>
      <c r="X17" s="61"/>
      <c r="Y17" s="31"/>
      <c r="AE17" s="77" t="s">
        <v>31</v>
      </c>
    </row>
    <row r="18" spans="2:31" ht="25.5" customHeight="1">
      <c r="B18" s="31"/>
      <c r="C18" s="31"/>
      <c r="D18" s="31"/>
      <c r="E18" s="31"/>
      <c r="F18" s="31"/>
      <c r="G18" s="31"/>
      <c r="H18" s="31"/>
      <c r="I18" s="31"/>
      <c r="J18" s="31"/>
      <c r="K18" s="31"/>
      <c r="L18" s="31"/>
      <c r="M18" s="31"/>
      <c r="N18" s="31"/>
      <c r="O18" s="31"/>
      <c r="P18" s="31"/>
      <c r="Q18" s="31"/>
      <c r="R18" s="31"/>
      <c r="S18" s="990"/>
      <c r="T18" s="990"/>
      <c r="U18" s="990"/>
      <c r="V18" s="31"/>
      <c r="W18" s="31"/>
      <c r="X18" s="61"/>
      <c r="Y18" s="31"/>
    </row>
    <row r="19" spans="2:31" ht="25.5" customHeight="1">
      <c r="B19" s="31"/>
      <c r="C19" s="31"/>
      <c r="D19" s="31"/>
      <c r="E19" s="31"/>
      <c r="F19" s="31"/>
      <c r="G19" s="31"/>
      <c r="H19" s="31"/>
      <c r="I19" s="31"/>
      <c r="J19" s="31"/>
      <c r="K19" s="31"/>
      <c r="L19" s="31"/>
      <c r="M19" s="31"/>
      <c r="N19" s="31"/>
      <c r="O19" s="31"/>
      <c r="P19" s="31"/>
      <c r="Q19" s="31"/>
      <c r="R19" s="31"/>
      <c r="S19" s="1919"/>
      <c r="T19" s="884"/>
      <c r="U19" s="990"/>
      <c r="V19" s="31"/>
      <c r="W19" s="31"/>
      <c r="X19" s="61"/>
      <c r="Y19" s="31"/>
    </row>
    <row r="20" spans="2:31" ht="25.5" customHeight="1">
      <c r="B20" s="31"/>
      <c r="C20" s="31"/>
      <c r="D20" s="31"/>
      <c r="E20" s="31"/>
      <c r="F20" s="31"/>
      <c r="G20" s="31"/>
      <c r="H20" s="31"/>
      <c r="I20" s="31"/>
      <c r="J20" s="31"/>
      <c r="K20" s="31"/>
      <c r="L20" s="31"/>
      <c r="M20" s="31"/>
      <c r="N20" s="31"/>
      <c r="O20" s="31"/>
      <c r="P20" s="31"/>
      <c r="Q20" s="31"/>
      <c r="R20" s="31"/>
      <c r="S20" s="1919"/>
      <c r="T20" s="884"/>
      <c r="U20" s="990"/>
      <c r="V20" s="31"/>
      <c r="W20" s="31"/>
      <c r="X20" s="61"/>
      <c r="Y20" s="31"/>
    </row>
    <row r="21" spans="2:31" ht="25.5" customHeight="1">
      <c r="B21" s="31"/>
      <c r="C21" s="31"/>
      <c r="D21" s="31"/>
      <c r="E21" s="31"/>
      <c r="F21" s="31"/>
      <c r="G21" s="31"/>
      <c r="H21" s="31"/>
      <c r="I21" s="31"/>
      <c r="J21" s="31"/>
      <c r="K21" s="31"/>
      <c r="L21" s="31"/>
      <c r="M21" s="31"/>
      <c r="N21" s="31"/>
      <c r="O21" s="31"/>
      <c r="P21" s="31"/>
      <c r="Q21" s="31"/>
      <c r="R21" s="31"/>
      <c r="S21" s="884"/>
      <c r="T21" s="884"/>
      <c r="U21" s="990"/>
      <c r="V21" s="31"/>
      <c r="W21" s="31"/>
      <c r="X21" s="61"/>
      <c r="Y21" s="31"/>
    </row>
    <row r="22" spans="2:31" ht="25.5" customHeight="1">
      <c r="B22" s="31"/>
      <c r="C22" s="31"/>
      <c r="D22" s="31"/>
      <c r="E22" s="31"/>
      <c r="F22" s="31"/>
      <c r="G22" s="31"/>
      <c r="H22" s="31"/>
      <c r="I22" s="31"/>
      <c r="J22" s="31"/>
      <c r="K22" s="31"/>
      <c r="L22" s="31"/>
      <c r="M22" s="31"/>
      <c r="N22" s="31"/>
      <c r="O22" s="31"/>
      <c r="P22" s="31"/>
      <c r="Q22" s="31"/>
      <c r="R22" s="31"/>
      <c r="S22" s="884"/>
      <c r="T22" s="884"/>
      <c r="U22" s="990"/>
      <c r="V22" s="31"/>
      <c r="W22" s="31"/>
      <c r="X22" s="61"/>
      <c r="Y22" s="31"/>
    </row>
    <row r="23" spans="2:31" ht="25.5" customHeight="1">
      <c r="B23" s="31"/>
      <c r="C23" s="31"/>
      <c r="D23" s="31"/>
      <c r="E23" s="31"/>
      <c r="F23" s="31"/>
      <c r="G23" s="31"/>
      <c r="H23" s="31"/>
      <c r="I23" s="31"/>
      <c r="J23" s="31"/>
      <c r="K23" s="31"/>
      <c r="L23" s="31"/>
      <c r="M23" s="31"/>
      <c r="N23" s="31"/>
      <c r="O23" s="31"/>
      <c r="P23" s="31"/>
      <c r="Q23" s="31"/>
      <c r="R23" s="31"/>
      <c r="S23" s="884"/>
      <c r="T23" s="884"/>
      <c r="U23" s="990"/>
      <c r="V23" s="31"/>
      <c r="W23" s="31"/>
      <c r="X23" s="61"/>
      <c r="Y23" s="31"/>
    </row>
    <row r="24" spans="2:31" ht="25.5" customHeight="1">
      <c r="B24" s="31"/>
      <c r="C24" s="31"/>
      <c r="D24" s="31"/>
      <c r="E24" s="31"/>
      <c r="F24" s="31"/>
      <c r="G24" s="31"/>
      <c r="H24" s="31"/>
      <c r="I24" s="31"/>
      <c r="J24" s="31"/>
      <c r="K24" s="31"/>
      <c r="L24" s="31"/>
      <c r="M24" s="31"/>
      <c r="N24" s="31"/>
      <c r="O24" s="31"/>
      <c r="P24" s="31"/>
      <c r="Q24" s="31"/>
      <c r="R24" s="31"/>
      <c r="S24" s="990"/>
      <c r="T24" s="990"/>
      <c r="U24" s="990"/>
      <c r="V24" s="31"/>
      <c r="W24" s="31"/>
      <c r="X24" s="31"/>
      <c r="Y24" s="31"/>
    </row>
    <row r="25" spans="2:31" ht="25.5" customHeight="1">
      <c r="B25" s="31"/>
      <c r="C25" s="31"/>
      <c r="D25" s="31"/>
      <c r="E25" s="31"/>
      <c r="F25" s="31"/>
      <c r="G25" s="31"/>
      <c r="H25" s="31"/>
      <c r="I25" s="31"/>
      <c r="J25" s="31"/>
      <c r="K25" s="31"/>
      <c r="L25" s="31"/>
      <c r="M25" s="31"/>
      <c r="N25" s="31"/>
      <c r="O25" s="31"/>
      <c r="P25" s="31"/>
      <c r="Q25" s="31"/>
      <c r="R25" s="31"/>
      <c r="S25" s="990"/>
      <c r="T25" s="990"/>
      <c r="U25" s="990"/>
      <c r="V25" s="31"/>
      <c r="W25" s="31"/>
      <c r="X25" s="31"/>
      <c r="Y25" s="31"/>
    </row>
    <row r="26" spans="2:31" ht="25.5" customHeight="1">
      <c r="B26" s="31"/>
      <c r="C26" s="31"/>
      <c r="D26" s="31"/>
      <c r="E26" s="31"/>
      <c r="F26" s="31"/>
      <c r="G26" s="31"/>
      <c r="H26" s="31"/>
      <c r="I26" s="31"/>
      <c r="J26" s="31"/>
      <c r="K26" s="31"/>
      <c r="L26" s="31"/>
      <c r="M26" s="31"/>
      <c r="N26" s="31"/>
      <c r="O26" s="31"/>
      <c r="P26" s="31"/>
      <c r="Q26" s="31"/>
      <c r="R26" s="31"/>
      <c r="S26" s="990"/>
      <c r="T26" s="990"/>
      <c r="U26" s="990"/>
      <c r="V26" s="31"/>
      <c r="W26" s="31"/>
      <c r="X26" s="31"/>
      <c r="Y26" s="31"/>
    </row>
    <row r="27" spans="2:31" ht="25.5" customHeight="1">
      <c r="B27" s="31"/>
      <c r="C27" s="31"/>
      <c r="D27" s="31"/>
      <c r="E27" s="31"/>
      <c r="F27" s="31"/>
      <c r="G27" s="31"/>
      <c r="H27" s="31"/>
      <c r="I27" s="31"/>
      <c r="J27" s="31"/>
      <c r="K27" s="31"/>
      <c r="L27" s="31"/>
      <c r="M27" s="31"/>
      <c r="N27" s="31"/>
      <c r="O27" s="31"/>
      <c r="P27" s="31"/>
      <c r="Q27" s="31"/>
      <c r="R27" s="31"/>
      <c r="S27" s="990"/>
      <c r="T27" s="990"/>
      <c r="U27" s="990"/>
      <c r="V27" s="31"/>
      <c r="W27" s="31"/>
      <c r="X27" s="31"/>
      <c r="Y27" s="31"/>
    </row>
    <row r="28" spans="2:31" ht="25.5" customHeight="1">
      <c r="B28" s="31"/>
      <c r="C28" s="31"/>
      <c r="D28" s="31"/>
      <c r="E28" s="31"/>
      <c r="F28" s="31"/>
      <c r="G28" s="31"/>
      <c r="H28" s="31"/>
      <c r="I28" s="31"/>
      <c r="J28" s="31"/>
      <c r="K28" s="31"/>
      <c r="L28" s="31"/>
      <c r="M28" s="31"/>
      <c r="N28" s="31"/>
      <c r="O28" s="31"/>
      <c r="P28" s="31"/>
      <c r="Q28" s="31"/>
      <c r="R28" s="31"/>
      <c r="S28" s="990"/>
      <c r="T28" s="990"/>
      <c r="U28" s="990"/>
      <c r="V28" s="31"/>
      <c r="W28" s="31"/>
      <c r="X28" s="31"/>
      <c r="Y28" s="31"/>
    </row>
    <row r="29" spans="2:31" ht="25.5" customHeight="1">
      <c r="B29" s="31"/>
      <c r="C29" s="31"/>
      <c r="D29" s="31"/>
      <c r="E29" s="31"/>
      <c r="F29" s="31"/>
      <c r="G29" s="31"/>
      <c r="H29" s="31"/>
      <c r="I29" s="31"/>
      <c r="J29" s="31"/>
      <c r="K29" s="31"/>
      <c r="L29" s="31"/>
      <c r="M29" s="31"/>
      <c r="N29" s="31"/>
      <c r="O29" s="31"/>
      <c r="P29" s="31"/>
      <c r="Q29" s="31"/>
      <c r="R29" s="31"/>
      <c r="S29" s="990"/>
      <c r="T29" s="990"/>
      <c r="U29" s="990"/>
      <c r="V29" s="31"/>
      <c r="W29" s="31"/>
      <c r="X29" s="31"/>
      <c r="Y29" s="31"/>
    </row>
    <row r="30" spans="2:31" ht="25.5" customHeight="1">
      <c r="B30" s="31"/>
      <c r="C30" s="31"/>
      <c r="D30" s="31"/>
      <c r="E30" s="31"/>
      <c r="F30" s="31"/>
      <c r="G30" s="31"/>
      <c r="H30" s="31"/>
      <c r="I30" s="31"/>
      <c r="J30" s="31"/>
      <c r="K30" s="31"/>
      <c r="L30" s="31"/>
      <c r="M30" s="31"/>
      <c r="N30" s="31"/>
      <c r="O30" s="31"/>
      <c r="P30" s="31"/>
      <c r="Q30" s="31"/>
      <c r="R30" s="31"/>
      <c r="S30" s="990"/>
      <c r="T30" s="990"/>
      <c r="U30" s="990"/>
      <c r="V30" s="31"/>
      <c r="W30" s="31"/>
      <c r="X30" s="31"/>
      <c r="Y30" s="31"/>
    </row>
    <row r="31" spans="2:31" ht="25.5" customHeight="1">
      <c r="B31" s="31"/>
      <c r="C31" s="31"/>
      <c r="D31" s="31"/>
      <c r="E31" s="31"/>
      <c r="F31" s="31"/>
      <c r="G31" s="31"/>
      <c r="H31" s="31"/>
      <c r="I31" s="31"/>
      <c r="J31" s="31"/>
      <c r="K31" s="31"/>
      <c r="L31" s="31"/>
      <c r="M31" s="31"/>
      <c r="N31" s="31"/>
      <c r="O31" s="31"/>
      <c r="P31" s="31"/>
      <c r="Q31" s="31"/>
      <c r="R31" s="31"/>
      <c r="S31" s="990"/>
      <c r="T31" s="990"/>
      <c r="U31" s="990"/>
      <c r="V31" s="31"/>
      <c r="W31" s="31"/>
      <c r="X31" s="31"/>
      <c r="Y31" s="31"/>
    </row>
    <row r="32" spans="2:31" ht="25.5" customHeight="1">
      <c r="B32" s="31"/>
      <c r="C32" s="31"/>
      <c r="D32" s="31"/>
      <c r="E32" s="31"/>
      <c r="F32" s="31"/>
      <c r="G32" s="31"/>
      <c r="H32" s="31"/>
      <c r="I32" s="31"/>
      <c r="J32" s="31"/>
      <c r="K32" s="31"/>
      <c r="L32" s="31"/>
      <c r="M32" s="31"/>
      <c r="N32" s="31"/>
      <c r="O32" s="31"/>
      <c r="P32" s="31"/>
      <c r="Q32" s="31"/>
      <c r="R32" s="31"/>
      <c r="S32" s="990"/>
      <c r="T32" s="990"/>
      <c r="U32" s="990"/>
      <c r="V32" s="31"/>
      <c r="W32" s="31"/>
      <c r="X32" s="31"/>
      <c r="Y32" s="31"/>
    </row>
    <row r="33" spans="2:28" ht="25.5" customHeight="1">
      <c r="B33" s="31"/>
      <c r="C33" s="31"/>
      <c r="D33" s="31"/>
      <c r="E33" s="31"/>
      <c r="F33" s="31"/>
      <c r="G33" s="31"/>
      <c r="H33" s="31"/>
      <c r="I33" s="31"/>
      <c r="J33" s="31"/>
      <c r="K33" s="31"/>
      <c r="L33" s="31"/>
      <c r="M33" s="31"/>
      <c r="N33" s="31"/>
      <c r="O33" s="31"/>
      <c r="P33" s="31"/>
      <c r="Q33" s="31"/>
      <c r="R33" s="31"/>
      <c r="S33" s="990"/>
      <c r="T33" s="990"/>
      <c r="U33" s="990"/>
      <c r="V33" s="31"/>
      <c r="W33" s="31"/>
      <c r="X33" s="31"/>
      <c r="Y33" s="31"/>
    </row>
    <row r="34" spans="2:28" ht="25.5" customHeight="1">
      <c r="B34" s="31"/>
      <c r="C34" s="31"/>
      <c r="D34" s="31"/>
      <c r="E34" s="31"/>
      <c r="F34" s="31"/>
      <c r="G34" s="31"/>
      <c r="H34" s="31"/>
      <c r="I34" s="31"/>
      <c r="J34" s="31"/>
      <c r="K34" s="31"/>
      <c r="L34" s="31"/>
      <c r="M34" s="31"/>
      <c r="N34" s="31"/>
      <c r="O34" s="31"/>
      <c r="P34" s="31"/>
      <c r="Q34" s="31"/>
      <c r="R34" s="31"/>
      <c r="S34" s="990"/>
      <c r="T34" s="990"/>
      <c r="U34" s="990"/>
      <c r="V34" s="31"/>
      <c r="W34" s="31"/>
      <c r="X34" s="31"/>
      <c r="Y34" s="95"/>
    </row>
    <row r="35" spans="2:28" ht="25.5" customHeight="1">
      <c r="B35" s="31"/>
      <c r="C35" s="31"/>
      <c r="D35" s="31"/>
      <c r="E35" s="31"/>
      <c r="F35" s="31"/>
      <c r="G35" s="31"/>
      <c r="H35" s="31"/>
      <c r="I35" s="31"/>
      <c r="J35" s="31"/>
      <c r="K35" s="31"/>
      <c r="L35" s="31"/>
      <c r="M35" s="31"/>
      <c r="N35" s="31"/>
      <c r="O35" s="31"/>
      <c r="P35" s="31"/>
      <c r="Q35" s="31"/>
      <c r="R35" s="31"/>
      <c r="S35" s="990"/>
      <c r="T35" s="990"/>
      <c r="U35" s="990"/>
      <c r="V35" s="31"/>
      <c r="W35" s="31"/>
      <c r="X35" s="31"/>
      <c r="Y35" s="95"/>
    </row>
    <row r="36" spans="2:28" ht="25.5" customHeight="1">
      <c r="B36" s="31"/>
      <c r="C36" s="31"/>
      <c r="D36" s="31"/>
      <c r="E36" s="31"/>
      <c r="F36" s="31"/>
      <c r="G36" s="31"/>
      <c r="H36" s="31"/>
      <c r="I36" s="31"/>
      <c r="J36" s="31"/>
      <c r="K36" s="31"/>
      <c r="L36" s="31"/>
      <c r="M36" s="31"/>
      <c r="N36" s="31"/>
      <c r="O36" s="31"/>
      <c r="P36" s="31"/>
      <c r="Q36" s="31"/>
      <c r="R36" s="31"/>
      <c r="S36" s="990"/>
      <c r="T36" s="990"/>
      <c r="U36" s="990"/>
      <c r="V36" s="31"/>
      <c r="W36" s="31"/>
      <c r="X36" s="31"/>
      <c r="Y36" s="95"/>
    </row>
    <row r="37" spans="2:28">
      <c r="B37" s="31"/>
      <c r="C37" s="31"/>
      <c r="D37" s="31"/>
      <c r="E37" s="31"/>
      <c r="F37" s="31"/>
      <c r="G37" s="31"/>
      <c r="H37" s="31"/>
      <c r="I37" s="31"/>
      <c r="J37" s="31"/>
      <c r="K37" s="31"/>
      <c r="L37" s="31"/>
      <c r="Y37" s="95"/>
      <c r="Z37" s="96"/>
    </row>
    <row r="38" spans="2:28">
      <c r="Y38" s="95"/>
      <c r="Z38" s="96"/>
    </row>
    <row r="39" spans="2:28">
      <c r="Y39" s="796"/>
      <c r="Z39" s="96"/>
    </row>
    <row r="40" spans="2:28">
      <c r="Y40" s="96"/>
      <c r="Z40" s="96"/>
    </row>
    <row r="41" spans="2:28" ht="51" customHeight="1">
      <c r="Y41" s="96"/>
      <c r="Z41" s="96"/>
    </row>
    <row r="42" spans="2:28" ht="78" customHeight="1">
      <c r="M42" s="796"/>
      <c r="N42" s="796"/>
      <c r="O42" s="796"/>
      <c r="P42" s="796"/>
      <c r="Q42" s="796"/>
      <c r="R42" s="976"/>
      <c r="S42" s="991"/>
      <c r="T42" s="991"/>
      <c r="U42" s="991"/>
      <c r="V42" s="796"/>
      <c r="W42" s="796"/>
      <c r="X42" s="796"/>
      <c r="Y42" s="96"/>
      <c r="Z42" s="96"/>
    </row>
    <row r="43" spans="2:28">
      <c r="B43" s="796"/>
      <c r="C43" s="798"/>
      <c r="D43" s="798"/>
      <c r="E43" s="798"/>
      <c r="F43" s="798"/>
      <c r="G43" s="796"/>
      <c r="H43" s="796"/>
      <c r="I43" s="796"/>
      <c r="J43" s="796"/>
      <c r="K43" s="796"/>
      <c r="L43" s="796"/>
      <c r="Y43" s="96"/>
    </row>
    <row r="44" spans="2:28">
      <c r="Y44" s="96"/>
    </row>
    <row r="45" spans="2:28">
      <c r="Y45" s="96"/>
    </row>
    <row r="46" spans="2:28">
      <c r="Y46" s="96"/>
    </row>
    <row r="47" spans="2:28">
      <c r="Y47" s="96"/>
    </row>
    <row r="48" spans="2:28">
      <c r="Y48" s="96"/>
      <c r="Z48" s="96"/>
      <c r="AA48" s="96"/>
      <c r="AB48" s="96"/>
    </row>
    <row r="49" spans="7:28">
      <c r="Y49" s="96"/>
      <c r="Z49" s="96"/>
      <c r="AA49" s="96"/>
      <c r="AB49" s="96"/>
    </row>
    <row r="50" spans="7:28">
      <c r="Y50" s="96"/>
      <c r="Z50" s="96"/>
      <c r="AA50" s="96"/>
      <c r="AB50" s="96"/>
    </row>
    <row r="51" spans="7:28">
      <c r="Y51" s="96"/>
      <c r="Z51" s="96"/>
      <c r="AA51" s="96"/>
      <c r="AB51" s="96"/>
    </row>
    <row r="52" spans="7:28">
      <c r="Z52" s="96"/>
      <c r="AA52" s="96"/>
      <c r="AB52" s="96"/>
    </row>
    <row r="53" spans="7:28">
      <c r="Z53" s="96"/>
      <c r="AA53" s="96"/>
      <c r="AB53" s="96"/>
    </row>
    <row r="54" spans="7:28">
      <c r="M54" s="96"/>
      <c r="N54" s="96"/>
      <c r="O54" s="96"/>
      <c r="P54" s="96"/>
      <c r="Q54" s="96"/>
      <c r="R54" s="96"/>
      <c r="S54" s="992"/>
      <c r="T54" s="992"/>
      <c r="U54" s="992"/>
      <c r="V54" s="96"/>
      <c r="W54" s="96"/>
      <c r="X54" s="96"/>
      <c r="Z54" s="96"/>
      <c r="AA54" s="96"/>
      <c r="AB54" s="96"/>
    </row>
    <row r="55" spans="7:28">
      <c r="G55" s="96"/>
      <c r="H55" s="96"/>
      <c r="I55" s="96"/>
      <c r="J55" s="96"/>
      <c r="K55" s="96"/>
      <c r="L55" s="96"/>
    </row>
  </sheetData>
  <mergeCells count="5">
    <mergeCell ref="B1:W1"/>
    <mergeCell ref="B15:K15"/>
    <mergeCell ref="C3:D3"/>
    <mergeCell ref="E3:F3"/>
    <mergeCell ref="G3:K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9"/>
  <sheetViews>
    <sheetView showGridLines="0" view="pageBreakPreview" zoomScale="55" zoomScaleNormal="40" zoomScaleSheetLayoutView="55" workbookViewId="0">
      <pane ySplit="1" topLeftCell="A2" activePane="bottomLeft" state="frozen"/>
      <selection activeCell="M22" sqref="M22"/>
      <selection pane="bottomLeft" activeCell="E16" sqref="E16"/>
    </sheetView>
  </sheetViews>
  <sheetFormatPr baseColWidth="10" defaultColWidth="11.5703125" defaultRowHeight="15"/>
  <cols>
    <col min="1" max="1" width="22.28515625" style="77" customWidth="1"/>
    <col min="2" max="2" width="20.85546875" style="77" customWidth="1"/>
    <col min="3" max="3" width="27" style="77" customWidth="1"/>
    <col min="4" max="4" width="27.5703125" style="77" customWidth="1"/>
    <col min="5" max="5" width="15.28515625" style="47" bestFit="1" customWidth="1"/>
    <col min="6" max="6" width="17.42578125" style="47" bestFit="1" customWidth="1"/>
    <col min="7" max="7" width="13.85546875" style="77" customWidth="1"/>
    <col min="8" max="8" width="18.85546875" style="77" bestFit="1" customWidth="1"/>
    <col min="9" max="9" width="27.5703125" style="77" customWidth="1"/>
    <col min="10" max="10" width="28.7109375" style="77" customWidth="1"/>
    <col min="11" max="11" width="12.140625" style="77" customWidth="1"/>
    <col min="12" max="12" width="39.28515625" style="77" customWidth="1"/>
    <col min="13" max="13" width="15.42578125" style="77" bestFit="1" customWidth="1"/>
    <col min="14" max="15" width="11.5703125" style="77"/>
    <col min="16" max="16" width="17.5703125" style="77" customWidth="1"/>
    <col min="17" max="17" width="11.5703125" style="77"/>
    <col min="18" max="18" width="47.28515625" style="47" customWidth="1"/>
    <col min="19" max="20" width="14.7109375" style="47" bestFit="1" customWidth="1"/>
    <col min="21" max="21" width="13.7109375" style="47" bestFit="1" customWidth="1"/>
    <col min="22" max="92" width="11.5703125" style="47"/>
    <col min="93" max="16384" width="11.5703125" style="77"/>
  </cols>
  <sheetData>
    <row r="1" spans="1:16" ht="117.75" customHeight="1">
      <c r="A1" s="2078"/>
      <c r="B1" s="2078"/>
      <c r="C1" s="2078"/>
      <c r="D1" s="2078"/>
      <c r="E1" s="2078"/>
      <c r="F1" s="2078"/>
      <c r="G1" s="2078"/>
      <c r="H1" s="2078"/>
      <c r="I1" s="2078"/>
      <c r="J1" s="2078"/>
      <c r="K1" s="2078"/>
      <c r="L1" s="2078"/>
      <c r="M1" s="2078"/>
      <c r="N1" s="2078"/>
      <c r="O1" s="2078"/>
      <c r="P1" s="2078"/>
    </row>
    <row r="2" spans="1:16" ht="14.25" customHeight="1">
      <c r="A2" s="2079" t="s">
        <v>31</v>
      </c>
      <c r="B2" s="2079"/>
      <c r="C2" s="2079"/>
      <c r="D2" s="2079"/>
      <c r="E2" s="2079"/>
      <c r="F2" s="2079"/>
      <c r="G2" s="2079"/>
      <c r="H2" s="2079"/>
      <c r="I2" s="2079"/>
      <c r="J2" s="2079"/>
      <c r="K2" s="2079"/>
      <c r="L2" s="2079"/>
      <c r="M2" s="2079"/>
      <c r="N2" s="2079"/>
      <c r="O2" s="2079"/>
      <c r="P2" s="2079"/>
    </row>
    <row r="3" spans="1:16" ht="33" customHeight="1">
      <c r="A3" s="2080" t="s">
        <v>24</v>
      </c>
      <c r="B3" s="2080"/>
      <c r="C3" s="2080"/>
      <c r="D3" s="2080"/>
      <c r="E3" s="81"/>
      <c r="F3" s="1291"/>
      <c r="G3" s="66"/>
      <c r="H3" s="1291"/>
      <c r="I3" s="66"/>
      <c r="J3" s="1291"/>
      <c r="K3" s="66"/>
      <c r="L3" s="66"/>
      <c r="M3" s="66"/>
      <c r="N3" s="66"/>
      <c r="O3" s="66"/>
    </row>
    <row r="4" spans="1:16" ht="54" customHeight="1">
      <c r="A4" s="301" t="s">
        <v>25</v>
      </c>
      <c r="B4" s="1682" t="s">
        <v>33</v>
      </c>
      <c r="C4" s="1682" t="s">
        <v>32</v>
      </c>
      <c r="D4" s="1684" t="s">
        <v>969</v>
      </c>
      <c r="F4" s="1291"/>
      <c r="G4" s="103"/>
      <c r="H4" s="1291"/>
      <c r="I4" s="103"/>
      <c r="J4" s="1291"/>
      <c r="K4" s="103"/>
      <c r="L4" s="66"/>
      <c r="M4" s="66"/>
      <c r="N4" s="66"/>
      <c r="O4" s="66"/>
    </row>
    <row r="5" spans="1:16" ht="18.75">
      <c r="A5" s="1679">
        <v>2005</v>
      </c>
      <c r="B5" s="333">
        <v>9020226.0000000037</v>
      </c>
      <c r="C5" s="334">
        <v>1687712</v>
      </c>
      <c r="D5" s="1685">
        <f t="shared" ref="D5:D21" si="0">+C5/B5</f>
        <v>0.18710307258376888</v>
      </c>
      <c r="F5" s="1291"/>
      <c r="G5" s="103"/>
      <c r="H5" s="1291"/>
      <c r="I5" s="103"/>
      <c r="J5" s="1291"/>
      <c r="K5" s="103"/>
      <c r="L5" s="66"/>
      <c r="M5" s="66"/>
      <c r="N5" s="66"/>
      <c r="O5" s="66"/>
    </row>
    <row r="6" spans="1:16" ht="18.75">
      <c r="A6" s="1680">
        <v>2006</v>
      </c>
      <c r="B6" s="335">
        <v>9123786.5</v>
      </c>
      <c r="C6" s="239">
        <v>2102527</v>
      </c>
      <c r="D6" s="1686">
        <f t="shared" si="0"/>
        <v>0.23044456377842687</v>
      </c>
      <c r="F6" s="1291"/>
      <c r="G6" s="103"/>
      <c r="H6" s="1291"/>
      <c r="I6" s="103"/>
      <c r="J6" s="1291"/>
      <c r="K6" s="103"/>
      <c r="L6" s="66"/>
      <c r="M6" s="66"/>
      <c r="N6" s="66"/>
      <c r="O6" s="66"/>
    </row>
    <row r="7" spans="1:16" ht="18.75">
      <c r="A7" s="1680">
        <v>2007</v>
      </c>
      <c r="B7" s="335">
        <v>9226223</v>
      </c>
      <c r="C7" s="239">
        <v>2449608</v>
      </c>
      <c r="D7" s="1686">
        <f t="shared" si="0"/>
        <v>0.26550496340701935</v>
      </c>
      <c r="E7" s="1695"/>
      <c r="F7" s="1291"/>
      <c r="G7" s="103"/>
      <c r="H7" s="1291"/>
      <c r="I7" s="103"/>
      <c r="J7" s="1291"/>
      <c r="K7" s="103"/>
      <c r="L7" s="66"/>
      <c r="M7" s="66"/>
      <c r="N7" s="66"/>
      <c r="O7" s="66"/>
    </row>
    <row r="8" spans="1:16" ht="18.75">
      <c r="A8" s="1680">
        <v>2008</v>
      </c>
      <c r="B8" s="335">
        <v>9327818</v>
      </c>
      <c r="C8" s="239">
        <v>2934940</v>
      </c>
      <c r="D8" s="1686">
        <f t="shared" si="0"/>
        <v>0.31464378914768704</v>
      </c>
      <c r="E8" s="1695"/>
      <c r="F8" s="1696"/>
      <c r="G8" s="103"/>
      <c r="H8" s="1291"/>
      <c r="I8" s="103"/>
      <c r="J8" s="1291"/>
      <c r="K8" s="103"/>
      <c r="L8" s="66"/>
      <c r="M8" s="66"/>
      <c r="N8" s="66"/>
      <c r="O8" s="66"/>
    </row>
    <row r="9" spans="1:16" ht="18.75">
      <c r="A9" s="1680">
        <v>2009</v>
      </c>
      <c r="B9" s="335">
        <v>9428533.4999999963</v>
      </c>
      <c r="C9" s="239">
        <v>3521433</v>
      </c>
      <c r="D9" s="1686">
        <f t="shared" si="0"/>
        <v>0.37348682061743765</v>
      </c>
      <c r="E9" s="1695"/>
      <c r="F9" s="1696"/>
      <c r="G9" s="103"/>
      <c r="H9" s="1696"/>
      <c r="I9" s="103"/>
      <c r="J9" s="1291"/>
      <c r="K9" s="103"/>
      <c r="L9" s="66"/>
      <c r="M9" s="66"/>
      <c r="N9" s="66"/>
      <c r="O9" s="66"/>
    </row>
    <row r="10" spans="1:16" ht="18.75">
      <c r="A10" s="1680">
        <v>2010</v>
      </c>
      <c r="B10" s="335">
        <v>9529297.5000000037</v>
      </c>
      <c r="C10" s="239">
        <v>4414548</v>
      </c>
      <c r="D10" s="1686">
        <f t="shared" si="0"/>
        <v>0.46326059187468943</v>
      </c>
      <c r="E10" s="1695"/>
      <c r="F10" s="1696"/>
      <c r="G10" s="103"/>
      <c r="H10" s="1696"/>
      <c r="I10" s="103"/>
      <c r="J10" s="1291"/>
      <c r="K10" s="103"/>
      <c r="L10" s="66"/>
      <c r="M10" s="66"/>
      <c r="N10" s="66"/>
      <c r="O10" s="66"/>
    </row>
    <row r="11" spans="1:16" ht="18.75">
      <c r="A11" s="1680">
        <v>2011</v>
      </c>
      <c r="B11" s="335">
        <v>9630258.5</v>
      </c>
      <c r="C11" s="239">
        <v>4564572</v>
      </c>
      <c r="D11" s="1686">
        <f t="shared" si="0"/>
        <v>0.47398229237564082</v>
      </c>
      <c r="E11" s="1695"/>
      <c r="F11" s="1696"/>
      <c r="G11" s="103"/>
      <c r="H11" s="1696"/>
      <c r="I11" s="103"/>
      <c r="J11" s="1291"/>
      <c r="K11" s="103"/>
      <c r="L11" s="67"/>
      <c r="M11" s="67"/>
      <c r="N11" s="67"/>
      <c r="O11" s="67"/>
    </row>
    <row r="12" spans="1:16" ht="18.75">
      <c r="A12" s="1680">
        <v>2012</v>
      </c>
      <c r="B12" s="335">
        <v>9730638.5</v>
      </c>
      <c r="C12" s="239">
        <v>5054406</v>
      </c>
      <c r="D12" s="1686">
        <f t="shared" si="0"/>
        <v>0.51943210098700099</v>
      </c>
      <c r="E12" s="1695"/>
      <c r="F12" s="1696"/>
      <c r="G12" s="103"/>
      <c r="H12" s="1696"/>
      <c r="I12" s="103"/>
      <c r="J12" s="1291"/>
      <c r="K12" s="103"/>
      <c r="L12" s="67"/>
      <c r="M12" s="67"/>
      <c r="N12" s="67"/>
      <c r="O12" s="67"/>
    </row>
    <row r="13" spans="1:16" ht="18.75">
      <c r="A13" s="1680">
        <v>2013</v>
      </c>
      <c r="B13" s="335">
        <v>9830624</v>
      </c>
      <c r="C13" s="1683">
        <v>5638332</v>
      </c>
      <c r="D13" s="1686">
        <f t="shared" si="0"/>
        <v>0.57354772189435788</v>
      </c>
      <c r="E13" s="1695"/>
      <c r="F13" s="1696"/>
      <c r="G13" s="103"/>
      <c r="H13" s="1696"/>
      <c r="I13" s="103"/>
      <c r="J13" s="1291"/>
      <c r="K13" s="103"/>
      <c r="L13" s="67"/>
      <c r="M13" s="67"/>
      <c r="N13" s="67"/>
      <c r="O13" s="67"/>
    </row>
    <row r="14" spans="1:16" ht="18.75">
      <c r="A14" s="1680">
        <v>2014</v>
      </c>
      <c r="B14" s="335">
        <v>9930374</v>
      </c>
      <c r="C14" s="1683">
        <v>6187615</v>
      </c>
      <c r="D14" s="1686">
        <f t="shared" si="0"/>
        <v>0.62309989533123322</v>
      </c>
      <c r="E14" s="1695"/>
      <c r="F14" s="1696"/>
      <c r="G14" s="103"/>
      <c r="H14" s="1696"/>
      <c r="I14" s="103"/>
      <c r="J14" s="47"/>
      <c r="K14" s="103"/>
      <c r="L14" s="67"/>
      <c r="M14" s="67"/>
      <c r="N14" s="67"/>
      <c r="O14" s="67"/>
    </row>
    <row r="15" spans="1:16" ht="18.75">
      <c r="A15" s="1680">
        <v>2015</v>
      </c>
      <c r="B15" s="336">
        <v>10028011.499999996</v>
      </c>
      <c r="C15" s="363">
        <v>6687772</v>
      </c>
      <c r="D15" s="1687">
        <f t="shared" si="0"/>
        <v>0.66690908760924361</v>
      </c>
      <c r="E15" s="1695"/>
      <c r="F15" s="1696"/>
      <c r="G15" s="103"/>
      <c r="H15" s="1696"/>
      <c r="I15" s="103"/>
      <c r="J15" s="47"/>
      <c r="K15" s="103"/>
      <c r="L15" s="67"/>
      <c r="M15" s="67"/>
      <c r="N15" s="67"/>
      <c r="O15" s="67"/>
    </row>
    <row r="16" spans="1:16" ht="18.75">
      <c r="A16" s="1680">
        <v>2016</v>
      </c>
      <c r="B16" s="336">
        <v>10123138.999999996</v>
      </c>
      <c r="C16" s="363">
        <f>C15*1.094</f>
        <v>7316422.5680000009</v>
      </c>
      <c r="D16" s="1687">
        <f t="shared" si="0"/>
        <v>0.72274247819772142</v>
      </c>
      <c r="E16" s="1695"/>
      <c r="F16" s="1696"/>
      <c r="G16" s="67"/>
      <c r="H16" s="1695"/>
      <c r="I16" s="67"/>
      <c r="J16" s="47"/>
      <c r="K16" s="67"/>
      <c r="L16" s="67"/>
      <c r="M16" s="67"/>
      <c r="N16" s="67"/>
      <c r="O16" s="67"/>
    </row>
    <row r="17" spans="1:15" ht="18.75">
      <c r="A17" s="1680">
        <v>2017</v>
      </c>
      <c r="B17" s="336">
        <v>10217441.000000004</v>
      </c>
      <c r="C17" s="363">
        <f t="shared" ref="C17:C20" si="1">C16*1.094</f>
        <v>8004166.2893920019</v>
      </c>
      <c r="D17" s="1687">
        <f t="shared" si="0"/>
        <v>0.7833826776579379</v>
      </c>
      <c r="F17" s="1696"/>
      <c r="G17" s="67"/>
      <c r="H17" s="47"/>
      <c r="I17" s="67"/>
      <c r="J17" s="47"/>
      <c r="K17" s="67"/>
      <c r="L17" s="67"/>
      <c r="M17" s="67"/>
      <c r="N17" s="67"/>
      <c r="O17" s="67"/>
    </row>
    <row r="18" spans="1:15" ht="18.75">
      <c r="A18" s="1680">
        <v>2018</v>
      </c>
      <c r="B18" s="336">
        <v>10310702.5</v>
      </c>
      <c r="C18" s="363">
        <f t="shared" si="1"/>
        <v>8756557.9205948506</v>
      </c>
      <c r="D18" s="1687">
        <f t="shared" si="0"/>
        <v>0.84926879818274759</v>
      </c>
      <c r="F18" s="1696"/>
      <c r="G18" s="67"/>
      <c r="H18" s="47"/>
      <c r="I18" s="67"/>
      <c r="J18" s="47"/>
      <c r="K18" s="67"/>
      <c r="L18" s="67"/>
      <c r="M18" s="67"/>
      <c r="N18" s="67"/>
      <c r="O18" s="67"/>
    </row>
    <row r="19" spans="1:15" ht="18.75">
      <c r="A19" s="1680">
        <v>2019</v>
      </c>
      <c r="B19" s="336">
        <v>10402759</v>
      </c>
      <c r="C19" s="363">
        <f t="shared" si="1"/>
        <v>9579674.3651307672</v>
      </c>
      <c r="D19" s="1687">
        <f t="shared" si="0"/>
        <v>0.92087823673803915</v>
      </c>
      <c r="G19" s="67"/>
      <c r="H19" s="47"/>
      <c r="I19" s="67"/>
      <c r="J19" s="47"/>
      <c r="K19" s="67"/>
      <c r="L19" s="94"/>
    </row>
    <row r="20" spans="1:15" ht="18.75">
      <c r="A20" s="1680">
        <v>2020</v>
      </c>
      <c r="B20" s="336">
        <v>10492689.000000004</v>
      </c>
      <c r="C20" s="363">
        <f t="shared" si="1"/>
        <v>10480163.755453059</v>
      </c>
      <c r="D20" s="1687">
        <f t="shared" si="0"/>
        <v>0.99880628840262542</v>
      </c>
      <c r="F20" s="1290"/>
      <c r="G20" s="67"/>
      <c r="H20" s="1290"/>
      <c r="I20" s="67"/>
      <c r="J20" s="1290"/>
      <c r="K20" s="67"/>
      <c r="L20" s="94"/>
    </row>
    <row r="21" spans="1:15" ht="17.25" customHeight="1">
      <c r="A21" s="1681">
        <v>2021</v>
      </c>
      <c r="B21" s="337">
        <v>10580622.5</v>
      </c>
      <c r="C21" s="364">
        <f>C20*1.094</f>
        <v>11465299.148465648</v>
      </c>
      <c r="D21" s="1688">
        <f t="shared" si="0"/>
        <v>1.0836129110991011</v>
      </c>
      <c r="E21" s="1289"/>
      <c r="F21" s="1289"/>
      <c r="G21" s="1"/>
      <c r="H21" s="1289"/>
      <c r="I21" s="1"/>
      <c r="J21" s="1289"/>
      <c r="K21" s="1"/>
    </row>
    <row r="22" spans="1:15" s="47" customFormat="1" ht="36.75" customHeight="1">
      <c r="A22" s="2081" t="s">
        <v>978</v>
      </c>
      <c r="B22" s="2081"/>
      <c r="C22" s="2081"/>
      <c r="D22" s="2081"/>
      <c r="E22" s="1289"/>
      <c r="F22" s="1289"/>
      <c r="G22" s="1289"/>
      <c r="H22" s="1289"/>
      <c r="I22" s="1289"/>
      <c r="J22" s="1289"/>
      <c r="K22" s="1289"/>
    </row>
    <row r="23" spans="1:15" s="47" customFormat="1">
      <c r="F23" s="1289"/>
      <c r="G23" s="1289"/>
      <c r="H23" s="1289"/>
      <c r="I23" s="1289"/>
      <c r="J23" s="1289"/>
      <c r="K23" s="1289"/>
    </row>
    <row r="24" spans="1:15" s="47" customFormat="1">
      <c r="F24" s="1289"/>
      <c r="G24" s="1289"/>
      <c r="H24" s="1289"/>
      <c r="I24" s="1289"/>
      <c r="J24" s="1289"/>
      <c r="K24" s="1289"/>
    </row>
    <row r="25" spans="1:15" s="47" customFormat="1">
      <c r="F25" s="1289"/>
      <c r="G25" s="1289"/>
      <c r="H25" s="1289"/>
      <c r="I25" s="1289"/>
      <c r="J25" s="1289"/>
      <c r="K25" s="1289"/>
    </row>
    <row r="26" spans="1:15" s="47" customFormat="1">
      <c r="F26" s="1289"/>
      <c r="G26" s="1289"/>
      <c r="H26" s="1289"/>
      <c r="I26" s="1289"/>
      <c r="J26" s="1289"/>
      <c r="K26" s="1289"/>
    </row>
    <row r="27" spans="1:15" s="47" customFormat="1" ht="18.75">
      <c r="C27" s="1290"/>
      <c r="F27" s="1289"/>
      <c r="G27" s="1289"/>
      <c r="H27" s="1289"/>
      <c r="I27" s="1289"/>
      <c r="J27" s="1289"/>
      <c r="K27" s="1289"/>
    </row>
    <row r="28" spans="1:15" s="47" customFormat="1">
      <c r="F28" s="1289"/>
      <c r="G28" s="1289"/>
      <c r="H28" s="1289"/>
      <c r="I28" s="1289"/>
      <c r="J28" s="1289"/>
      <c r="K28" s="1289"/>
    </row>
    <row r="29" spans="1:15" s="47" customFormat="1">
      <c r="F29" s="1289"/>
      <c r="G29" s="1289"/>
      <c r="H29" s="1289"/>
      <c r="I29" s="1289"/>
      <c r="J29" s="1289"/>
      <c r="K29" s="1289"/>
    </row>
    <row r="30" spans="1:15" s="47" customFormat="1">
      <c r="F30" s="1289"/>
      <c r="G30" s="1289"/>
      <c r="H30" s="1289"/>
      <c r="I30" s="1289"/>
      <c r="J30" s="1289"/>
      <c r="K30" s="1289"/>
    </row>
    <row r="31" spans="1:15" s="47" customFormat="1">
      <c r="F31" s="1289"/>
      <c r="G31" s="1289"/>
      <c r="H31" s="1289"/>
      <c r="I31" s="1289"/>
      <c r="J31" s="1289"/>
      <c r="K31" s="1289"/>
    </row>
    <row r="32" spans="1:15" s="47" customFormat="1">
      <c r="F32" s="1289"/>
      <c r="G32" s="1289"/>
      <c r="H32" s="1289"/>
      <c r="I32" s="1289"/>
      <c r="J32" s="1289"/>
      <c r="K32" s="1289"/>
    </row>
    <row r="33" spans="2:11" s="47" customFormat="1">
      <c r="F33" s="1289"/>
      <c r="G33" s="1289"/>
      <c r="H33" s="1289"/>
      <c r="I33" s="1289"/>
      <c r="J33" s="1289"/>
      <c r="K33" s="1289"/>
    </row>
    <row r="34" spans="2:11" s="47" customFormat="1">
      <c r="B34" s="1289"/>
      <c r="C34" s="1289"/>
      <c r="D34" s="1289"/>
      <c r="E34" s="1289"/>
      <c r="F34" s="1289"/>
      <c r="G34" s="1289"/>
      <c r="H34" s="1289"/>
      <c r="I34" s="1289"/>
      <c r="J34" s="1289"/>
      <c r="K34" s="1289"/>
    </row>
    <row r="35" spans="2:11" s="47" customFormat="1">
      <c r="B35" s="1289"/>
      <c r="C35" s="1289"/>
      <c r="D35" s="1289"/>
      <c r="E35" s="1289"/>
      <c r="F35" s="1289"/>
      <c r="G35" s="1289"/>
      <c r="H35" s="1289"/>
      <c r="I35" s="1289"/>
      <c r="J35" s="1289"/>
      <c r="K35" s="1289"/>
    </row>
    <row r="36" spans="2:11" s="47" customFormat="1">
      <c r="B36" s="1289"/>
      <c r="C36" s="1289"/>
      <c r="D36" s="1289"/>
      <c r="E36" s="1289"/>
      <c r="F36" s="1289"/>
      <c r="G36" s="1289"/>
      <c r="H36" s="1289"/>
      <c r="I36" s="1289"/>
      <c r="J36" s="1289"/>
      <c r="K36" s="1289"/>
    </row>
    <row r="37" spans="2:11" s="47" customFormat="1">
      <c r="B37" s="1289"/>
      <c r="C37" s="1289"/>
      <c r="D37" s="1289"/>
      <c r="E37" s="1289"/>
      <c r="F37" s="1289"/>
      <c r="G37" s="1289"/>
      <c r="H37" s="1289"/>
      <c r="I37" s="1289"/>
      <c r="J37" s="1289"/>
      <c r="K37" s="1289"/>
    </row>
    <row r="38" spans="2:11" s="47" customFormat="1">
      <c r="B38" s="1289"/>
      <c r="C38" s="1289"/>
      <c r="D38" s="1289"/>
      <c r="E38" s="1289"/>
      <c r="F38" s="1289"/>
      <c r="G38" s="1289"/>
      <c r="H38" s="1289"/>
      <c r="I38" s="1289"/>
      <c r="J38" s="1289"/>
      <c r="K38" s="1289"/>
    </row>
    <row r="39" spans="2:11" s="47" customFormat="1">
      <c r="B39" s="1289"/>
      <c r="C39" s="1289"/>
      <c r="D39" s="1289"/>
      <c r="E39" s="1289"/>
      <c r="F39" s="1289"/>
      <c r="G39" s="1289"/>
      <c r="H39" s="1289"/>
      <c r="I39" s="1289"/>
      <c r="J39" s="1289"/>
      <c r="K39" s="1289"/>
    </row>
    <row r="40" spans="2:11" s="47" customFormat="1">
      <c r="B40" s="1289"/>
      <c r="C40" s="1289"/>
      <c r="D40" s="1289"/>
      <c r="E40" s="1289"/>
      <c r="F40" s="1289"/>
      <c r="G40" s="1289"/>
      <c r="H40" s="1289"/>
      <c r="I40" s="1289"/>
      <c r="J40" s="1289"/>
      <c r="K40" s="1289"/>
    </row>
    <row r="41" spans="2:11" s="47" customFormat="1">
      <c r="B41" s="1289"/>
      <c r="C41" s="1289"/>
      <c r="D41" s="1289"/>
      <c r="E41" s="1289"/>
      <c r="F41" s="1289"/>
      <c r="G41" s="1289"/>
      <c r="H41" s="1289"/>
      <c r="I41" s="1289"/>
      <c r="J41" s="1289"/>
      <c r="K41" s="1289"/>
    </row>
    <row r="42" spans="2:11" s="47" customFormat="1">
      <c r="B42" s="1289"/>
      <c r="C42" s="1289"/>
      <c r="D42" s="1289"/>
      <c r="E42" s="1289"/>
      <c r="F42" s="1289"/>
      <c r="G42" s="1289"/>
      <c r="H42" s="1289"/>
      <c r="I42" s="1289"/>
      <c r="J42" s="1289"/>
      <c r="K42" s="1289"/>
    </row>
    <row r="43" spans="2:11" s="47" customFormat="1">
      <c r="B43" s="1289"/>
      <c r="C43" s="1289"/>
      <c r="D43" s="1289"/>
      <c r="E43" s="1289"/>
      <c r="F43" s="1289"/>
      <c r="G43" s="1289"/>
      <c r="H43" s="1289"/>
      <c r="I43" s="1289"/>
      <c r="J43" s="1289"/>
      <c r="K43" s="1289"/>
    </row>
    <row r="44" spans="2:11" s="47" customFormat="1">
      <c r="B44" s="1289"/>
      <c r="C44" s="1289"/>
      <c r="D44" s="1289"/>
    </row>
    <row r="45" spans="2:11" s="47" customFormat="1"/>
    <row r="46" spans="2:11" s="47" customFormat="1"/>
    <row r="47" spans="2:11" s="47" customFormat="1"/>
    <row r="48" spans="2:11" s="47" customFormat="1"/>
    <row r="49" ht="36.75" customHeight="1"/>
  </sheetData>
  <mergeCells count="4">
    <mergeCell ref="A1:P1"/>
    <mergeCell ref="A2:P2"/>
    <mergeCell ref="A3:D3"/>
    <mergeCell ref="A22:D22"/>
  </mergeCells>
  <printOptions horizontalCentered="1" verticalCentered="1"/>
  <pageMargins left="0.39370078740157483" right="0.39370078740157483" top="0.23622047244094491" bottom="0.19" header="0.24" footer="0.18"/>
  <pageSetup scale="3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Normal="100" zoomScaleSheetLayoutView="100" workbookViewId="0">
      <selection activeCell="L27" sqref="L27"/>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2:R52"/>
  <sheetViews>
    <sheetView showGridLines="0" view="pageBreakPreview" zoomScale="85" zoomScaleNormal="100" zoomScaleSheetLayoutView="85" workbookViewId="0">
      <selection activeCell="M10" sqref="M10"/>
    </sheetView>
  </sheetViews>
  <sheetFormatPr baseColWidth="10" defaultColWidth="11.42578125" defaultRowHeight="15"/>
  <cols>
    <col min="1" max="8" width="12.85546875" style="77" customWidth="1"/>
    <col min="9" max="9" width="18.7109375" style="77" customWidth="1"/>
    <col min="10" max="10" width="18.85546875" style="77" customWidth="1"/>
    <col min="11" max="11" width="18.5703125" style="77" customWidth="1"/>
    <col min="12" max="12" width="26.42578125" style="77" customWidth="1"/>
    <col min="13" max="13" width="20.85546875" style="77" customWidth="1"/>
    <col min="14" max="14" width="5.5703125" style="77" customWidth="1"/>
    <col min="15" max="15" width="16" style="77" customWidth="1"/>
    <col min="16" max="16" width="17.85546875" style="77" bestFit="1" customWidth="1"/>
    <col min="17" max="16384" width="11.42578125" style="77"/>
  </cols>
  <sheetData>
    <row r="2" spans="15:18">
      <c r="O2" s="173"/>
    </row>
    <row r="6" spans="15:18" ht="11.25" customHeight="1">
      <c r="O6" s="727"/>
    </row>
    <row r="15" spans="15:18">
      <c r="Q15" s="268"/>
    </row>
    <row r="16" spans="15:18">
      <c r="Q16" s="268"/>
      <c r="R16" s="462"/>
    </row>
    <row r="17" spans="13:17">
      <c r="Q17" s="268"/>
    </row>
    <row r="21" spans="13:17">
      <c r="O21" s="173"/>
    </row>
    <row r="22" spans="13:17">
      <c r="Q22" s="173"/>
    </row>
    <row r="23" spans="13:17">
      <c r="Q23" s="173"/>
    </row>
    <row r="24" spans="13:17">
      <c r="M24" s="173"/>
      <c r="Q24" s="173"/>
    </row>
    <row r="25" spans="13:17">
      <c r="Q25" s="173"/>
    </row>
    <row r="26" spans="13:17">
      <c r="M26" s="173"/>
    </row>
    <row r="27" spans="13:17">
      <c r="P27" s="463"/>
    </row>
    <row r="30" spans="13:17">
      <c r="P30" s="173"/>
    </row>
    <row r="31" spans="13:17">
      <c r="P31" s="173"/>
    </row>
    <row r="32" spans="13:17">
      <c r="P32" s="173"/>
    </row>
    <row r="34" spans="4:16">
      <c r="O34" s="727"/>
    </row>
    <row r="35" spans="4:16">
      <c r="O35" s="727"/>
    </row>
    <row r="38" spans="4:16">
      <c r="P38" s="173"/>
    </row>
    <row r="39" spans="4:16">
      <c r="P39" s="173"/>
    </row>
    <row r="40" spans="4:16">
      <c r="P40" s="173"/>
    </row>
    <row r="42" spans="4:16">
      <c r="O42" s="727"/>
    </row>
    <row r="43" spans="4:16">
      <c r="O43" s="727"/>
    </row>
    <row r="46" spans="4:16" ht="20.25" customHeight="1"/>
    <row r="47" spans="4:16">
      <c r="D47" s="173"/>
      <c r="E47" s="173"/>
      <c r="P47" s="727"/>
    </row>
    <row r="48" spans="4:16">
      <c r="D48" s="173"/>
      <c r="E48" s="173"/>
      <c r="G48" s="156"/>
      <c r="H48" s="173"/>
      <c r="P48" s="727"/>
    </row>
    <row r="49" spans="4:8">
      <c r="F49" s="173"/>
      <c r="G49" s="173"/>
      <c r="H49" s="173"/>
    </row>
    <row r="50" spans="4:8">
      <c r="D50" s="173"/>
      <c r="F50" s="173"/>
      <c r="G50" s="173"/>
      <c r="H50" s="173"/>
    </row>
    <row r="51" spans="4:8">
      <c r="D51" s="173"/>
      <c r="F51" s="173"/>
      <c r="G51" s="173"/>
      <c r="H51" s="173"/>
    </row>
    <row r="52" spans="4:8">
      <c r="F52" s="173"/>
      <c r="G52" s="173"/>
      <c r="H52" s="173"/>
    </row>
  </sheetData>
  <pageMargins left="0.70866141732283472" right="0.70866141732283472" top="0.74803149606299213" bottom="0.74803149606299213" header="0.31496062992125984" footer="0.31496062992125984"/>
  <pageSetup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E92"/>
  <sheetViews>
    <sheetView showGridLines="0" view="pageBreakPreview" zoomScale="55" zoomScaleNormal="100" zoomScaleSheetLayoutView="55" zoomScalePageLayoutView="62" workbookViewId="0">
      <selection activeCell="K7" sqref="K7"/>
    </sheetView>
  </sheetViews>
  <sheetFormatPr baseColWidth="10" defaultColWidth="11.42578125" defaultRowHeight="21"/>
  <cols>
    <col min="1" max="1" width="18.28515625" style="77" customWidth="1"/>
    <col min="2" max="2" width="15.85546875" style="77" customWidth="1"/>
    <col min="3" max="3" width="23.5703125" style="77" customWidth="1"/>
    <col min="4" max="4" width="15" style="77" customWidth="1"/>
    <col min="5" max="5" width="18.85546875" style="77" customWidth="1"/>
    <col min="6" max="6" width="24.28515625" style="77" customWidth="1"/>
    <col min="7" max="7" width="22.5703125" style="77" customWidth="1"/>
    <col min="8" max="8" width="23.85546875" style="77" customWidth="1"/>
    <col min="9" max="9" width="21" style="77" customWidth="1"/>
    <col min="10" max="10" width="30.28515625" style="77" customWidth="1"/>
    <col min="11" max="11" width="21.140625" style="77" customWidth="1"/>
    <col min="12" max="12" width="22.85546875" style="77" customWidth="1"/>
    <col min="13" max="13" width="17.28515625" style="77" customWidth="1"/>
    <col min="14" max="14" width="17" style="77" customWidth="1"/>
    <col min="15" max="15" width="12.5703125" style="77" customWidth="1"/>
    <col min="16" max="16" width="13.28515625" style="77" customWidth="1"/>
    <col min="17" max="17" width="16.140625" style="932" customWidth="1"/>
    <col min="18" max="18" width="20.42578125" style="77" customWidth="1"/>
    <col min="19" max="19" width="14.7109375" style="77" customWidth="1"/>
    <col min="20" max="20" width="13" style="77" customWidth="1"/>
    <col min="21" max="24" width="11.42578125" style="77"/>
    <col min="25" max="25" width="18.7109375" style="77" bestFit="1" customWidth="1"/>
    <col min="26" max="16384" width="11.42578125" style="77"/>
  </cols>
  <sheetData>
    <row r="1" spans="1:31" ht="114.75" customHeight="1">
      <c r="A1" s="2082"/>
      <c r="B1" s="2082"/>
      <c r="C1" s="2082"/>
      <c r="D1" s="2082"/>
      <c r="E1" s="2082"/>
      <c r="F1" s="2082"/>
      <c r="G1" s="2082"/>
      <c r="H1" s="2082"/>
      <c r="I1" s="2082"/>
      <c r="J1" s="2082"/>
      <c r="K1" s="2082"/>
      <c r="L1" s="2082"/>
      <c r="M1" s="2082"/>
      <c r="N1" s="2082"/>
      <c r="O1" s="2082"/>
      <c r="P1" s="2082"/>
    </row>
    <row r="2" spans="1:31" ht="64.5" customHeight="1">
      <c r="A2" s="342" t="s">
        <v>227</v>
      </c>
      <c r="B2" s="343" t="s">
        <v>521</v>
      </c>
      <c r="C2" s="343" t="s">
        <v>545</v>
      </c>
      <c r="D2" s="343" t="s">
        <v>522</v>
      </c>
      <c r="E2" s="343" t="s">
        <v>523</v>
      </c>
      <c r="F2" s="1024" t="s">
        <v>524</v>
      </c>
      <c r="G2" s="343" t="s">
        <v>587</v>
      </c>
      <c r="H2" s="343" t="s">
        <v>736</v>
      </c>
      <c r="I2" s="345" t="s">
        <v>528</v>
      </c>
      <c r="J2" s="61"/>
      <c r="K2" s="61"/>
      <c r="L2" s="61"/>
      <c r="M2" s="61"/>
      <c r="N2" s="61"/>
      <c r="O2" s="61"/>
      <c r="P2" s="61"/>
      <c r="Q2" s="62"/>
      <c r="R2" s="24"/>
      <c r="S2" s="24"/>
      <c r="T2" s="24"/>
    </row>
    <row r="3" spans="1:31" ht="20.25" customHeight="1">
      <c r="A3" s="346" t="s">
        <v>460</v>
      </c>
      <c r="B3" s="1025">
        <v>919911</v>
      </c>
      <c r="C3" s="1026">
        <f t="shared" ref="C3:C8" si="0">D3+E3</f>
        <v>557270</v>
      </c>
      <c r="D3" s="1025">
        <v>553015</v>
      </c>
      <c r="E3" s="1025">
        <v>4255</v>
      </c>
      <c r="F3" s="1027">
        <f t="shared" ref="F3:F11" si="1">+B3+D3+E3</f>
        <v>1477181</v>
      </c>
      <c r="G3" s="1069">
        <f t="shared" ref="G3:G8" si="2">B3/F3</f>
        <v>0.62274765245423547</v>
      </c>
      <c r="H3" s="1069">
        <f t="shared" ref="H3:H8" si="3">C3/F3</f>
        <v>0.37725234754576453</v>
      </c>
      <c r="I3" s="1028">
        <f>+C3/B3</f>
        <v>0.60578686416403327</v>
      </c>
      <c r="J3" s="61"/>
      <c r="K3" s="815"/>
      <c r="L3" s="61"/>
      <c r="M3" s="61"/>
      <c r="N3" s="61"/>
      <c r="O3" s="61"/>
      <c r="P3" s="61"/>
      <c r="R3" s="24"/>
      <c r="S3" s="24"/>
      <c r="T3" s="24"/>
    </row>
    <row r="4" spans="1:31" ht="20.25" customHeight="1">
      <c r="A4" s="346" t="s">
        <v>461</v>
      </c>
      <c r="B4" s="1025">
        <v>966146</v>
      </c>
      <c r="C4" s="1026">
        <f t="shared" si="0"/>
        <v>726113</v>
      </c>
      <c r="D4" s="1025">
        <v>707328</v>
      </c>
      <c r="E4" s="1025">
        <v>18785</v>
      </c>
      <c r="F4" s="1027">
        <f t="shared" si="1"/>
        <v>1692259</v>
      </c>
      <c r="G4" s="1069">
        <f t="shared" si="2"/>
        <v>0.57092088149627218</v>
      </c>
      <c r="H4" s="1069">
        <f t="shared" si="3"/>
        <v>0.42907911850372787</v>
      </c>
      <c r="I4" s="1028">
        <f t="shared" ref="I4:I10" si="4">+C4/B4</f>
        <v>0.75155618301995764</v>
      </c>
      <c r="J4" s="61"/>
      <c r="K4" s="1070"/>
      <c r="L4" s="61"/>
      <c r="M4" s="61"/>
      <c r="N4" s="61"/>
      <c r="O4" s="61"/>
      <c r="P4" s="61"/>
      <c r="Q4" s="962"/>
      <c r="R4" s="24"/>
      <c r="S4" s="24"/>
      <c r="T4" s="24"/>
    </row>
    <row r="5" spans="1:31" ht="20.25" customHeight="1">
      <c r="A5" s="346" t="s">
        <v>187</v>
      </c>
      <c r="B5" s="1025">
        <v>1079602</v>
      </c>
      <c r="C5" s="1026">
        <f t="shared" si="0"/>
        <v>1008697</v>
      </c>
      <c r="D5" s="1025">
        <v>962409</v>
      </c>
      <c r="E5" s="1025">
        <v>46288</v>
      </c>
      <c r="F5" s="1027">
        <f t="shared" si="1"/>
        <v>2088299</v>
      </c>
      <c r="G5" s="1069">
        <f t="shared" si="2"/>
        <v>0.51697673561113611</v>
      </c>
      <c r="H5" s="1069">
        <f t="shared" si="3"/>
        <v>0.48302326438886384</v>
      </c>
      <c r="I5" s="1028">
        <f t="shared" si="4"/>
        <v>0.93432301903849757</v>
      </c>
      <c r="J5" s="1071"/>
      <c r="K5" s="1025"/>
      <c r="L5" s="1072"/>
      <c r="M5" s="1068"/>
      <c r="N5" s="1068"/>
      <c r="O5" s="1068"/>
      <c r="P5" s="1068"/>
      <c r="Q5" s="962"/>
      <c r="R5" s="24"/>
      <c r="S5" s="24"/>
      <c r="T5" s="24"/>
    </row>
    <row r="6" spans="1:31" ht="20.25" customHeight="1">
      <c r="A6" s="346" t="s">
        <v>188</v>
      </c>
      <c r="B6" s="1025">
        <v>1152861</v>
      </c>
      <c r="C6" s="1026">
        <f t="shared" si="0"/>
        <v>1211222</v>
      </c>
      <c r="D6" s="1025">
        <v>1140803</v>
      </c>
      <c r="E6" s="1025">
        <v>70419</v>
      </c>
      <c r="F6" s="1027">
        <f t="shared" si="1"/>
        <v>2364083</v>
      </c>
      <c r="G6" s="1069">
        <f t="shared" si="2"/>
        <v>0.487656736248262</v>
      </c>
      <c r="H6" s="1069">
        <f t="shared" si="3"/>
        <v>0.512343263751738</v>
      </c>
      <c r="I6" s="1028">
        <f t="shared" si="4"/>
        <v>1.0506227550415879</v>
      </c>
      <c r="J6" s="1077"/>
      <c r="K6" s="1395"/>
      <c r="L6" s="1073"/>
      <c r="M6" s="1074"/>
      <c r="N6" s="1068"/>
      <c r="O6" s="1075"/>
      <c r="P6" s="1068"/>
      <c r="Q6" s="962"/>
      <c r="R6" s="24"/>
      <c r="S6" s="24"/>
      <c r="T6" s="24"/>
    </row>
    <row r="7" spans="1:31" ht="20.25" customHeight="1">
      <c r="A7" s="346" t="s">
        <v>462</v>
      </c>
      <c r="B7" s="1025">
        <v>1188345</v>
      </c>
      <c r="C7" s="1026">
        <f t="shared" si="0"/>
        <v>1329078</v>
      </c>
      <c r="D7" s="1025">
        <v>1234019</v>
      </c>
      <c r="E7" s="1025">
        <v>95059</v>
      </c>
      <c r="F7" s="1027">
        <f t="shared" si="1"/>
        <v>2517423</v>
      </c>
      <c r="G7" s="1069">
        <f t="shared" si="2"/>
        <v>0.47204820167290124</v>
      </c>
      <c r="H7" s="1069">
        <f t="shared" si="3"/>
        <v>0.52795179832709882</v>
      </c>
      <c r="I7" s="1028">
        <f t="shared" si="4"/>
        <v>1.1184277293210305</v>
      </c>
      <c r="J7" s="1071"/>
      <c r="K7" s="1075"/>
      <c r="L7" s="707"/>
      <c r="M7" s="1075"/>
      <c r="N7" s="1068"/>
      <c r="O7" s="1075"/>
      <c r="P7" s="1068"/>
      <c r="Q7" s="962"/>
      <c r="R7" s="24"/>
      <c r="S7" s="24"/>
      <c r="T7" s="24"/>
    </row>
    <row r="8" spans="1:31" ht="20.25" customHeight="1">
      <c r="A8" s="346" t="s">
        <v>463</v>
      </c>
      <c r="B8" s="1025">
        <v>1242830</v>
      </c>
      <c r="C8" s="1026">
        <f t="shared" si="0"/>
        <v>1445581</v>
      </c>
      <c r="D8" s="1025">
        <v>1332478</v>
      </c>
      <c r="E8" s="1025">
        <v>113103</v>
      </c>
      <c r="F8" s="1027">
        <f t="shared" si="1"/>
        <v>2688411</v>
      </c>
      <c r="G8" s="1069">
        <f t="shared" si="2"/>
        <v>0.46229166596922866</v>
      </c>
      <c r="H8" s="1069">
        <f t="shared" si="3"/>
        <v>0.53770833403077134</v>
      </c>
      <c r="I8" s="1028">
        <f t="shared" si="4"/>
        <v>1.1631365512580161</v>
      </c>
      <c r="J8" s="144"/>
      <c r="K8" s="1073"/>
      <c r="L8" s="1073"/>
      <c r="M8" s="1076"/>
      <c r="N8" s="1068"/>
      <c r="O8" s="1075"/>
      <c r="P8" s="1068"/>
      <c r="Q8" s="963"/>
      <c r="R8" s="24"/>
      <c r="S8" s="24"/>
      <c r="T8" s="24"/>
    </row>
    <row r="9" spans="1:31" ht="20.25" customHeight="1">
      <c r="A9" s="346" t="s">
        <v>525</v>
      </c>
      <c r="B9" s="1025">
        <v>1297821</v>
      </c>
      <c r="C9" s="1026">
        <f>D9+E9</f>
        <v>1561485</v>
      </c>
      <c r="D9" s="1025">
        <v>1429474</v>
      </c>
      <c r="E9" s="1025">
        <v>132011</v>
      </c>
      <c r="F9" s="1027">
        <f t="shared" si="1"/>
        <v>2859306</v>
      </c>
      <c r="G9" s="1069">
        <f>B9/F9</f>
        <v>0.45389370707437399</v>
      </c>
      <c r="H9" s="1069">
        <f>C9/F9</f>
        <v>0.54610629292562596</v>
      </c>
      <c r="I9" s="1028">
        <f t="shared" si="4"/>
        <v>1.203158987256332</v>
      </c>
      <c r="J9" s="1396"/>
      <c r="K9" s="1075"/>
      <c r="L9" s="1075"/>
      <c r="M9" s="1068"/>
      <c r="N9" s="1068"/>
      <c r="O9" s="1075"/>
      <c r="P9" s="1068"/>
      <c r="Q9" s="963"/>
      <c r="S9" s="24"/>
      <c r="T9" s="24"/>
    </row>
    <row r="10" spans="1:31" ht="20.25" customHeight="1">
      <c r="A10" s="346" t="s">
        <v>544</v>
      </c>
      <c r="B10" s="1025">
        <v>1422986</v>
      </c>
      <c r="C10" s="1026">
        <f>D10+E10</f>
        <v>1718613</v>
      </c>
      <c r="D10" s="1025">
        <v>1568541</v>
      </c>
      <c r="E10" s="1025">
        <v>150072</v>
      </c>
      <c r="F10" s="1027">
        <f t="shared" si="1"/>
        <v>3141599</v>
      </c>
      <c r="G10" s="1069">
        <f>B10/F10</f>
        <v>0.45294959668627344</v>
      </c>
      <c r="H10" s="1069">
        <f>C10/F10</f>
        <v>0.54705040331372656</v>
      </c>
      <c r="I10" s="1028">
        <f t="shared" si="4"/>
        <v>1.2077511655068989</v>
      </c>
      <c r="J10" s="1129"/>
      <c r="K10" s="1075"/>
      <c r="L10" s="1072"/>
      <c r="M10" s="47"/>
      <c r="N10" s="1068"/>
      <c r="O10" s="1068"/>
      <c r="P10" s="1068"/>
      <c r="Q10" s="963"/>
      <c r="R10" s="24"/>
      <c r="S10" s="24"/>
      <c r="T10" s="24"/>
    </row>
    <row r="11" spans="1:31" ht="20.25" customHeight="1">
      <c r="A11" s="346" t="s">
        <v>954</v>
      </c>
      <c r="B11" s="1025">
        <v>1513634</v>
      </c>
      <c r="C11" s="1026">
        <f>D11+E11</f>
        <v>1826204</v>
      </c>
      <c r="D11" s="1025">
        <v>1649407</v>
      </c>
      <c r="E11" s="1025">
        <v>176797</v>
      </c>
      <c r="F11" s="1027">
        <f t="shared" si="1"/>
        <v>3339838</v>
      </c>
      <c r="G11" s="1069">
        <f>B11/F11</f>
        <v>0.4532058141742204</v>
      </c>
      <c r="H11" s="1069">
        <f>C11/F11</f>
        <v>0.54679418582577954</v>
      </c>
      <c r="I11" s="1028">
        <f t="shared" ref="I11" si="5">+C11/B11</f>
        <v>1.2065030251698892</v>
      </c>
      <c r="J11" s="1921"/>
      <c r="K11" s="1302"/>
      <c r="L11" s="1068"/>
      <c r="M11" s="47"/>
      <c r="N11" s="1068"/>
      <c r="O11" s="1068"/>
      <c r="P11" s="1068"/>
      <c r="Q11" s="962"/>
      <c r="R11" s="24"/>
      <c r="S11" s="24"/>
      <c r="T11" s="24"/>
    </row>
    <row r="12" spans="1:31" s="1277" customFormat="1" ht="20.25" customHeight="1">
      <c r="A12" s="365" t="s">
        <v>1004</v>
      </c>
      <c r="B12" s="1318">
        <v>1578127</v>
      </c>
      <c r="C12" s="1319">
        <f>D12+E12</f>
        <v>1895653</v>
      </c>
      <c r="D12" s="1318">
        <v>1714635</v>
      </c>
      <c r="E12" s="1318">
        <v>181018</v>
      </c>
      <c r="F12" s="1320">
        <f>+B12+D12+E12</f>
        <v>3473780</v>
      </c>
      <c r="G12" s="1321">
        <f>B12/F12</f>
        <v>0.45429676030145838</v>
      </c>
      <c r="H12" s="1321">
        <f>C12/F12</f>
        <v>0.54570323969854162</v>
      </c>
      <c r="I12" s="1322">
        <f>+C12/B12</f>
        <v>1.2012043390677682</v>
      </c>
      <c r="J12" s="1563"/>
      <c r="K12" s="1276"/>
      <c r="L12" s="1276"/>
      <c r="N12" s="1276"/>
      <c r="O12" s="1276"/>
      <c r="P12" s="1276"/>
      <c r="Q12" s="1278"/>
      <c r="R12" s="1279"/>
      <c r="S12" s="1279"/>
      <c r="T12" s="1279"/>
    </row>
    <row r="13" spans="1:31" ht="32.25" customHeight="1">
      <c r="A13" s="2083" t="s">
        <v>729</v>
      </c>
      <c r="B13" s="2083"/>
      <c r="C13" s="2083"/>
      <c r="D13" s="2083"/>
      <c r="E13" s="2083"/>
      <c r="F13" s="2083"/>
      <c r="G13" s="2083"/>
      <c r="H13" s="2083"/>
      <c r="I13" s="2083"/>
      <c r="J13" s="1068"/>
      <c r="K13" s="1068"/>
      <c r="L13" s="1068"/>
      <c r="M13" s="47"/>
      <c r="N13" s="1068"/>
      <c r="O13" s="1068"/>
      <c r="P13" s="1068"/>
      <c r="Q13" s="62"/>
      <c r="R13" s="24"/>
      <c r="S13" s="24"/>
      <c r="T13" s="24"/>
    </row>
    <row r="14" spans="1:31" ht="25.5" customHeight="1">
      <c r="A14" s="1068"/>
      <c r="B14" s="1068"/>
      <c r="C14" s="1068"/>
      <c r="D14" s="1073"/>
      <c r="E14" s="1073"/>
      <c r="F14" s="1068"/>
      <c r="G14" s="1068"/>
      <c r="H14" s="1068"/>
      <c r="I14" s="31"/>
      <c r="J14" s="1068"/>
      <c r="K14" s="1068"/>
      <c r="L14" s="1068"/>
      <c r="M14" s="1068"/>
      <c r="N14" s="1068"/>
      <c r="O14" s="1068"/>
      <c r="P14" s="1068"/>
      <c r="Q14" s="62"/>
      <c r="R14" s="24"/>
      <c r="S14" s="24"/>
      <c r="T14" s="24"/>
    </row>
    <row r="15" spans="1:31" ht="25.5" customHeight="1">
      <c r="A15" s="1068"/>
      <c r="B15" s="1068"/>
      <c r="C15" s="1068"/>
      <c r="D15" s="1076"/>
      <c r="E15" s="1076"/>
      <c r="F15" s="1068"/>
      <c r="G15" s="1068"/>
      <c r="H15" s="1068"/>
      <c r="I15" s="31"/>
      <c r="J15" s="31"/>
      <c r="K15" s="31"/>
      <c r="L15" s="31"/>
      <c r="M15" s="31"/>
      <c r="N15" s="31"/>
      <c r="O15" s="31"/>
      <c r="P15" s="31"/>
      <c r="Q15" s="951"/>
      <c r="R15" s="31"/>
      <c r="S15" s="31"/>
      <c r="T15" s="31"/>
    </row>
    <row r="16" spans="1:31" ht="25.5" customHeight="1">
      <c r="A16" s="1068"/>
      <c r="B16" s="1068"/>
      <c r="C16" s="1068"/>
      <c r="D16" s="1068"/>
      <c r="E16" s="1068"/>
      <c r="F16" s="1068"/>
      <c r="G16" s="1068"/>
      <c r="H16" s="1068"/>
      <c r="I16" s="31"/>
      <c r="J16" s="31"/>
      <c r="K16" s="31"/>
      <c r="L16" s="31"/>
      <c r="M16" s="31"/>
      <c r="N16" s="31"/>
      <c r="O16" s="31"/>
      <c r="P16" s="31"/>
      <c r="Q16" s="951"/>
      <c r="R16" s="31"/>
      <c r="S16" s="31"/>
      <c r="T16" s="31"/>
      <c r="AE16" s="77" t="s">
        <v>31</v>
      </c>
    </row>
    <row r="17" spans="1:21" ht="25.5" customHeight="1">
      <c r="A17" s="1068"/>
      <c r="B17" s="1068"/>
      <c r="C17" s="1068"/>
      <c r="D17" s="1068"/>
      <c r="E17" s="1068"/>
      <c r="F17" s="1068"/>
      <c r="G17" s="1068"/>
      <c r="H17" s="1068"/>
      <c r="I17" s="31"/>
      <c r="J17" s="31"/>
      <c r="K17" s="31"/>
      <c r="L17" s="31"/>
      <c r="M17" s="31"/>
      <c r="N17" s="31"/>
      <c r="O17" s="31"/>
      <c r="P17" s="31"/>
      <c r="Q17" s="951"/>
      <c r="R17" s="31"/>
      <c r="S17" s="31"/>
      <c r="T17" s="31"/>
    </row>
    <row r="18" spans="1:21" ht="25.5" customHeight="1">
      <c r="A18" s="1068"/>
      <c r="B18" s="1068"/>
      <c r="C18" s="1068"/>
      <c r="D18" s="1068"/>
      <c r="E18" s="1068"/>
      <c r="F18" s="1068"/>
      <c r="G18" s="1068"/>
      <c r="H18" s="1068"/>
      <c r="I18" s="31"/>
      <c r="J18" s="31"/>
      <c r="K18" s="31"/>
      <c r="L18" s="31"/>
      <c r="M18" s="31"/>
      <c r="N18" s="31"/>
      <c r="O18" s="31"/>
      <c r="P18" s="31"/>
      <c r="Q18" s="951"/>
      <c r="R18" s="31"/>
      <c r="S18" s="31"/>
      <c r="T18" s="31"/>
    </row>
    <row r="19" spans="1:21" ht="25.5" customHeight="1">
      <c r="A19" s="31"/>
      <c r="B19" s="31"/>
      <c r="C19" s="31"/>
      <c r="D19" s="31"/>
      <c r="E19" s="31"/>
      <c r="F19" s="31"/>
      <c r="G19" s="31"/>
      <c r="H19" s="31"/>
      <c r="I19" s="31"/>
      <c r="J19" s="31"/>
      <c r="K19" s="31"/>
      <c r="L19" s="31"/>
      <c r="M19" s="31"/>
      <c r="N19" s="31"/>
      <c r="O19" s="31"/>
      <c r="P19" s="31"/>
      <c r="Q19" s="951"/>
      <c r="R19" s="31"/>
      <c r="S19" s="31"/>
      <c r="T19" s="31"/>
    </row>
    <row r="20" spans="1:21" ht="25.5" customHeight="1">
      <c r="A20" s="31"/>
      <c r="B20" s="31"/>
      <c r="C20" s="31"/>
      <c r="D20" s="31"/>
      <c r="E20" s="31"/>
      <c r="F20" s="31"/>
      <c r="G20" s="31"/>
      <c r="H20" s="31"/>
      <c r="I20" s="31"/>
      <c r="J20" s="31"/>
      <c r="K20" s="31"/>
      <c r="L20" s="31"/>
      <c r="M20" s="31"/>
      <c r="N20" s="31"/>
      <c r="O20" s="31"/>
      <c r="P20" s="31"/>
      <c r="Q20" s="951"/>
      <c r="R20" s="31"/>
      <c r="S20" s="31"/>
      <c r="T20" s="31"/>
    </row>
    <row r="21" spans="1:21" ht="25.5" customHeight="1">
      <c r="A21" s="31"/>
      <c r="B21" s="31"/>
      <c r="C21" s="31"/>
      <c r="D21" s="31"/>
      <c r="E21" s="31"/>
      <c r="F21" s="31"/>
      <c r="G21" s="31"/>
      <c r="H21" s="31"/>
      <c r="I21" s="31"/>
      <c r="J21" s="31"/>
      <c r="K21" s="31"/>
      <c r="L21" s="31"/>
      <c r="M21" s="31"/>
      <c r="N21" s="31"/>
      <c r="O21" s="31"/>
      <c r="P21" s="31"/>
      <c r="Q21" s="951"/>
      <c r="R21" s="31"/>
      <c r="S21" s="31"/>
      <c r="T21" s="31"/>
    </row>
    <row r="22" spans="1:21" ht="25.5" customHeight="1">
      <c r="A22" s="31"/>
      <c r="B22" s="31"/>
      <c r="C22" s="31"/>
      <c r="D22" s="31"/>
      <c r="E22" s="31"/>
      <c r="F22" s="31"/>
      <c r="G22" s="31"/>
      <c r="H22" s="31"/>
      <c r="I22" s="31"/>
      <c r="J22" s="31"/>
      <c r="K22" s="31"/>
      <c r="L22" s="31"/>
      <c r="M22" s="31"/>
      <c r="N22" s="31"/>
      <c r="O22" s="31"/>
      <c r="P22" s="31"/>
      <c r="Q22" s="951"/>
      <c r="R22" s="31"/>
      <c r="S22" s="31"/>
      <c r="T22" s="31"/>
    </row>
    <row r="23" spans="1:21" ht="25.5" customHeight="1">
      <c r="A23" s="31"/>
      <c r="B23" s="31"/>
      <c r="C23" s="31"/>
      <c r="D23" s="31"/>
      <c r="E23" s="31"/>
      <c r="F23" s="31"/>
      <c r="G23" s="31"/>
      <c r="H23" s="31"/>
      <c r="I23" s="31"/>
      <c r="J23" s="31"/>
      <c r="K23" s="31"/>
      <c r="L23" s="31"/>
      <c r="M23" s="31"/>
      <c r="N23" s="31"/>
      <c r="O23" s="31"/>
      <c r="P23" s="31"/>
      <c r="Q23" s="951"/>
      <c r="R23" s="31"/>
      <c r="S23" s="31"/>
      <c r="T23" s="31"/>
    </row>
    <row r="24" spans="1:21" ht="25.5" customHeight="1">
      <c r="A24" s="31"/>
      <c r="B24" s="31"/>
      <c r="C24" s="31"/>
      <c r="D24" s="31"/>
      <c r="E24" s="31"/>
      <c r="F24" s="31"/>
      <c r="G24" s="31"/>
      <c r="H24" s="31"/>
      <c r="I24" s="31"/>
      <c r="J24" s="31"/>
      <c r="K24" s="31"/>
      <c r="L24" s="31"/>
      <c r="M24" s="31"/>
      <c r="N24" s="31"/>
      <c r="O24" s="31"/>
      <c r="P24" s="31"/>
      <c r="Q24" s="951"/>
      <c r="R24" s="31"/>
      <c r="S24" s="31"/>
      <c r="T24" s="31"/>
    </row>
    <row r="25" spans="1:21" ht="25.5" customHeight="1">
      <c r="A25" s="31"/>
      <c r="B25" s="31"/>
      <c r="C25" s="31"/>
      <c r="D25" s="31"/>
      <c r="E25" s="31"/>
      <c r="F25" s="31"/>
      <c r="G25" s="31"/>
      <c r="H25" s="31"/>
      <c r="I25" s="31"/>
      <c r="J25" s="31"/>
      <c r="K25" s="31"/>
      <c r="L25" s="31"/>
      <c r="M25" s="31"/>
      <c r="N25" s="31"/>
      <c r="O25" s="31"/>
      <c r="P25" s="31"/>
      <c r="Q25" s="951"/>
      <c r="R25" s="31"/>
      <c r="S25" s="31"/>
      <c r="T25" s="31"/>
    </row>
    <row r="26" spans="1:21" ht="25.5" customHeight="1">
      <c r="A26" s="31"/>
      <c r="B26" s="31"/>
      <c r="C26" s="31"/>
      <c r="D26" s="31"/>
      <c r="E26" s="31"/>
      <c r="F26" s="31"/>
      <c r="G26" s="31"/>
      <c r="H26" s="31"/>
      <c r="I26" s="31"/>
      <c r="J26" s="31"/>
      <c r="K26" s="31"/>
      <c r="L26" s="31"/>
      <c r="M26" s="31"/>
      <c r="N26" s="31"/>
      <c r="O26" s="31"/>
      <c r="P26" s="31"/>
      <c r="Q26" s="951"/>
      <c r="R26" s="31"/>
      <c r="S26" s="31"/>
      <c r="T26" s="31"/>
    </row>
    <row r="27" spans="1:21" ht="25.5" customHeight="1">
      <c r="A27" s="31"/>
      <c r="B27" s="31"/>
      <c r="C27" s="31"/>
      <c r="D27" s="31"/>
      <c r="E27" s="31"/>
      <c r="F27" s="31"/>
      <c r="G27" s="31"/>
      <c r="H27" s="31"/>
      <c r="I27" s="31"/>
      <c r="Q27" s="951"/>
      <c r="R27" s="31"/>
      <c r="S27" s="31"/>
      <c r="T27" s="31"/>
    </row>
    <row r="28" spans="1:21" ht="25.5" customHeight="1">
      <c r="A28" s="31"/>
      <c r="B28" s="31"/>
      <c r="C28" s="31"/>
      <c r="D28" s="31"/>
      <c r="E28" s="31"/>
      <c r="F28" s="31"/>
      <c r="G28" s="31"/>
      <c r="H28" s="31"/>
      <c r="Q28" s="951"/>
      <c r="R28" s="31"/>
      <c r="S28" s="31"/>
      <c r="T28" s="31"/>
      <c r="U28" s="77" t="s">
        <v>31</v>
      </c>
    </row>
    <row r="29" spans="1:21" ht="25.5" customHeight="1">
      <c r="A29" s="31"/>
      <c r="B29" s="31"/>
      <c r="C29" s="31"/>
      <c r="D29" s="31"/>
      <c r="E29" s="31"/>
      <c r="F29" s="31"/>
      <c r="G29" s="31"/>
      <c r="H29" s="31"/>
      <c r="Q29" s="951"/>
      <c r="R29" s="31"/>
      <c r="S29" s="31"/>
      <c r="T29" s="31"/>
    </row>
    <row r="30" spans="1:21" ht="25.5" customHeight="1">
      <c r="A30" s="31"/>
      <c r="B30" s="31"/>
      <c r="C30" s="31"/>
      <c r="D30" s="31"/>
      <c r="E30" s="31"/>
      <c r="F30" s="31"/>
      <c r="G30" s="31"/>
      <c r="H30" s="31"/>
      <c r="Q30" s="951"/>
      <c r="R30" s="31"/>
      <c r="S30" s="31"/>
      <c r="T30" s="31"/>
    </row>
    <row r="31" spans="1:21" ht="25.5" customHeight="1">
      <c r="A31" s="31"/>
      <c r="B31" s="31"/>
      <c r="C31" s="31"/>
      <c r="D31" s="31"/>
      <c r="E31" s="31"/>
      <c r="F31" s="31"/>
      <c r="G31" s="31"/>
      <c r="H31" s="31"/>
      <c r="Q31" s="951"/>
      <c r="R31" s="31"/>
      <c r="S31" s="31"/>
      <c r="T31" s="31"/>
    </row>
    <row r="32" spans="1:21" ht="25.5" customHeight="1">
      <c r="A32" s="31"/>
      <c r="B32" s="31"/>
      <c r="C32" s="31"/>
      <c r="D32" s="31"/>
      <c r="E32" s="31"/>
      <c r="F32" s="31"/>
      <c r="G32" s="31"/>
      <c r="H32" s="31"/>
      <c r="J32" s="692"/>
      <c r="K32" s="692"/>
      <c r="L32" s="692"/>
      <c r="M32" s="692"/>
      <c r="N32" s="692"/>
      <c r="O32" s="692"/>
      <c r="P32" s="692"/>
      <c r="Q32" s="951"/>
      <c r="R32" s="31"/>
      <c r="S32" s="31"/>
      <c r="T32" s="31"/>
    </row>
    <row r="33" spans="1:28" ht="25.5" customHeight="1">
      <c r="A33" s="31"/>
      <c r="B33" s="31"/>
      <c r="C33" s="31"/>
      <c r="D33" s="31"/>
      <c r="E33" s="31"/>
      <c r="F33" s="31"/>
      <c r="G33" s="31"/>
      <c r="H33" s="31"/>
      <c r="I33" s="692"/>
      <c r="Q33" s="951" t="s">
        <v>168</v>
      </c>
      <c r="R33" s="31"/>
      <c r="S33" s="31"/>
      <c r="T33" s="31"/>
    </row>
    <row r="34" spans="1:28" ht="25.5" customHeight="1">
      <c r="A34" s="31"/>
      <c r="B34" s="31"/>
      <c r="C34" s="31"/>
      <c r="D34" s="31"/>
      <c r="E34" s="31"/>
      <c r="F34" s="31"/>
      <c r="G34" s="31"/>
      <c r="H34" s="31"/>
      <c r="Q34" s="951"/>
      <c r="R34" s="31"/>
      <c r="S34" s="31"/>
      <c r="T34" s="31"/>
    </row>
    <row r="35" spans="1:28" ht="25.5" customHeight="1">
      <c r="A35" s="31"/>
      <c r="B35" s="31"/>
      <c r="C35" s="31"/>
      <c r="D35" s="31"/>
      <c r="E35" s="31"/>
      <c r="F35" s="31"/>
      <c r="G35" s="31"/>
      <c r="H35" s="31"/>
      <c r="Q35" s="951"/>
      <c r="R35" s="31"/>
      <c r="S35" s="31"/>
      <c r="T35" s="31"/>
    </row>
    <row r="36" spans="1:28">
      <c r="A36" s="31"/>
      <c r="B36" s="31"/>
      <c r="C36" s="31"/>
      <c r="D36" s="31"/>
      <c r="E36" s="31"/>
      <c r="F36" s="31"/>
      <c r="G36" s="31"/>
      <c r="H36" s="31"/>
      <c r="Q36" s="964"/>
      <c r="R36" s="95"/>
      <c r="S36" s="95"/>
      <c r="T36" s="95"/>
      <c r="U36" s="96"/>
      <c r="V36" s="96"/>
      <c r="W36" s="96"/>
      <c r="X36" s="96"/>
      <c r="Y36" s="96"/>
      <c r="Z36" s="96"/>
    </row>
    <row r="37" spans="1:28">
      <c r="Q37" s="964"/>
      <c r="R37" s="95"/>
      <c r="S37" s="95"/>
      <c r="T37" s="95"/>
      <c r="U37" s="96"/>
      <c r="V37" s="96"/>
      <c r="W37" s="96"/>
      <c r="X37" s="96"/>
      <c r="Y37" s="96"/>
      <c r="Z37" s="96"/>
    </row>
    <row r="38" spans="1:28">
      <c r="Q38" s="964"/>
      <c r="R38" s="95"/>
      <c r="S38" s="95"/>
      <c r="T38" s="95"/>
      <c r="U38" s="96"/>
      <c r="V38" s="96"/>
      <c r="W38" s="96"/>
      <c r="X38" s="96"/>
      <c r="Y38" s="96"/>
      <c r="Z38" s="96"/>
    </row>
    <row r="39" spans="1:28">
      <c r="Q39" s="964"/>
      <c r="R39" s="95"/>
      <c r="S39" s="95"/>
      <c r="T39" s="95"/>
      <c r="U39" s="96"/>
      <c r="V39" s="96"/>
      <c r="W39" s="96"/>
      <c r="X39" s="96"/>
      <c r="Y39" s="96"/>
      <c r="Z39" s="96"/>
    </row>
    <row r="40" spans="1:28" ht="51" customHeight="1">
      <c r="Q40" s="964"/>
      <c r="R40" s="95"/>
      <c r="S40" s="95"/>
      <c r="T40" s="95"/>
      <c r="U40" s="96"/>
      <c r="V40" s="96"/>
      <c r="W40" s="96"/>
      <c r="X40" s="96"/>
      <c r="Y40" s="96"/>
      <c r="Z40" s="96"/>
    </row>
    <row r="41" spans="1:28" ht="78" customHeight="1">
      <c r="Q41" s="965"/>
      <c r="R41" s="692"/>
      <c r="S41" s="692"/>
      <c r="T41" s="692"/>
      <c r="U41" s="692"/>
      <c r="V41" s="692"/>
      <c r="W41" s="692"/>
      <c r="X41" s="96"/>
      <c r="Y41" s="96"/>
      <c r="Z41" s="96"/>
    </row>
    <row r="42" spans="1:28" ht="23.25">
      <c r="A42" s="692"/>
      <c r="B42" s="692"/>
      <c r="C42" s="692"/>
      <c r="D42" s="692"/>
      <c r="E42" s="692"/>
      <c r="F42" s="692"/>
      <c r="G42" s="692"/>
      <c r="H42" s="692"/>
      <c r="Q42" s="966"/>
      <c r="R42" s="96"/>
      <c r="S42" s="96"/>
      <c r="T42" s="96"/>
      <c r="U42" s="96"/>
    </row>
    <row r="43" spans="1:28">
      <c r="Q43" s="966"/>
      <c r="R43" s="96"/>
      <c r="S43" s="96"/>
      <c r="T43" s="96"/>
      <c r="U43" s="96"/>
    </row>
    <row r="44" spans="1:28">
      <c r="J44" s="96"/>
      <c r="K44" s="96"/>
      <c r="L44" s="96"/>
      <c r="M44" s="96"/>
      <c r="N44" s="96"/>
      <c r="O44" s="96"/>
      <c r="P44" s="96"/>
      <c r="Q44" s="966"/>
      <c r="R44" s="96"/>
      <c r="S44" s="96"/>
      <c r="T44" s="96"/>
      <c r="U44" s="96"/>
    </row>
    <row r="45" spans="1:28">
      <c r="I45" s="96"/>
      <c r="Q45" s="966"/>
      <c r="R45" s="96"/>
      <c r="S45" s="96"/>
      <c r="T45" s="96"/>
      <c r="U45" s="96"/>
    </row>
    <row r="46" spans="1:28">
      <c r="Q46" s="966"/>
      <c r="R46" s="96"/>
      <c r="S46" s="96"/>
      <c r="T46" s="96"/>
      <c r="U46" s="96"/>
    </row>
    <row r="47" spans="1:28">
      <c r="Q47" s="966"/>
      <c r="R47" s="96"/>
      <c r="S47" s="96"/>
      <c r="T47" s="96"/>
      <c r="U47" s="96"/>
      <c r="V47" s="96"/>
      <c r="W47" s="96"/>
      <c r="X47" s="96"/>
      <c r="Y47" s="96"/>
      <c r="Z47" s="96"/>
      <c r="AA47" s="96"/>
      <c r="AB47" s="96"/>
    </row>
    <row r="48" spans="1:28">
      <c r="Q48" s="966"/>
      <c r="R48" s="96"/>
      <c r="S48" s="96"/>
      <c r="T48" s="96"/>
      <c r="U48" s="96"/>
      <c r="V48" s="96"/>
      <c r="W48" s="96"/>
      <c r="X48" s="96"/>
      <c r="Y48" s="96"/>
      <c r="Z48" s="96"/>
      <c r="AA48" s="96"/>
      <c r="AB48" s="96"/>
    </row>
    <row r="49" spans="2:28">
      <c r="Q49" s="966"/>
      <c r="R49" s="96"/>
      <c r="S49" s="96"/>
      <c r="T49" s="96"/>
      <c r="U49" s="96"/>
      <c r="V49" s="96"/>
      <c r="W49" s="96"/>
      <c r="X49" s="96"/>
      <c r="Y49" s="96"/>
      <c r="Z49" s="96"/>
      <c r="AA49" s="96"/>
      <c r="AB49" s="96"/>
    </row>
    <row r="50" spans="2:28">
      <c r="Q50" s="966"/>
      <c r="R50" s="96"/>
      <c r="S50" s="96"/>
      <c r="T50" s="96"/>
      <c r="U50" s="96"/>
      <c r="V50" s="96"/>
      <c r="W50" s="96"/>
      <c r="X50" s="96"/>
      <c r="Y50" s="96"/>
      <c r="Z50" s="96"/>
      <c r="AA50" s="96"/>
      <c r="AB50" s="96"/>
    </row>
    <row r="51" spans="2:28">
      <c r="Q51" s="966"/>
      <c r="R51" s="96"/>
      <c r="S51" s="96"/>
      <c r="T51" s="96"/>
      <c r="U51" s="96"/>
      <c r="V51" s="96"/>
      <c r="W51" s="96"/>
      <c r="X51" s="96"/>
      <c r="Y51" s="96"/>
      <c r="Z51" s="96"/>
      <c r="AA51" s="96"/>
      <c r="AB51" s="96"/>
    </row>
    <row r="52" spans="2:28">
      <c r="Q52" s="966"/>
      <c r="R52" s="96"/>
      <c r="S52" s="96"/>
      <c r="T52" s="96"/>
      <c r="U52" s="96"/>
      <c r="V52" s="96"/>
      <c r="W52" s="96"/>
      <c r="X52" s="96"/>
      <c r="Y52" s="96"/>
      <c r="Z52" s="96"/>
      <c r="AA52" s="96"/>
      <c r="AB52" s="96"/>
    </row>
    <row r="53" spans="2:28">
      <c r="Q53" s="966"/>
      <c r="R53" s="96"/>
      <c r="S53" s="96"/>
      <c r="T53" s="96"/>
      <c r="U53" s="96"/>
      <c r="V53" s="96"/>
      <c r="W53" s="96"/>
      <c r="X53" s="96"/>
      <c r="Y53" s="96"/>
      <c r="Z53" s="96"/>
      <c r="AA53" s="96"/>
      <c r="AB53" s="96"/>
    </row>
    <row r="54" spans="2:28">
      <c r="B54" s="96"/>
      <c r="C54" s="96"/>
      <c r="D54" s="96"/>
      <c r="E54" s="96"/>
      <c r="F54" s="96"/>
      <c r="G54" s="96"/>
      <c r="H54" s="96"/>
    </row>
    <row r="72" spans="22:22">
      <c r="V72" s="96"/>
    </row>
    <row r="73" spans="22:22">
      <c r="V73" s="96"/>
    </row>
    <row r="74" spans="22:22">
      <c r="V74" s="96"/>
    </row>
    <row r="75" spans="22:22">
      <c r="V75" s="96"/>
    </row>
    <row r="76" spans="22:22">
      <c r="V76" s="96"/>
    </row>
    <row r="77" spans="22:22">
      <c r="V77" s="96"/>
    </row>
    <row r="78" spans="22:22">
      <c r="V78" s="96"/>
    </row>
    <row r="79" spans="22:22">
      <c r="V79" s="96"/>
    </row>
    <row r="89" spans="22:22">
      <c r="V89" s="96"/>
    </row>
    <row r="90" spans="22:22">
      <c r="V90" s="96"/>
    </row>
    <row r="91" spans="22:22">
      <c r="V91" s="96"/>
    </row>
    <row r="92" spans="22:22">
      <c r="V92" s="96"/>
    </row>
  </sheetData>
  <mergeCells count="2">
    <mergeCell ref="A1:P1"/>
    <mergeCell ref="A13:I13"/>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6"/>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K9" sqref="K9"/>
    </sheetView>
  </sheetViews>
  <sheetFormatPr baseColWidth="10" defaultColWidth="11.42578125" defaultRowHeight="26.25"/>
  <cols>
    <col min="1" max="1" width="16.42578125" style="77" customWidth="1"/>
    <col min="2" max="2" width="21.85546875" style="77" customWidth="1"/>
    <col min="3" max="3" width="23.28515625" style="77" customWidth="1"/>
    <col min="4" max="4" width="19.28515625" style="77" customWidth="1"/>
    <col min="5" max="5" width="24.7109375" style="77" customWidth="1"/>
    <col min="6" max="6" width="20.5703125" style="77" customWidth="1"/>
    <col min="7" max="7" width="22.42578125" style="77" customWidth="1"/>
    <col min="8" max="8" width="14.5703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4" width="24.28515625" style="77" customWidth="1"/>
    <col min="15" max="15" width="11.85546875" style="77" customWidth="1"/>
    <col min="16" max="16" width="20.140625" style="77" customWidth="1"/>
    <col min="17" max="17" width="24.7109375" style="1566" customWidth="1"/>
    <col min="18" max="18" width="11.42578125" style="1346"/>
    <col min="19" max="25" width="11.42578125" style="77"/>
    <col min="26" max="26" width="18.7109375" style="77" bestFit="1" customWidth="1"/>
    <col min="27" max="16384" width="11.42578125" style="77"/>
  </cols>
  <sheetData>
    <row r="1" spans="1:18" ht="93" customHeight="1">
      <c r="A1" s="2084"/>
      <c r="B1" s="2084"/>
      <c r="C1" s="2084"/>
      <c r="D1" s="2084"/>
      <c r="E1" s="2084"/>
      <c r="F1" s="2084"/>
      <c r="G1" s="2084"/>
      <c r="H1" s="2084"/>
      <c r="I1" s="2084"/>
      <c r="J1" s="2084"/>
      <c r="K1" s="2084"/>
      <c r="L1" s="2084"/>
      <c r="M1" s="2084"/>
      <c r="N1" s="2084"/>
      <c r="O1" s="2084"/>
      <c r="P1" s="2084"/>
    </row>
    <row r="2" spans="1:18" ht="5.25" customHeight="1">
      <c r="A2" s="801"/>
      <c r="B2" s="801"/>
      <c r="C2" s="801"/>
      <c r="D2" s="801"/>
      <c r="E2" s="801"/>
      <c r="F2" s="801"/>
      <c r="G2" s="801"/>
      <c r="H2" s="801"/>
      <c r="I2" s="801"/>
      <c r="J2" s="801"/>
      <c r="K2" s="801"/>
      <c r="L2" s="801"/>
      <c r="M2" s="801"/>
      <c r="N2" s="801"/>
      <c r="O2" s="801"/>
      <c r="P2" s="801"/>
    </row>
    <row r="3" spans="1:18" s="50" customFormat="1" ht="59.25" customHeight="1">
      <c r="A3" s="1939" t="s">
        <v>39</v>
      </c>
      <c r="B3" s="302" t="s">
        <v>521</v>
      </c>
      <c r="C3" s="302" t="s">
        <v>545</v>
      </c>
      <c r="D3" s="302" t="s">
        <v>522</v>
      </c>
      <c r="E3" s="302" t="s">
        <v>523</v>
      </c>
      <c r="F3" s="304" t="s">
        <v>524</v>
      </c>
      <c r="G3" s="303" t="s">
        <v>528</v>
      </c>
      <c r="H3" s="77"/>
      <c r="I3" s="77"/>
      <c r="J3" s="77"/>
      <c r="K3" s="77"/>
      <c r="L3" s="77"/>
      <c r="M3" s="77"/>
      <c r="N3" s="77"/>
      <c r="O3" s="77"/>
      <c r="P3" s="77"/>
      <c r="Q3" s="1567"/>
      <c r="R3" s="1564"/>
    </row>
    <row r="4" spans="1:18" ht="21.75" customHeight="1">
      <c r="A4" s="814" t="s">
        <v>697</v>
      </c>
      <c r="B4" s="1282">
        <v>1461443</v>
      </c>
      <c r="C4" s="1281">
        <v>1778444</v>
      </c>
      <c r="D4" s="1282">
        <v>1609914</v>
      </c>
      <c r="E4" s="1420">
        <v>168530</v>
      </c>
      <c r="F4" s="1257">
        <v>3239887</v>
      </c>
      <c r="G4" s="1865">
        <v>1.2169095886736603</v>
      </c>
    </row>
    <row r="5" spans="1:18" ht="21.75" customHeight="1">
      <c r="A5" s="814" t="s">
        <v>704</v>
      </c>
      <c r="B5" s="1282">
        <v>1477288</v>
      </c>
      <c r="C5" s="1281">
        <v>1792702</v>
      </c>
      <c r="D5" s="1282">
        <v>1622890</v>
      </c>
      <c r="E5" s="1420">
        <v>169812</v>
      </c>
      <c r="F5" s="1258">
        <v>3269990</v>
      </c>
      <c r="G5" s="1283">
        <v>1.2135088080320153</v>
      </c>
    </row>
    <row r="6" spans="1:18" ht="21.75" customHeight="1">
      <c r="A6" s="814" t="s">
        <v>716</v>
      </c>
      <c r="B6" s="1282">
        <v>1485480</v>
      </c>
      <c r="C6" s="1281">
        <v>1799501</v>
      </c>
      <c r="D6" s="1282">
        <v>1628761</v>
      </c>
      <c r="E6" s="1420">
        <v>170740</v>
      </c>
      <c r="F6" s="1258">
        <v>3284981</v>
      </c>
      <c r="G6" s="1283">
        <v>1.211393623609877</v>
      </c>
    </row>
    <row r="7" spans="1:18" ht="21.75" customHeight="1">
      <c r="A7" s="814" t="s">
        <v>725</v>
      </c>
      <c r="B7" s="1282">
        <v>1488733</v>
      </c>
      <c r="C7" s="1281">
        <v>1799441</v>
      </c>
      <c r="D7" s="1282">
        <v>1627883</v>
      </c>
      <c r="E7" s="1420">
        <v>171558</v>
      </c>
      <c r="F7" s="1258">
        <v>3288174</v>
      </c>
      <c r="G7" s="1283">
        <v>1.2087063294761384</v>
      </c>
    </row>
    <row r="8" spans="1:18" ht="21.75" customHeight="1">
      <c r="A8" s="814" t="s">
        <v>733</v>
      </c>
      <c r="B8" s="1282">
        <v>1494881</v>
      </c>
      <c r="C8" s="1281">
        <v>1809200</v>
      </c>
      <c r="D8" s="1282">
        <v>1637216</v>
      </c>
      <c r="E8" s="1420">
        <v>171984</v>
      </c>
      <c r="F8" s="1258">
        <v>3304081</v>
      </c>
      <c r="G8" s="1283">
        <v>1.2102635594405173</v>
      </c>
    </row>
    <row r="9" spans="1:18" ht="21.75" customHeight="1">
      <c r="A9" s="814" t="s">
        <v>737</v>
      </c>
      <c r="B9" s="1282">
        <v>1486725</v>
      </c>
      <c r="C9" s="1281">
        <v>1811197</v>
      </c>
      <c r="D9" s="1282">
        <v>1638150</v>
      </c>
      <c r="E9" s="1420">
        <v>173047</v>
      </c>
      <c r="F9" s="1258">
        <v>3297922</v>
      </c>
      <c r="G9" s="1283">
        <v>1.2182461450503623</v>
      </c>
    </row>
    <row r="10" spans="1:18" ht="21.75" customHeight="1">
      <c r="A10" s="814" t="s">
        <v>923</v>
      </c>
      <c r="B10" s="1282">
        <v>1507727</v>
      </c>
      <c r="C10" s="1281">
        <v>1828003</v>
      </c>
      <c r="D10" s="1282">
        <v>1653134</v>
      </c>
      <c r="E10" s="1420">
        <v>174869</v>
      </c>
      <c r="F10" s="1258">
        <v>3335730</v>
      </c>
      <c r="G10" s="1283">
        <v>1.2124230712854516</v>
      </c>
      <c r="Q10" s="1972"/>
    </row>
    <row r="11" spans="1:18" s="1458" customFormat="1" ht="21.75" customHeight="1">
      <c r="A11" s="814" t="s">
        <v>942</v>
      </c>
      <c r="B11" s="1282">
        <v>1516835</v>
      </c>
      <c r="C11" s="1281">
        <v>1835864</v>
      </c>
      <c r="D11" s="1282">
        <v>1659943</v>
      </c>
      <c r="E11" s="1420">
        <v>175921</v>
      </c>
      <c r="F11" s="1258">
        <v>3352699</v>
      </c>
      <c r="G11" s="1283">
        <v>1.210325447395399</v>
      </c>
      <c r="Q11" s="1972"/>
      <c r="R11" s="1346"/>
    </row>
    <row r="12" spans="1:18" s="1458" customFormat="1" ht="21.75" customHeight="1">
      <c r="A12" s="814" t="s">
        <v>952</v>
      </c>
      <c r="B12" s="1282">
        <v>1513634</v>
      </c>
      <c r="C12" s="1281">
        <v>1826204</v>
      </c>
      <c r="D12" s="1282">
        <v>1649407</v>
      </c>
      <c r="E12" s="1420">
        <v>176797</v>
      </c>
      <c r="F12" s="1258">
        <v>3352699</v>
      </c>
      <c r="G12" s="1283">
        <v>1.2065030251698892</v>
      </c>
      <c r="Q12" s="1972"/>
      <c r="R12" s="1346"/>
    </row>
    <row r="13" spans="1:18" ht="21.75" customHeight="1">
      <c r="A13" s="814" t="s">
        <v>970</v>
      </c>
      <c r="B13" s="1282">
        <v>1519938</v>
      </c>
      <c r="C13" s="1281">
        <v>1843930</v>
      </c>
      <c r="D13" s="1282">
        <v>1666570</v>
      </c>
      <c r="E13" s="1420">
        <v>177360</v>
      </c>
      <c r="F13" s="1258">
        <v>3363868</v>
      </c>
      <c r="G13" s="1283">
        <v>1.2131613263172576</v>
      </c>
      <c r="H13" s="156"/>
      <c r="I13" s="156" t="s">
        <v>988</v>
      </c>
      <c r="Q13" s="1972"/>
    </row>
    <row r="14" spans="1:18" s="1458" customFormat="1" ht="21.75" customHeight="1">
      <c r="A14" s="814" t="s">
        <v>974</v>
      </c>
      <c r="B14" s="1282">
        <v>1524338</v>
      </c>
      <c r="C14" s="1281">
        <v>1851093</v>
      </c>
      <c r="D14" s="1282">
        <v>1674171</v>
      </c>
      <c r="E14" s="1420">
        <v>176922</v>
      </c>
      <c r="F14" s="1258">
        <v>3375431</v>
      </c>
      <c r="G14" s="1283">
        <v>1.2143586264988473</v>
      </c>
      <c r="H14" s="156"/>
      <c r="I14" s="156"/>
      <c r="Q14" s="1972"/>
      <c r="R14" s="1346"/>
    </row>
    <row r="15" spans="1:18" ht="21.75" customHeight="1">
      <c r="A15" s="814" t="s">
        <v>987</v>
      </c>
      <c r="B15" s="1282">
        <v>1572762</v>
      </c>
      <c r="C15" s="1281">
        <v>1887119</v>
      </c>
      <c r="D15" s="1282">
        <v>1707643</v>
      </c>
      <c r="E15" s="1420">
        <v>179476</v>
      </c>
      <c r="F15" s="1258">
        <v>3459881</v>
      </c>
      <c r="G15" s="1283">
        <v>1.1998757599687684</v>
      </c>
      <c r="H15" s="1430"/>
      <c r="I15" s="31"/>
      <c r="J15" s="31"/>
      <c r="K15" s="31"/>
      <c r="L15" s="31"/>
      <c r="M15" s="31"/>
      <c r="N15" s="31"/>
      <c r="O15" s="31"/>
      <c r="P15" s="31"/>
      <c r="Q15" s="1968"/>
    </row>
    <row r="16" spans="1:18" ht="25.5" customHeight="1">
      <c r="A16" s="1936" t="s">
        <v>1001</v>
      </c>
      <c r="B16" s="1286">
        <v>1578127</v>
      </c>
      <c r="C16" s="1285">
        <f>+D16+E16</f>
        <v>1895653</v>
      </c>
      <c r="D16" s="1286">
        <v>1714635</v>
      </c>
      <c r="E16" s="1421">
        <v>181018</v>
      </c>
      <c r="F16" s="1383">
        <f>+B16+C16</f>
        <v>3473780</v>
      </c>
      <c r="G16" s="1287">
        <f t="shared" ref="G16" si="0">C16/B16</f>
        <v>1.2012043390677682</v>
      </c>
      <c r="H16" s="31"/>
      <c r="I16" s="31"/>
      <c r="J16" s="31"/>
      <c r="K16" s="31"/>
      <c r="L16" s="31"/>
      <c r="M16" s="31"/>
      <c r="N16" s="31"/>
      <c r="O16" s="31"/>
      <c r="P16" s="31"/>
      <c r="Q16" s="1968"/>
    </row>
    <row r="17" spans="1:26" ht="25.5" customHeight="1">
      <c r="A17" s="2085" t="s">
        <v>529</v>
      </c>
      <c r="B17" s="2085"/>
      <c r="C17" s="2085"/>
      <c r="D17" s="2085"/>
      <c r="E17" s="2085"/>
      <c r="F17" s="2085"/>
      <c r="G17" s="2085"/>
      <c r="H17" s="31"/>
      <c r="I17" s="31"/>
      <c r="J17" s="31"/>
      <c r="K17" s="31"/>
      <c r="L17" s="31"/>
      <c r="M17" s="31"/>
      <c r="N17" s="31"/>
      <c r="O17" s="31"/>
      <c r="P17" s="31"/>
      <c r="Q17" s="1968"/>
    </row>
    <row r="18" spans="1:26" ht="25.5" customHeight="1">
      <c r="A18" s="31"/>
      <c r="B18" s="31"/>
      <c r="C18" s="31"/>
      <c r="D18" s="31"/>
      <c r="E18" s="31"/>
      <c r="F18" s="31"/>
      <c r="G18" s="31"/>
      <c r="H18" s="31"/>
      <c r="I18" s="31"/>
      <c r="J18" s="31"/>
      <c r="K18" s="31"/>
      <c r="L18" s="31"/>
      <c r="M18" s="31"/>
      <c r="N18" s="31"/>
      <c r="O18" s="31"/>
      <c r="P18" s="31"/>
      <c r="Q18" s="1972"/>
    </row>
    <row r="19" spans="1:26" ht="25.5" customHeight="1">
      <c r="A19" s="31"/>
      <c r="B19" s="31"/>
      <c r="C19" s="31"/>
      <c r="D19" s="31"/>
      <c r="E19" s="31"/>
      <c r="F19" s="31"/>
      <c r="G19" s="31"/>
      <c r="H19" s="31"/>
      <c r="I19" s="31"/>
      <c r="J19" s="31"/>
      <c r="K19" s="31"/>
      <c r="L19" s="31"/>
      <c r="M19" s="31"/>
      <c r="N19" s="31"/>
      <c r="O19" s="31"/>
      <c r="P19" s="31"/>
      <c r="Q19" s="1972"/>
    </row>
    <row r="20" spans="1:26" ht="25.5" customHeight="1">
      <c r="A20" s="31"/>
      <c r="B20" s="31"/>
      <c r="C20" s="31"/>
      <c r="D20" s="31"/>
      <c r="E20" s="31"/>
      <c r="F20" s="31"/>
      <c r="G20" s="31"/>
      <c r="H20" s="31"/>
      <c r="I20" s="31"/>
      <c r="J20" s="31"/>
      <c r="K20" s="31"/>
      <c r="L20" s="31"/>
      <c r="M20" s="31"/>
      <c r="N20" s="31"/>
      <c r="O20" s="31"/>
      <c r="P20" s="31"/>
      <c r="Q20" s="1972"/>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c r="Q23" s="1969"/>
    </row>
    <row r="24" spans="1:26" ht="25.5" customHeight="1">
      <c r="A24" s="31"/>
      <c r="B24" s="31"/>
      <c r="C24" s="31"/>
      <c r="D24" s="31"/>
      <c r="E24" s="31"/>
      <c r="F24" s="31"/>
      <c r="G24" s="31"/>
      <c r="H24" s="31"/>
      <c r="I24" s="31"/>
      <c r="J24" s="31"/>
      <c r="K24" s="31"/>
      <c r="L24" s="31"/>
      <c r="M24" s="31"/>
      <c r="N24" s="31"/>
      <c r="O24" s="31"/>
      <c r="P24" s="31"/>
      <c r="Q24" s="1969"/>
    </row>
    <row r="25" spans="1:26" ht="25.5" customHeight="1">
      <c r="A25" s="31"/>
      <c r="B25" s="31"/>
      <c r="C25" s="31"/>
      <c r="D25" s="31"/>
      <c r="E25" s="31"/>
      <c r="F25" s="31"/>
      <c r="G25" s="31"/>
      <c r="H25" s="31"/>
      <c r="I25" s="31"/>
      <c r="J25" s="31"/>
      <c r="K25" s="31"/>
      <c r="L25" s="31"/>
      <c r="M25" s="31"/>
      <c r="N25" s="31"/>
      <c r="O25" s="31"/>
      <c r="P25" s="31"/>
      <c r="Q25" s="1968"/>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ht="25.5" customHeight="1">
      <c r="A29" s="31"/>
      <c r="B29" s="31"/>
      <c r="C29" s="31"/>
      <c r="D29" s="31"/>
      <c r="E29" s="31"/>
      <c r="F29" s="31"/>
      <c r="G29" s="31"/>
      <c r="H29" s="31"/>
      <c r="I29" s="31"/>
      <c r="J29" s="31"/>
      <c r="K29" s="31"/>
      <c r="L29" s="31"/>
      <c r="M29" s="31"/>
      <c r="N29" s="31"/>
      <c r="O29" s="31"/>
      <c r="P29" s="31"/>
    </row>
    <row r="30" spans="1:26">
      <c r="A30" s="31"/>
      <c r="B30" s="31"/>
      <c r="C30" s="31"/>
      <c r="D30" s="31"/>
      <c r="E30" s="31"/>
      <c r="F30" s="31"/>
      <c r="G30" s="31"/>
      <c r="O30" s="95"/>
      <c r="P30" s="95"/>
      <c r="Q30" s="1568"/>
      <c r="R30" s="1565"/>
      <c r="S30" s="96"/>
      <c r="T30" s="96"/>
      <c r="U30" s="96"/>
      <c r="V30" s="96"/>
      <c r="W30" s="96"/>
      <c r="X30" s="96"/>
      <c r="Y30" s="96"/>
      <c r="Z30" s="96"/>
    </row>
    <row r="31" spans="1:26">
      <c r="A31" s="31"/>
      <c r="B31" s="31"/>
      <c r="C31" s="31"/>
      <c r="D31" s="31"/>
      <c r="E31" s="31"/>
      <c r="F31" s="31"/>
      <c r="G31" s="31"/>
      <c r="O31" s="95"/>
      <c r="P31" s="95"/>
      <c r="Q31" s="1568"/>
      <c r="R31" s="1565"/>
      <c r="S31" s="96"/>
      <c r="T31" s="96"/>
      <c r="U31" s="96"/>
      <c r="V31" s="96"/>
      <c r="W31" s="96"/>
      <c r="X31" s="96"/>
      <c r="Y31" s="96"/>
      <c r="Z31" s="96"/>
    </row>
    <row r="32" spans="1:26">
      <c r="O32" s="95"/>
      <c r="P32" s="95"/>
      <c r="Q32" s="1568"/>
      <c r="R32" s="1565"/>
      <c r="S32" s="96"/>
      <c r="T32" s="96"/>
      <c r="U32" s="96"/>
      <c r="V32" s="96"/>
      <c r="W32" s="96"/>
      <c r="X32" s="96"/>
      <c r="Y32" s="96"/>
      <c r="Z32" s="96"/>
    </row>
    <row r="33" spans="1:26">
      <c r="O33" s="95"/>
      <c r="P33" s="95"/>
      <c r="Q33" s="1568"/>
      <c r="R33" s="1565"/>
      <c r="S33" s="96"/>
      <c r="T33" s="96"/>
      <c r="U33" s="96"/>
      <c r="V33" s="96"/>
      <c r="W33" s="96"/>
      <c r="X33" s="96"/>
      <c r="Y33" s="96"/>
      <c r="Z33" s="96"/>
    </row>
    <row r="34" spans="1:26" ht="51" customHeight="1">
      <c r="O34" s="95"/>
      <c r="P34" s="95"/>
      <c r="Q34" s="1568"/>
      <c r="R34" s="1565"/>
      <c r="S34" s="96"/>
      <c r="T34" s="96"/>
      <c r="U34" s="96"/>
      <c r="V34" s="96"/>
      <c r="W34" s="96"/>
      <c r="X34" s="96"/>
      <c r="Y34" s="96"/>
      <c r="Z34" s="96"/>
    </row>
    <row r="35" spans="1:26" ht="78" customHeight="1">
      <c r="H35" s="1697"/>
      <c r="I35" s="1697"/>
      <c r="J35" s="1697"/>
      <c r="K35" s="1697"/>
      <c r="L35" s="1697"/>
      <c r="M35" s="1697"/>
      <c r="N35" s="1697"/>
      <c r="O35" s="1697"/>
      <c r="P35" s="1697"/>
      <c r="Q35" s="1697"/>
      <c r="R35" s="1697"/>
      <c r="S35" s="1697"/>
      <c r="T35" s="1697"/>
      <c r="U35" s="1697"/>
      <c r="V35" s="1697"/>
      <c r="W35" s="1697"/>
      <c r="X35" s="1697"/>
      <c r="Y35" s="96"/>
      <c r="Z35" s="96"/>
    </row>
    <row r="36" spans="1:26">
      <c r="O36" s="96"/>
      <c r="P36" s="96"/>
      <c r="Q36" s="1568"/>
    </row>
    <row r="37" spans="1:26">
      <c r="A37" s="1697"/>
      <c r="B37" s="1697"/>
      <c r="C37" s="1697"/>
      <c r="D37" s="1697"/>
      <c r="E37" s="1697"/>
      <c r="F37" s="1697"/>
      <c r="G37" s="1697"/>
      <c r="O37" s="96"/>
      <c r="P37" s="96"/>
      <c r="Q37" s="1568"/>
    </row>
    <row r="38" spans="1:26">
      <c r="O38" s="96"/>
      <c r="P38" s="96"/>
      <c r="Q38" s="1568"/>
    </row>
    <row r="39" spans="1:26">
      <c r="O39" s="96"/>
      <c r="P39" s="96"/>
      <c r="Q39" s="1568"/>
    </row>
    <row r="40" spans="1:26">
      <c r="O40" s="96"/>
      <c r="P40" s="96"/>
      <c r="Q40" s="1568"/>
    </row>
    <row r="41" spans="1:26">
      <c r="O41" s="96"/>
      <c r="P41" s="96"/>
      <c r="Q41" s="1568"/>
      <c r="R41" s="1565"/>
      <c r="S41" s="96"/>
      <c r="T41" s="96"/>
      <c r="U41" s="96"/>
      <c r="V41" s="96"/>
      <c r="W41" s="96"/>
      <c r="X41" s="96"/>
      <c r="Y41" s="96"/>
      <c r="Z41" s="96"/>
    </row>
    <row r="42" spans="1:26">
      <c r="O42" s="96"/>
      <c r="P42" s="96"/>
      <c r="Q42" s="1568"/>
      <c r="R42" s="1565"/>
      <c r="S42" s="96"/>
      <c r="T42" s="96"/>
      <c r="U42" s="96"/>
      <c r="V42" s="96"/>
      <c r="W42" s="96"/>
      <c r="X42" s="96"/>
      <c r="Y42" s="96"/>
      <c r="Z42" s="96"/>
    </row>
    <row r="43" spans="1:26">
      <c r="O43" s="96"/>
      <c r="P43" s="96"/>
      <c r="Q43" s="1568"/>
      <c r="R43" s="1565"/>
      <c r="S43" s="96"/>
      <c r="T43" s="96"/>
      <c r="U43" s="96"/>
      <c r="V43" s="96"/>
      <c r="W43" s="96"/>
      <c r="X43" s="96"/>
      <c r="Y43" s="96"/>
      <c r="Z43" s="96"/>
    </row>
    <row r="44" spans="1:26">
      <c r="O44" s="96"/>
      <c r="P44" s="96"/>
      <c r="Q44" s="1568"/>
      <c r="R44" s="1565"/>
      <c r="S44" s="96"/>
      <c r="T44" s="96"/>
      <c r="U44" s="96"/>
      <c r="V44" s="96"/>
      <c r="W44" s="96"/>
      <c r="X44" s="96"/>
      <c r="Y44" s="96"/>
      <c r="Z44" s="96"/>
    </row>
    <row r="45" spans="1:26">
      <c r="O45" s="96"/>
      <c r="P45" s="96"/>
      <c r="Q45" s="1568"/>
      <c r="R45" s="1565"/>
      <c r="S45" s="96"/>
      <c r="T45" s="96"/>
      <c r="U45" s="96"/>
      <c r="V45" s="96"/>
      <c r="W45" s="96"/>
      <c r="X45" s="96"/>
      <c r="Y45" s="96"/>
      <c r="Z45" s="96"/>
    </row>
    <row r="46" spans="1:26">
      <c r="O46" s="96"/>
      <c r="P46" s="96"/>
      <c r="Q46" s="1568"/>
      <c r="R46" s="1565"/>
      <c r="S46" s="96"/>
      <c r="T46" s="96"/>
      <c r="U46" s="96"/>
      <c r="V46" s="96"/>
      <c r="W46" s="96"/>
      <c r="X46" s="96"/>
      <c r="Y46" s="96"/>
      <c r="Z46" s="96"/>
    </row>
    <row r="47" spans="1:26">
      <c r="H47" s="96"/>
      <c r="I47" s="96"/>
      <c r="J47" s="96"/>
      <c r="K47" s="96"/>
      <c r="L47" s="96"/>
      <c r="M47" s="96"/>
      <c r="N47" s="96"/>
      <c r="O47" s="96"/>
      <c r="P47" s="96"/>
      <c r="Q47" s="1568"/>
      <c r="R47" s="1565"/>
      <c r="S47" s="96"/>
      <c r="T47" s="96"/>
      <c r="U47" s="96"/>
      <c r="V47" s="96"/>
      <c r="W47" s="96"/>
      <c r="X47" s="96"/>
      <c r="Y47" s="96"/>
      <c r="Z47" s="96"/>
    </row>
    <row r="49" spans="2:7">
      <c r="B49" s="96"/>
      <c r="C49" s="96"/>
      <c r="D49" s="96"/>
      <c r="E49" s="96"/>
      <c r="F49" s="96"/>
      <c r="G49" s="96"/>
    </row>
    <row r="66" spans="18:23">
      <c r="R66" s="1565"/>
      <c r="S66" s="96"/>
      <c r="T66" s="96"/>
      <c r="U66" s="96"/>
      <c r="V66" s="96"/>
      <c r="W66" s="96"/>
    </row>
    <row r="67" spans="18:23">
      <c r="R67" s="1565"/>
      <c r="S67" s="96"/>
      <c r="T67" s="96"/>
      <c r="U67" s="96"/>
      <c r="V67" s="96"/>
      <c r="W67" s="96"/>
    </row>
    <row r="68" spans="18:23">
      <c r="R68" s="1565"/>
      <c r="S68" s="96"/>
      <c r="T68" s="96"/>
      <c r="U68" s="96"/>
      <c r="V68" s="96"/>
      <c r="W68" s="96"/>
    </row>
    <row r="69" spans="18:23">
      <c r="R69" s="1565"/>
      <c r="S69" s="96"/>
      <c r="T69" s="96"/>
      <c r="U69" s="96"/>
      <c r="V69" s="96"/>
      <c r="W69" s="96"/>
    </row>
    <row r="70" spans="18:23">
      <c r="R70" s="1565"/>
      <c r="S70" s="96"/>
      <c r="T70" s="96"/>
      <c r="U70" s="96"/>
      <c r="V70" s="96"/>
      <c r="W70" s="96"/>
    </row>
    <row r="71" spans="18:23">
      <c r="R71" s="1565"/>
      <c r="S71" s="96"/>
      <c r="T71" s="96"/>
      <c r="U71" s="96"/>
      <c r="V71" s="96"/>
      <c r="W71" s="96"/>
    </row>
    <row r="72" spans="18:23">
      <c r="R72" s="1565"/>
      <c r="S72" s="96"/>
      <c r="T72" s="96"/>
      <c r="U72" s="96"/>
      <c r="V72" s="96"/>
      <c r="W72" s="96"/>
    </row>
    <row r="73" spans="18:23">
      <c r="R73" s="1565"/>
      <c r="S73" s="96"/>
      <c r="T73" s="96"/>
      <c r="U73" s="96"/>
      <c r="V73" s="96"/>
      <c r="W73" s="96"/>
    </row>
    <row r="83" spans="18:23">
      <c r="R83" s="1565"/>
      <c r="S83" s="96"/>
      <c r="T83" s="96"/>
      <c r="U83" s="96"/>
      <c r="V83" s="96"/>
      <c r="W83" s="96"/>
    </row>
    <row r="84" spans="18:23">
      <c r="R84" s="1565"/>
      <c r="S84" s="96"/>
      <c r="T84" s="96"/>
      <c r="U84" s="96"/>
      <c r="V84" s="96"/>
      <c r="W84" s="96"/>
    </row>
    <row r="85" spans="18:23">
      <c r="R85" s="1565"/>
      <c r="S85" s="96"/>
      <c r="T85" s="96"/>
      <c r="U85" s="96"/>
      <c r="V85" s="96"/>
      <c r="W85" s="96"/>
    </row>
    <row r="86" spans="18:23">
      <c r="R86" s="1565"/>
      <c r="S86" s="96"/>
      <c r="T86" s="96"/>
      <c r="U86" s="96"/>
      <c r="V86" s="96"/>
      <c r="W86" s="96"/>
    </row>
  </sheetData>
  <mergeCells count="2">
    <mergeCell ref="A1:P1"/>
    <mergeCell ref="A17:G17"/>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E90"/>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J9" sqref="J9"/>
    </sheetView>
  </sheetViews>
  <sheetFormatPr baseColWidth="10" defaultColWidth="11.42578125" defaultRowHeight="15"/>
  <cols>
    <col min="1" max="1" width="16.7109375" style="197" customWidth="1"/>
    <col min="2" max="2" width="32.140625" style="1480" customWidth="1"/>
    <col min="3" max="3" width="32.42578125" style="1480" customWidth="1"/>
    <col min="4" max="4" width="30.5703125" style="1480" customWidth="1"/>
    <col min="5" max="5" width="33.140625" style="1480" customWidth="1"/>
    <col min="6" max="6" width="26.28515625" style="77" customWidth="1"/>
    <col min="7" max="7" width="23.85546875" style="77" customWidth="1"/>
    <col min="8" max="8" width="17.7109375" style="77" customWidth="1"/>
    <col min="9" max="9" width="20.7109375" style="77" customWidth="1"/>
    <col min="10" max="10" width="16.85546875" style="77" customWidth="1"/>
    <col min="11" max="11" width="14.5703125" style="77" customWidth="1"/>
    <col min="12" max="12" width="15" style="77" customWidth="1"/>
    <col min="13" max="13" width="17.28515625" style="77" customWidth="1"/>
    <col min="14" max="15" width="12.5703125" style="77" customWidth="1"/>
    <col min="16" max="16" width="13.28515625" style="77" customWidth="1"/>
    <col min="17" max="17" width="25.28515625" style="77" customWidth="1"/>
    <col min="18" max="18" width="20.42578125" style="77" customWidth="1"/>
    <col min="19" max="19" width="14.7109375" style="77" customWidth="1"/>
    <col min="20" max="20" width="13" style="77" customWidth="1"/>
    <col min="21" max="24" width="11.42578125" style="77"/>
    <col min="25" max="25" width="18.7109375" style="77" bestFit="1" customWidth="1"/>
    <col min="26" max="16384" width="11.42578125" style="77"/>
  </cols>
  <sheetData>
    <row r="1" spans="1:31" ht="104.25" customHeight="1">
      <c r="A1" s="2065"/>
      <c r="B1" s="2065"/>
      <c r="C1" s="2065"/>
      <c r="D1" s="2065"/>
      <c r="E1" s="2065"/>
      <c r="F1" s="2065"/>
      <c r="G1" s="2065"/>
      <c r="H1" s="2065"/>
      <c r="I1" s="2065"/>
      <c r="J1" s="2065"/>
      <c r="K1" s="2065"/>
      <c r="L1" s="2065"/>
      <c r="M1" s="2065"/>
      <c r="N1" s="2065"/>
      <c r="O1" s="2065"/>
      <c r="P1" s="2065"/>
    </row>
    <row r="2" spans="1:31" s="39" customFormat="1" ht="8.25" customHeight="1">
      <c r="A2" s="1575"/>
      <c r="B2" s="1262"/>
      <c r="C2" s="1262"/>
      <c r="D2" s="1262"/>
      <c r="E2" s="1262"/>
      <c r="F2" s="710"/>
      <c r="G2" s="710"/>
      <c r="H2" s="180"/>
      <c r="I2" s="180"/>
      <c r="J2" s="180"/>
      <c r="K2" s="180"/>
      <c r="L2" s="180"/>
      <c r="M2" s="180"/>
      <c r="N2" s="180"/>
      <c r="O2" s="180"/>
      <c r="P2" s="180"/>
    </row>
    <row r="3" spans="1:31" ht="80.25" customHeight="1">
      <c r="A3" s="1554" t="s">
        <v>227</v>
      </c>
      <c r="B3" s="344" t="s">
        <v>714</v>
      </c>
      <c r="C3" s="343" t="s">
        <v>631</v>
      </c>
      <c r="D3" s="343" t="s">
        <v>632</v>
      </c>
      <c r="E3" s="343" t="s">
        <v>633</v>
      </c>
      <c r="F3" s="344" t="s">
        <v>634</v>
      </c>
      <c r="G3" s="345" t="s">
        <v>528</v>
      </c>
      <c r="H3"/>
      <c r="I3"/>
      <c r="J3"/>
      <c r="K3"/>
      <c r="L3"/>
      <c r="M3"/>
      <c r="N3"/>
      <c r="O3"/>
      <c r="P3"/>
      <c r="Q3" s="24"/>
      <c r="R3" s="24"/>
      <c r="S3" s="24"/>
      <c r="T3" s="24"/>
    </row>
    <row r="4" spans="1:31" s="1225" customFormat="1" ht="18.75">
      <c r="A4" s="1698" t="s">
        <v>460</v>
      </c>
      <c r="B4" s="1481">
        <v>1005990</v>
      </c>
      <c r="C4" s="1026">
        <f t="shared" ref="C4:C9" si="0">D4+E4</f>
        <v>593477</v>
      </c>
      <c r="D4" s="1025">
        <v>586713</v>
      </c>
      <c r="E4" s="1025">
        <v>6764</v>
      </c>
      <c r="F4" s="1569">
        <f t="shared" ref="F4:F11" si="1">+B4+D4+E4</f>
        <v>1599467</v>
      </c>
      <c r="G4" s="1570">
        <f t="shared" ref="G4:G11" si="2">C4/B4</f>
        <v>0.58994323999244525</v>
      </c>
      <c r="R4" s="270"/>
      <c r="S4" s="270"/>
      <c r="T4" s="270"/>
    </row>
    <row r="5" spans="1:31" s="1225" customFormat="1" ht="18.75">
      <c r="A5" s="1698" t="s">
        <v>461</v>
      </c>
      <c r="B5" s="1481">
        <v>992746</v>
      </c>
      <c r="C5" s="1026">
        <f t="shared" si="0"/>
        <v>736925</v>
      </c>
      <c r="D5" s="1025">
        <v>718099</v>
      </c>
      <c r="E5" s="1025">
        <v>18826</v>
      </c>
      <c r="F5" s="1569">
        <f t="shared" si="1"/>
        <v>1729671</v>
      </c>
      <c r="G5" s="1570">
        <f t="shared" si="2"/>
        <v>0.74230971467021778</v>
      </c>
      <c r="Q5" s="1571"/>
      <c r="R5" s="270"/>
      <c r="S5" s="270"/>
      <c r="T5" s="270"/>
    </row>
    <row r="6" spans="1:31" s="1225" customFormat="1" ht="18.75">
      <c r="A6" s="1698" t="s">
        <v>187</v>
      </c>
      <c r="B6" s="1481">
        <v>1084705</v>
      </c>
      <c r="C6" s="1026">
        <f t="shared" si="0"/>
        <v>1011527</v>
      </c>
      <c r="D6" s="1025">
        <v>965195</v>
      </c>
      <c r="E6" s="1025">
        <v>46332</v>
      </c>
      <c r="F6" s="1569">
        <f t="shared" si="1"/>
        <v>2096232</v>
      </c>
      <c r="G6" s="1570">
        <f t="shared" si="2"/>
        <v>0.93253649609801748</v>
      </c>
      <c r="Q6" s="1571"/>
      <c r="R6" s="270"/>
      <c r="S6" s="270"/>
      <c r="T6" s="270"/>
    </row>
    <row r="7" spans="1:31" s="1225" customFormat="1" ht="18.75">
      <c r="A7" s="1698" t="s">
        <v>188</v>
      </c>
      <c r="B7" s="1481">
        <v>1183463</v>
      </c>
      <c r="C7" s="1026">
        <f t="shared" si="0"/>
        <v>1234529</v>
      </c>
      <c r="D7" s="1025">
        <v>1163938</v>
      </c>
      <c r="E7" s="1025">
        <v>70591</v>
      </c>
      <c r="F7" s="1569">
        <f t="shared" si="1"/>
        <v>2417992</v>
      </c>
      <c r="G7" s="1570">
        <f t="shared" si="2"/>
        <v>1.043149637969248</v>
      </c>
      <c r="Q7" s="1571"/>
      <c r="R7" s="270"/>
      <c r="S7" s="270"/>
      <c r="T7" s="270"/>
    </row>
    <row r="8" spans="1:31" s="1225" customFormat="1" ht="18.75">
      <c r="A8" s="1698" t="s">
        <v>462</v>
      </c>
      <c r="B8" s="1481">
        <v>1224959</v>
      </c>
      <c r="C8" s="1026">
        <f t="shared" si="0"/>
        <v>1361984</v>
      </c>
      <c r="D8" s="1025">
        <v>1266038</v>
      </c>
      <c r="E8" s="1025">
        <v>95946</v>
      </c>
      <c r="F8" s="1569">
        <f t="shared" si="1"/>
        <v>2586943</v>
      </c>
      <c r="G8" s="1570">
        <f t="shared" si="2"/>
        <v>1.1118608867725368</v>
      </c>
      <c r="Q8" s="1571"/>
      <c r="R8" s="270"/>
      <c r="S8" s="270"/>
      <c r="T8" s="270"/>
    </row>
    <row r="9" spans="1:31" s="1225" customFormat="1" ht="18.75">
      <c r="A9" s="1698" t="s">
        <v>463</v>
      </c>
      <c r="B9" s="1481">
        <v>1270865</v>
      </c>
      <c r="C9" s="1026">
        <f t="shared" si="0"/>
        <v>1476870</v>
      </c>
      <c r="D9" s="1025">
        <v>1362366</v>
      </c>
      <c r="E9" s="1025">
        <v>114504</v>
      </c>
      <c r="F9" s="1569">
        <f t="shared" si="1"/>
        <v>2747735</v>
      </c>
      <c r="G9" s="1570">
        <f t="shared" si="2"/>
        <v>1.1620982559123116</v>
      </c>
      <c r="Q9" s="1571"/>
      <c r="R9" s="270"/>
      <c r="S9" s="270"/>
      <c r="T9" s="270"/>
    </row>
    <row r="10" spans="1:31" s="1225" customFormat="1" ht="18.75">
      <c r="A10" s="1698" t="s">
        <v>525</v>
      </c>
      <c r="B10" s="1481">
        <v>1353109</v>
      </c>
      <c r="C10" s="1026">
        <f>D10+E10</f>
        <v>1612217</v>
      </c>
      <c r="D10" s="1025">
        <v>1478208</v>
      </c>
      <c r="E10" s="1025">
        <v>134009</v>
      </c>
      <c r="F10" s="1569">
        <f t="shared" si="1"/>
        <v>2965326</v>
      </c>
      <c r="G10" s="1570">
        <f t="shared" si="2"/>
        <v>1.1914908555038803</v>
      </c>
      <c r="Q10" s="1571"/>
      <c r="R10" s="270"/>
      <c r="S10" s="270"/>
      <c r="T10" s="270"/>
    </row>
    <row r="11" spans="1:31" s="1225" customFormat="1" ht="18" customHeight="1">
      <c r="A11" s="1698" t="s">
        <v>544</v>
      </c>
      <c r="B11" s="1481">
        <v>1451773</v>
      </c>
      <c r="C11" s="1026">
        <f>D11+E11</f>
        <v>1773174</v>
      </c>
      <c r="D11" s="1025">
        <v>1621827</v>
      </c>
      <c r="E11" s="1025">
        <v>151347</v>
      </c>
      <c r="F11" s="1569">
        <f t="shared" si="1"/>
        <v>3224947</v>
      </c>
      <c r="G11" s="1570">
        <f t="shared" si="2"/>
        <v>1.2213851614543045</v>
      </c>
      <c r="K11" s="1572"/>
      <c r="L11" s="1572"/>
      <c r="M11" s="1572"/>
      <c r="N11" s="1572"/>
      <c r="O11" s="1572"/>
      <c r="P11" s="1572"/>
      <c r="Q11" s="1571"/>
      <c r="R11" s="270"/>
      <c r="S11" s="270"/>
      <c r="T11" s="270"/>
    </row>
    <row r="12" spans="1:31" s="1225" customFormat="1" ht="18" customHeight="1">
      <c r="A12" s="1698" t="s">
        <v>954</v>
      </c>
      <c r="B12" s="1481">
        <v>1544927</v>
      </c>
      <c r="C12" s="1026">
        <v>1862134</v>
      </c>
      <c r="D12" s="1025">
        <v>1683703</v>
      </c>
      <c r="E12" s="1025">
        <v>178431</v>
      </c>
      <c r="F12" s="1569">
        <f t="shared" ref="F12" si="3">+B12+D12+E12</f>
        <v>3407061</v>
      </c>
      <c r="G12" s="1570">
        <f t="shared" ref="G12" si="4">C12/B12</f>
        <v>1.2053216753930769</v>
      </c>
      <c r="J12" s="1572"/>
      <c r="K12" s="1572"/>
      <c r="L12" s="1572"/>
      <c r="M12" s="1572"/>
      <c r="N12" s="1572"/>
      <c r="O12" s="1572"/>
      <c r="P12" s="1572"/>
      <c r="Q12" s="270"/>
      <c r="R12" s="270"/>
      <c r="S12" s="270"/>
      <c r="T12" s="270"/>
    </row>
    <row r="13" spans="1:31" ht="18.75">
      <c r="A13" s="1699" t="s">
        <v>1004</v>
      </c>
      <c r="B13" s="1482">
        <v>1613308</v>
      </c>
      <c r="C13" s="1319">
        <f>D13+E13</f>
        <v>1947575</v>
      </c>
      <c r="D13" s="1318">
        <v>1765025</v>
      </c>
      <c r="E13" s="1318">
        <v>182550</v>
      </c>
      <c r="F13" s="1573">
        <f>+B13+D13+E13</f>
        <v>3560883</v>
      </c>
      <c r="G13" s="1574">
        <f>C13/B13</f>
        <v>1.2071935427085219</v>
      </c>
      <c r="H13" s="31"/>
      <c r="I13" s="31"/>
      <c r="J13" s="31"/>
      <c r="K13" s="31"/>
      <c r="L13" s="31"/>
      <c r="M13" s="31"/>
      <c r="N13" s="31"/>
      <c r="O13" s="31"/>
      <c r="P13" s="31"/>
      <c r="Q13" s="31"/>
      <c r="R13" s="31"/>
      <c r="S13" s="31"/>
      <c r="T13" s="31"/>
    </row>
    <row r="14" spans="1:31" ht="25.5" customHeight="1">
      <c r="A14" s="1920" t="s">
        <v>979</v>
      </c>
      <c r="B14" s="1483"/>
      <c r="C14" s="1483"/>
      <c r="D14" s="1483"/>
      <c r="E14" s="1483"/>
      <c r="F14" s="31"/>
      <c r="G14" s="31"/>
      <c r="H14" s="31"/>
      <c r="I14" s="31"/>
      <c r="J14" s="31"/>
      <c r="K14" s="31"/>
      <c r="L14" s="31"/>
      <c r="M14" s="31"/>
      <c r="N14" s="31"/>
      <c r="O14" s="31"/>
      <c r="P14" s="31"/>
      <c r="Q14" s="31"/>
      <c r="R14" s="31"/>
      <c r="S14" s="31"/>
      <c r="T14" s="31"/>
      <c r="AE14" s="77" t="s">
        <v>31</v>
      </c>
    </row>
    <row r="15" spans="1:31" ht="25.5" customHeight="1">
      <c r="A15" s="31"/>
      <c r="B15" s="1483"/>
      <c r="C15" s="1483"/>
      <c r="D15" s="1483"/>
      <c r="E15" s="1483"/>
      <c r="F15" s="31"/>
      <c r="G15" s="31"/>
      <c r="H15" s="31"/>
      <c r="I15" s="31"/>
      <c r="J15" s="31"/>
      <c r="K15" s="31"/>
      <c r="L15" s="31"/>
      <c r="M15" s="31"/>
      <c r="N15" s="31"/>
      <c r="O15" s="31"/>
      <c r="P15" s="31"/>
      <c r="Q15" s="31"/>
      <c r="R15" s="31"/>
      <c r="S15" s="31"/>
      <c r="T15" s="31"/>
    </row>
    <row r="16" spans="1:31" ht="25.5" customHeight="1">
      <c r="A16" s="31"/>
      <c r="B16" s="1483"/>
      <c r="C16" s="1483"/>
      <c r="D16" s="1483"/>
      <c r="E16" s="1483"/>
      <c r="F16" s="31"/>
      <c r="G16" s="31"/>
      <c r="H16" s="31"/>
      <c r="I16" s="31"/>
      <c r="J16" s="31"/>
      <c r="K16" s="31"/>
      <c r="L16" s="31"/>
      <c r="M16" s="31"/>
      <c r="N16" s="31"/>
      <c r="O16" s="31"/>
      <c r="P16" s="31"/>
      <c r="Q16" s="31"/>
      <c r="R16" s="31"/>
      <c r="S16" s="31"/>
      <c r="T16" s="31"/>
    </row>
    <row r="17" spans="1:21" ht="25.5" customHeight="1">
      <c r="A17" s="31"/>
      <c r="B17" s="1483"/>
      <c r="C17" s="1483"/>
      <c r="D17" s="1483"/>
      <c r="E17" s="1483"/>
      <c r="F17" s="31"/>
      <c r="G17" s="31"/>
      <c r="H17" s="31"/>
      <c r="I17" s="31"/>
      <c r="J17" s="31"/>
      <c r="K17" s="31"/>
      <c r="L17" s="31"/>
      <c r="M17" s="31"/>
      <c r="N17" s="31"/>
      <c r="O17" s="31"/>
      <c r="P17" s="31"/>
      <c r="Q17" s="31"/>
      <c r="R17" s="31"/>
      <c r="S17" s="31"/>
      <c r="T17" s="31"/>
    </row>
    <row r="18" spans="1:21" ht="25.5" customHeight="1">
      <c r="A18" s="31"/>
      <c r="B18" s="1483"/>
      <c r="C18" s="1483"/>
      <c r="D18" s="1483"/>
      <c r="E18" s="1483"/>
      <c r="F18" s="31"/>
      <c r="G18" s="31"/>
      <c r="H18" s="31"/>
      <c r="I18" s="31"/>
      <c r="J18" s="31"/>
      <c r="K18" s="31"/>
      <c r="L18" s="31"/>
      <c r="M18" s="31"/>
      <c r="N18" s="31"/>
      <c r="O18" s="31"/>
      <c r="P18" s="31"/>
      <c r="Q18" s="31"/>
      <c r="R18" s="31"/>
      <c r="S18" s="31"/>
      <c r="T18" s="31"/>
    </row>
    <row r="19" spans="1:21" ht="25.5" customHeight="1">
      <c r="A19" s="31"/>
      <c r="B19" s="1483"/>
      <c r="C19" s="1483"/>
      <c r="D19" s="1483"/>
      <c r="E19" s="1483"/>
      <c r="F19" s="31"/>
      <c r="G19" s="31"/>
      <c r="H19" s="31"/>
      <c r="I19" s="31"/>
      <c r="J19" s="31"/>
      <c r="K19" s="31"/>
      <c r="L19" s="31"/>
      <c r="M19" s="31"/>
      <c r="N19" s="31"/>
      <c r="O19" s="31"/>
      <c r="P19" s="31"/>
      <c r="Q19" s="31"/>
      <c r="R19" s="31"/>
      <c r="S19" s="31"/>
      <c r="T19" s="31"/>
    </row>
    <row r="20" spans="1:21" ht="25.5" customHeight="1">
      <c r="A20" s="31"/>
      <c r="B20" s="1483"/>
      <c r="C20" s="1483"/>
      <c r="D20" s="1483"/>
      <c r="E20" s="1483"/>
      <c r="F20" s="31"/>
      <c r="G20" s="31"/>
      <c r="H20" s="31"/>
      <c r="I20" s="31"/>
      <c r="J20" s="31"/>
      <c r="K20" s="31"/>
      <c r="L20" s="31"/>
      <c r="M20" s="31"/>
      <c r="N20" s="31"/>
      <c r="O20" s="31"/>
      <c r="P20" s="31"/>
      <c r="Q20" s="31"/>
      <c r="R20" s="31"/>
      <c r="S20" s="31"/>
      <c r="T20" s="31"/>
    </row>
    <row r="21" spans="1:21" ht="25.5" customHeight="1">
      <c r="A21" s="31"/>
      <c r="B21" s="1483"/>
      <c r="C21" s="1483"/>
      <c r="D21" s="1483"/>
      <c r="E21" s="1483"/>
      <c r="F21" s="31"/>
      <c r="G21" s="31"/>
      <c r="H21" s="31"/>
      <c r="I21" s="31"/>
      <c r="J21" s="31"/>
      <c r="K21" s="31"/>
      <c r="L21" s="31"/>
      <c r="M21" s="31"/>
      <c r="N21" s="31"/>
      <c r="O21" s="31"/>
      <c r="P21" s="31"/>
      <c r="Q21" s="31"/>
      <c r="R21" s="31"/>
      <c r="S21" s="31"/>
      <c r="T21" s="31"/>
    </row>
    <row r="22" spans="1:21" ht="25.5" customHeight="1">
      <c r="A22" s="31"/>
      <c r="B22" s="1483"/>
      <c r="C22" s="1483"/>
      <c r="D22" s="1483"/>
      <c r="E22" s="1483"/>
      <c r="F22" s="31"/>
      <c r="G22" s="31"/>
      <c r="H22" s="31"/>
      <c r="I22" s="31"/>
      <c r="J22" s="31"/>
      <c r="K22" s="31"/>
      <c r="L22" s="31"/>
      <c r="M22" s="31"/>
      <c r="N22" s="31"/>
      <c r="O22" s="31"/>
      <c r="P22" s="31"/>
      <c r="Q22" s="31"/>
      <c r="R22" s="31"/>
      <c r="S22" s="31"/>
      <c r="T22" s="31"/>
    </row>
    <row r="23" spans="1:21" ht="25.5" customHeight="1">
      <c r="A23" s="31"/>
      <c r="B23" s="1483"/>
      <c r="C23" s="1483"/>
      <c r="D23" s="1483"/>
      <c r="E23" s="1483"/>
      <c r="F23" s="31"/>
      <c r="G23" s="31"/>
      <c r="H23" s="31"/>
      <c r="I23" s="31"/>
      <c r="J23" s="31"/>
      <c r="K23" s="31"/>
      <c r="L23" s="31"/>
      <c r="M23" s="31"/>
      <c r="N23" s="31"/>
      <c r="O23" s="31"/>
      <c r="P23" s="31"/>
      <c r="Q23" s="31"/>
      <c r="R23" s="31"/>
      <c r="S23" s="31"/>
      <c r="T23" s="31"/>
    </row>
    <row r="24" spans="1:21" ht="25.5" customHeight="1">
      <c r="A24" s="31"/>
      <c r="B24" s="1483"/>
      <c r="C24" s="1483"/>
      <c r="D24" s="1483"/>
      <c r="E24" s="1483"/>
      <c r="F24" s="31"/>
      <c r="G24" s="31"/>
      <c r="H24" s="31"/>
      <c r="I24" s="31"/>
      <c r="J24" s="31"/>
      <c r="K24" s="31"/>
      <c r="L24" s="31"/>
      <c r="M24" s="31"/>
      <c r="N24" s="31"/>
      <c r="O24" s="31"/>
      <c r="P24" s="31"/>
      <c r="Q24" s="31"/>
      <c r="R24" s="31"/>
      <c r="S24" s="31"/>
      <c r="T24" s="31"/>
    </row>
    <row r="25" spans="1:21" ht="25.5" customHeight="1">
      <c r="A25" s="31"/>
      <c r="B25" s="1483"/>
      <c r="C25" s="1483"/>
      <c r="D25" s="1483"/>
      <c r="E25" s="1483"/>
      <c r="F25" s="31"/>
      <c r="G25" s="31"/>
      <c r="H25" s="31"/>
      <c r="I25" s="31"/>
      <c r="J25" s="31"/>
      <c r="K25" s="31"/>
      <c r="L25" s="31"/>
      <c r="M25" s="31"/>
      <c r="N25" s="31"/>
      <c r="O25" s="31"/>
      <c r="P25" s="31"/>
      <c r="Q25" s="31"/>
      <c r="R25" s="31"/>
      <c r="S25" s="31"/>
      <c r="T25" s="31"/>
    </row>
    <row r="26" spans="1:21" ht="25.5" customHeight="1">
      <c r="A26" s="31"/>
      <c r="B26" s="1483"/>
      <c r="C26" s="1483"/>
      <c r="D26" s="1483"/>
      <c r="E26" s="1483"/>
      <c r="F26" s="31"/>
      <c r="G26" s="31"/>
      <c r="H26" s="31"/>
      <c r="I26" s="31"/>
      <c r="J26" s="31"/>
      <c r="K26" s="31"/>
      <c r="L26" s="31"/>
      <c r="M26" s="31"/>
      <c r="N26" s="31"/>
      <c r="O26" s="31"/>
      <c r="P26" s="31"/>
      <c r="Q26" s="31"/>
      <c r="R26" s="31"/>
      <c r="S26" s="31"/>
      <c r="T26" s="31"/>
      <c r="U26" s="77" t="s">
        <v>31</v>
      </c>
    </row>
    <row r="27" spans="1:21" ht="25.5" customHeight="1">
      <c r="A27" s="31"/>
      <c r="B27" s="1483"/>
      <c r="C27" s="1483"/>
      <c r="D27" s="1483"/>
      <c r="E27" s="1483"/>
      <c r="F27" s="31"/>
      <c r="G27" s="31"/>
      <c r="H27" s="31"/>
      <c r="I27" s="31"/>
      <c r="J27" s="31"/>
      <c r="K27" s="31"/>
      <c r="L27" s="31"/>
      <c r="M27" s="31"/>
      <c r="N27" s="31"/>
      <c r="O27" s="31"/>
      <c r="P27" s="31"/>
      <c r="Q27" s="31"/>
      <c r="R27" s="31"/>
      <c r="S27" s="31"/>
      <c r="T27" s="31"/>
    </row>
    <row r="28" spans="1:21" ht="25.5" customHeight="1">
      <c r="A28" s="31"/>
      <c r="B28" s="1483"/>
      <c r="C28" s="1483"/>
      <c r="D28" s="1483"/>
      <c r="E28" s="1483"/>
      <c r="F28" s="31"/>
      <c r="G28" s="31"/>
      <c r="H28" s="31"/>
      <c r="I28" s="31"/>
      <c r="J28" s="31"/>
      <c r="K28" s="31"/>
      <c r="L28" s="31"/>
      <c r="M28" s="31"/>
      <c r="N28" s="31"/>
      <c r="O28" s="31"/>
      <c r="P28" s="31"/>
      <c r="Q28" s="31"/>
      <c r="R28" s="31"/>
      <c r="S28" s="31"/>
      <c r="T28" s="31"/>
    </row>
    <row r="29" spans="1:21" ht="25.5" customHeight="1">
      <c r="A29" s="31"/>
      <c r="B29" s="1483"/>
      <c r="C29" s="1483"/>
      <c r="D29" s="1483"/>
      <c r="E29" s="1483"/>
      <c r="F29" s="31"/>
      <c r="G29" s="31"/>
      <c r="H29" s="31"/>
      <c r="I29" s="31"/>
      <c r="J29" s="31"/>
      <c r="K29" s="31"/>
      <c r="L29" s="31"/>
      <c r="M29" s="31"/>
      <c r="N29" s="31"/>
      <c r="O29" s="31"/>
      <c r="P29" s="31"/>
      <c r="Q29" s="31"/>
      <c r="R29" s="31"/>
      <c r="S29" s="31"/>
      <c r="T29" s="31"/>
    </row>
    <row r="30" spans="1:21" ht="25.5" customHeight="1">
      <c r="A30" s="31"/>
      <c r="B30" s="1483"/>
      <c r="C30" s="1483"/>
      <c r="D30" s="1483"/>
      <c r="E30" s="1483"/>
      <c r="F30" s="31"/>
      <c r="G30" s="31"/>
      <c r="H30" s="31"/>
      <c r="I30" s="31"/>
      <c r="J30" s="31"/>
      <c r="K30" s="31"/>
      <c r="L30" s="31"/>
      <c r="M30" s="31"/>
      <c r="N30" s="31"/>
      <c r="O30" s="31"/>
      <c r="P30" s="31"/>
      <c r="Q30" s="31"/>
      <c r="R30" s="31"/>
      <c r="S30" s="31"/>
      <c r="T30" s="31"/>
    </row>
    <row r="31" spans="1:21" ht="25.5" customHeight="1">
      <c r="A31" s="31"/>
      <c r="B31" s="1483"/>
      <c r="C31" s="1483"/>
      <c r="D31" s="1483"/>
      <c r="E31" s="1483"/>
      <c r="F31" s="31"/>
      <c r="G31" s="31"/>
      <c r="H31" s="31"/>
      <c r="I31" s="31"/>
      <c r="J31" s="31"/>
      <c r="K31" s="31"/>
      <c r="L31" s="31"/>
      <c r="M31" s="31"/>
      <c r="N31" s="31"/>
      <c r="O31" s="31"/>
      <c r="P31" s="31"/>
      <c r="Q31" s="31" t="s">
        <v>168</v>
      </c>
      <c r="R31" s="31"/>
      <c r="S31" s="31"/>
      <c r="T31" s="31"/>
    </row>
    <row r="32" spans="1:21" ht="25.5" customHeight="1">
      <c r="A32" s="31"/>
      <c r="B32" s="1483"/>
      <c r="C32" s="1483"/>
      <c r="D32" s="1483"/>
      <c r="E32" s="1483"/>
      <c r="F32" s="31"/>
      <c r="G32" s="31"/>
      <c r="H32" s="31"/>
      <c r="I32" s="31"/>
      <c r="J32" s="31"/>
      <c r="K32" s="31"/>
      <c r="L32" s="31"/>
      <c r="M32" s="31"/>
      <c r="N32" s="31"/>
      <c r="O32" s="31"/>
      <c r="P32" s="31"/>
      <c r="Q32" s="31"/>
      <c r="R32" s="31"/>
      <c r="S32" s="31"/>
      <c r="T32" s="31"/>
    </row>
    <row r="33" spans="1:28" ht="25.5" customHeight="1">
      <c r="A33" s="31"/>
      <c r="B33" s="1483"/>
      <c r="C33" s="1483"/>
      <c r="D33" s="1483"/>
      <c r="E33" s="1483"/>
      <c r="F33" s="31"/>
      <c r="G33" s="31"/>
      <c r="H33" s="31"/>
      <c r="I33" s="31"/>
      <c r="J33" s="31"/>
      <c r="K33" s="31"/>
      <c r="L33" s="31"/>
      <c r="M33" s="31"/>
      <c r="N33" s="31"/>
      <c r="O33" s="31"/>
      <c r="P33" s="31"/>
      <c r="Q33" s="31"/>
      <c r="R33" s="31"/>
      <c r="S33" s="31"/>
      <c r="T33" s="31"/>
    </row>
    <row r="34" spans="1:28">
      <c r="A34" s="31"/>
      <c r="B34" s="1483"/>
      <c r="C34" s="1483"/>
      <c r="D34" s="1483"/>
      <c r="E34" s="1483"/>
      <c r="F34" s="31"/>
      <c r="G34" s="31"/>
      <c r="Q34" s="95"/>
      <c r="R34" s="95"/>
      <c r="S34" s="95"/>
      <c r="T34" s="95"/>
      <c r="U34" s="96"/>
      <c r="V34" s="96"/>
      <c r="W34" s="96"/>
      <c r="X34" s="96"/>
      <c r="Y34" s="96"/>
      <c r="Z34" s="96"/>
    </row>
    <row r="35" spans="1:28">
      <c r="Q35" s="95"/>
      <c r="R35" s="95"/>
      <c r="S35" s="95"/>
      <c r="T35" s="95"/>
      <c r="U35" s="96"/>
      <c r="V35" s="96"/>
      <c r="W35" s="96"/>
      <c r="X35" s="96"/>
      <c r="Y35" s="96"/>
      <c r="Z35" s="96"/>
    </row>
    <row r="36" spans="1:28">
      <c r="Q36" s="95"/>
      <c r="R36" s="95"/>
      <c r="S36" s="95"/>
      <c r="T36" s="95"/>
      <c r="U36" s="96"/>
      <c r="V36" s="96"/>
      <c r="W36" s="96"/>
      <c r="X36" s="96"/>
      <c r="Y36" s="96"/>
      <c r="Z36" s="96"/>
    </row>
    <row r="37" spans="1:28">
      <c r="Q37" s="95"/>
      <c r="R37" s="95"/>
      <c r="S37" s="95"/>
      <c r="T37" s="95"/>
      <c r="U37" s="96"/>
      <c r="V37" s="96"/>
      <c r="W37" s="96"/>
      <c r="X37" s="96"/>
      <c r="Y37" s="96"/>
      <c r="Z37" s="96"/>
    </row>
    <row r="38" spans="1:28" ht="51" customHeight="1">
      <c r="Q38" s="95"/>
      <c r="R38" s="95"/>
      <c r="S38" s="95"/>
      <c r="T38" s="95"/>
      <c r="U38" s="96"/>
      <c r="V38" s="96"/>
      <c r="W38" s="96"/>
      <c r="X38" s="96"/>
      <c r="Y38" s="96"/>
      <c r="Z38" s="96"/>
    </row>
    <row r="39" spans="1:28" ht="78" customHeight="1">
      <c r="H39" s="1697"/>
      <c r="I39" s="1697"/>
      <c r="J39" s="1697"/>
      <c r="K39" s="1697"/>
      <c r="L39" s="1697"/>
      <c r="M39" s="1697"/>
      <c r="N39" s="1697"/>
      <c r="O39" s="1697"/>
      <c r="P39" s="1697"/>
      <c r="Q39" s="1697"/>
      <c r="R39" s="1697"/>
      <c r="S39" s="1697"/>
      <c r="T39" s="1697"/>
      <c r="U39" s="1697"/>
      <c r="V39" s="1697"/>
      <c r="W39" s="1697"/>
      <c r="X39" s="96"/>
      <c r="Y39" s="96"/>
      <c r="Z39" s="96"/>
    </row>
    <row r="40" spans="1:28" ht="23.25">
      <c r="A40" s="1697"/>
      <c r="B40" s="1697"/>
      <c r="C40" s="1697"/>
      <c r="D40" s="1697"/>
      <c r="E40" s="1697"/>
      <c r="F40" s="1697"/>
      <c r="G40" s="1697"/>
      <c r="Q40" s="96"/>
      <c r="R40" s="96"/>
      <c r="S40" s="96"/>
      <c r="T40" s="96"/>
      <c r="U40" s="96"/>
    </row>
    <row r="41" spans="1:28">
      <c r="Q41" s="96"/>
      <c r="R41" s="96"/>
      <c r="S41" s="96"/>
      <c r="T41" s="96"/>
      <c r="U41" s="96"/>
    </row>
    <row r="42" spans="1:28">
      <c r="Q42" s="96"/>
      <c r="R42" s="96"/>
      <c r="S42" s="96"/>
      <c r="T42" s="96"/>
      <c r="U42" s="96"/>
    </row>
    <row r="43" spans="1:28">
      <c r="Q43" s="96"/>
      <c r="R43" s="96"/>
      <c r="S43" s="96"/>
      <c r="T43" s="96"/>
      <c r="U43" s="96"/>
    </row>
    <row r="44" spans="1:28">
      <c r="Q44" s="96"/>
      <c r="R44" s="96"/>
      <c r="S44" s="96"/>
      <c r="T44" s="96"/>
      <c r="U44" s="96"/>
    </row>
    <row r="45" spans="1:28">
      <c r="Q45" s="96"/>
      <c r="R45" s="96"/>
      <c r="S45" s="96"/>
      <c r="T45" s="96"/>
      <c r="U45" s="96"/>
      <c r="V45" s="96"/>
      <c r="W45" s="96"/>
      <c r="X45" s="96"/>
      <c r="Y45" s="96"/>
      <c r="Z45" s="96"/>
      <c r="AA45" s="96"/>
      <c r="AB45" s="96"/>
    </row>
    <row r="46" spans="1:28">
      <c r="Q46" s="96"/>
      <c r="R46" s="96"/>
      <c r="S46" s="96"/>
      <c r="T46" s="96"/>
      <c r="U46" s="96"/>
      <c r="V46" s="96"/>
      <c r="W46" s="96"/>
      <c r="X46" s="96"/>
      <c r="Y46" s="96"/>
      <c r="Z46" s="96"/>
      <c r="AA46" s="96"/>
      <c r="AB46" s="96"/>
    </row>
    <row r="47" spans="1:28">
      <c r="Q47" s="96"/>
      <c r="R47" s="96"/>
      <c r="S47" s="96"/>
      <c r="T47" s="96"/>
      <c r="U47" s="96"/>
      <c r="V47" s="96"/>
      <c r="W47" s="96"/>
      <c r="X47" s="96"/>
      <c r="Y47" s="96"/>
      <c r="Z47" s="96"/>
      <c r="AA47" s="96"/>
      <c r="AB47" s="96"/>
    </row>
    <row r="48" spans="1:28">
      <c r="Q48" s="96"/>
      <c r="R48" s="96"/>
      <c r="S48" s="96"/>
      <c r="T48" s="96"/>
      <c r="U48" s="96"/>
      <c r="V48" s="96"/>
      <c r="W48" s="96"/>
      <c r="X48" s="96"/>
      <c r="Y48" s="96"/>
      <c r="Z48" s="96"/>
      <c r="AA48" s="96"/>
      <c r="AB48" s="96"/>
    </row>
    <row r="49" spans="2:28">
      <c r="Q49" s="96"/>
      <c r="R49" s="96"/>
      <c r="S49" s="96"/>
      <c r="T49" s="96"/>
      <c r="U49" s="96"/>
      <c r="V49" s="96"/>
      <c r="W49" s="96"/>
      <c r="X49" s="96"/>
      <c r="Y49" s="96"/>
      <c r="Z49" s="96"/>
      <c r="AA49" s="96"/>
      <c r="AB49" s="96"/>
    </row>
    <row r="50" spans="2:28">
      <c r="Q50" s="96"/>
      <c r="R50" s="96"/>
      <c r="S50" s="96"/>
      <c r="T50" s="96"/>
      <c r="U50" s="96"/>
      <c r="V50" s="96"/>
      <c r="W50" s="96"/>
      <c r="X50" s="96"/>
      <c r="Y50" s="96"/>
      <c r="Z50" s="96"/>
      <c r="AA50" s="96"/>
      <c r="AB50" s="96"/>
    </row>
    <row r="51" spans="2:28">
      <c r="H51" s="96"/>
      <c r="I51" s="96"/>
      <c r="J51" s="96"/>
      <c r="K51" s="96"/>
      <c r="L51" s="96"/>
      <c r="M51" s="96"/>
      <c r="N51" s="96"/>
      <c r="O51" s="96"/>
      <c r="P51" s="96"/>
      <c r="Q51" s="96"/>
      <c r="R51" s="96"/>
      <c r="S51" s="96"/>
      <c r="T51" s="96"/>
      <c r="U51" s="96"/>
      <c r="V51" s="96"/>
      <c r="W51" s="96"/>
      <c r="X51" s="96"/>
      <c r="Y51" s="96"/>
      <c r="Z51" s="96"/>
      <c r="AA51" s="96"/>
      <c r="AB51" s="96"/>
    </row>
    <row r="52" spans="2:28">
      <c r="B52" s="1484"/>
      <c r="C52" s="1484"/>
      <c r="D52" s="1484"/>
      <c r="E52" s="1484"/>
      <c r="F52" s="96"/>
      <c r="G52" s="96"/>
    </row>
    <row r="70" spans="22:22">
      <c r="V70" s="96"/>
    </row>
    <row r="71" spans="22:22">
      <c r="V71" s="96"/>
    </row>
    <row r="72" spans="22:22">
      <c r="V72" s="96"/>
    </row>
    <row r="73" spans="22:22">
      <c r="V73" s="96"/>
    </row>
    <row r="74" spans="22:22">
      <c r="V74" s="96"/>
    </row>
    <row r="75" spans="22:22">
      <c r="V75" s="96"/>
    </row>
    <row r="76" spans="22:22">
      <c r="V76" s="96"/>
    </row>
    <row r="77" spans="22:22">
      <c r="V77" s="96"/>
    </row>
    <row r="87" spans="22:22">
      <c r="V87" s="96"/>
    </row>
    <row r="88" spans="22:22">
      <c r="V88" s="96"/>
    </row>
    <row r="89" spans="22:22">
      <c r="V89" s="96"/>
    </row>
    <row r="90" spans="22:22">
      <c r="V90" s="96"/>
    </row>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5"/>
  <sheetViews>
    <sheetView showGridLines="0" view="pageBreakPreview" zoomScale="55" zoomScaleNormal="100" zoomScaleSheetLayoutView="55" zoomScalePageLayoutView="62" workbookViewId="0">
      <selection activeCell="I9" sqref="I9"/>
    </sheetView>
  </sheetViews>
  <sheetFormatPr baseColWidth="10" defaultColWidth="11.42578125" defaultRowHeight="15"/>
  <cols>
    <col min="1" max="1" width="14.140625" style="77" customWidth="1"/>
    <col min="2" max="2" width="27.42578125" style="77" customWidth="1"/>
    <col min="3" max="3" width="26.7109375" style="77" customWidth="1"/>
    <col min="4" max="4" width="26.140625" style="77" customWidth="1"/>
    <col min="5" max="5" width="30" style="77" customWidth="1"/>
    <col min="6" max="6" width="29.28515625" style="77" customWidth="1"/>
    <col min="7" max="7" width="22.7109375" style="77" customWidth="1"/>
    <col min="8" max="8" width="25.42578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4" width="10.28515625" style="77" customWidth="1"/>
    <col min="15" max="15" width="13.140625" style="77" customWidth="1"/>
    <col min="16" max="16" width="11.140625" style="77" customWidth="1"/>
    <col min="17" max="17" width="36.85546875" style="77" customWidth="1"/>
    <col min="18" max="25" width="11.42578125" style="77"/>
    <col min="26" max="26" width="18.7109375" style="77" bestFit="1" customWidth="1"/>
    <col min="27" max="16384" width="11.42578125" style="77"/>
  </cols>
  <sheetData>
    <row r="1" spans="1:17" ht="104.25" customHeight="1">
      <c r="A1" s="2082"/>
      <c r="B1" s="2082"/>
      <c r="C1" s="2082"/>
      <c r="D1" s="2082"/>
      <c r="E1" s="2082"/>
      <c r="F1" s="2082"/>
      <c r="G1" s="2082"/>
      <c r="H1" s="2082"/>
      <c r="I1" s="2082"/>
      <c r="J1" s="2082"/>
      <c r="K1" s="2082"/>
      <c r="L1" s="2082"/>
      <c r="M1" s="2082"/>
      <c r="N1" s="2082"/>
      <c r="O1" s="2082"/>
      <c r="P1" s="2082"/>
    </row>
    <row r="2" spans="1:17" ht="5.25" customHeight="1">
      <c r="A2" s="180"/>
      <c r="B2" s="180"/>
      <c r="C2" s="180"/>
      <c r="D2" s="180"/>
      <c r="E2" s="180"/>
      <c r="F2" s="180"/>
      <c r="G2" s="180"/>
      <c r="H2" s="180"/>
      <c r="I2" s="180"/>
      <c r="J2" s="180"/>
      <c r="K2" s="180"/>
      <c r="L2" s="180"/>
      <c r="M2" s="180"/>
      <c r="N2" s="180"/>
      <c r="O2" s="180"/>
      <c r="P2" s="180"/>
    </row>
    <row r="3" spans="1:17" s="50" customFormat="1" ht="73.5" customHeight="1">
      <c r="A3" s="1994" t="s">
        <v>39</v>
      </c>
      <c r="B3" s="1995" t="s">
        <v>714</v>
      </c>
      <c r="C3" s="1996" t="s">
        <v>631</v>
      </c>
      <c r="D3" s="1996" t="s">
        <v>730</v>
      </c>
      <c r="E3" s="1996" t="s">
        <v>633</v>
      </c>
      <c r="F3" s="1995" t="s">
        <v>634</v>
      </c>
      <c r="G3" s="1997" t="s">
        <v>717</v>
      </c>
      <c r="H3"/>
      <c r="I3"/>
      <c r="J3"/>
      <c r="K3"/>
      <c r="L3"/>
      <c r="M3"/>
      <c r="N3"/>
      <c r="O3"/>
      <c r="P3"/>
      <c r="Q3" s="212"/>
    </row>
    <row r="4" spans="1:17" ht="18.75">
      <c r="A4" s="1986" t="s">
        <v>697</v>
      </c>
      <c r="B4" s="1419">
        <v>1507945</v>
      </c>
      <c r="C4" s="1714">
        <v>1822106</v>
      </c>
      <c r="D4" s="1419">
        <v>1651231</v>
      </c>
      <c r="E4" s="1419">
        <v>170875</v>
      </c>
      <c r="F4" s="1257">
        <v>3330051</v>
      </c>
      <c r="G4" s="1998">
        <v>1.2083371741011775</v>
      </c>
      <c r="I4" s="31"/>
      <c r="J4" s="31"/>
      <c r="K4" s="31"/>
      <c r="L4" s="31"/>
      <c r="M4" s="31"/>
      <c r="N4" s="31"/>
      <c r="O4" s="31"/>
      <c r="P4" s="31"/>
    </row>
    <row r="5" spans="1:17" ht="18.75">
      <c r="A5" s="814" t="s">
        <v>704</v>
      </c>
      <c r="B5" s="1282">
        <v>1511271</v>
      </c>
      <c r="C5" s="1281">
        <v>1837354</v>
      </c>
      <c r="D5" s="1282">
        <v>1665803</v>
      </c>
      <c r="E5" s="1282">
        <v>171551</v>
      </c>
      <c r="F5" s="1258">
        <v>3348625</v>
      </c>
      <c r="G5" s="1999">
        <v>1.215767390494491</v>
      </c>
      <c r="I5" s="31"/>
      <c r="J5" s="31"/>
      <c r="K5" s="31"/>
      <c r="L5" s="31"/>
      <c r="M5" s="31"/>
      <c r="N5" s="31"/>
      <c r="O5" s="31"/>
      <c r="P5" s="31"/>
    </row>
    <row r="6" spans="1:17" ht="18.75">
      <c r="A6" s="814" t="s">
        <v>716</v>
      </c>
      <c r="B6" s="1282">
        <v>1516017</v>
      </c>
      <c r="C6" s="1281">
        <v>1843989</v>
      </c>
      <c r="D6" s="1282">
        <v>1671780</v>
      </c>
      <c r="E6" s="1282">
        <v>172209</v>
      </c>
      <c r="F6" s="1258">
        <v>3360006</v>
      </c>
      <c r="G6" s="1999">
        <v>1.2163379434399482</v>
      </c>
      <c r="I6" s="31"/>
      <c r="J6" s="31"/>
      <c r="K6" s="31"/>
      <c r="L6" s="31"/>
      <c r="M6" s="31"/>
      <c r="N6" s="31"/>
      <c r="O6" s="31"/>
      <c r="P6" s="31"/>
    </row>
    <row r="7" spans="1:17" ht="18.75">
      <c r="A7" s="814" t="s">
        <v>725</v>
      </c>
      <c r="B7" s="1282">
        <v>1521859</v>
      </c>
      <c r="C7" s="1281">
        <v>1843786</v>
      </c>
      <c r="D7" s="1282">
        <v>1670515</v>
      </c>
      <c r="E7" s="1282">
        <v>173271</v>
      </c>
      <c r="F7" s="1258">
        <v>3365645</v>
      </c>
      <c r="G7" s="1999">
        <v>1.2115353656284846</v>
      </c>
      <c r="I7" s="31"/>
      <c r="J7" s="31"/>
      <c r="K7" s="31"/>
      <c r="L7" s="31"/>
      <c r="M7" s="31"/>
      <c r="N7" s="31"/>
      <c r="O7" s="31"/>
      <c r="P7" s="31"/>
    </row>
    <row r="8" spans="1:17" ht="18.75">
      <c r="A8" s="814" t="s">
        <v>733</v>
      </c>
      <c r="B8" s="1282">
        <v>1529646</v>
      </c>
      <c r="C8" s="1281">
        <v>1856437</v>
      </c>
      <c r="D8" s="1282">
        <v>1682678</v>
      </c>
      <c r="E8" s="1282">
        <v>173759</v>
      </c>
      <c r="F8" s="1258">
        <v>3386083</v>
      </c>
      <c r="G8" s="1999">
        <v>1.2136383189313082</v>
      </c>
      <c r="I8" s="31"/>
      <c r="J8" s="31"/>
      <c r="K8" s="31"/>
      <c r="L8" s="31"/>
      <c r="M8" s="31"/>
      <c r="N8" s="31"/>
      <c r="O8" s="31"/>
      <c r="P8" s="31"/>
    </row>
    <row r="9" spans="1:17" ht="18.75">
      <c r="A9" s="814" t="s">
        <v>737</v>
      </c>
      <c r="B9" s="1282">
        <v>1520902</v>
      </c>
      <c r="C9" s="1281">
        <v>1853985</v>
      </c>
      <c r="D9" s="1282">
        <v>1679001</v>
      </c>
      <c r="E9" s="1282">
        <v>174984</v>
      </c>
      <c r="F9" s="1258">
        <v>3374887</v>
      </c>
      <c r="G9" s="1999">
        <v>1.2190035912899055</v>
      </c>
      <c r="I9" s="31"/>
      <c r="J9" s="31"/>
      <c r="K9" s="31"/>
      <c r="L9" s="31"/>
      <c r="M9" s="31"/>
      <c r="N9" s="31"/>
      <c r="O9" s="31"/>
      <c r="P9" s="31"/>
    </row>
    <row r="10" spans="1:17" ht="18.75">
      <c r="A10" s="814" t="s">
        <v>923</v>
      </c>
      <c r="B10" s="1282">
        <v>1551732</v>
      </c>
      <c r="C10" s="1281">
        <v>1877660</v>
      </c>
      <c r="D10" s="1282">
        <v>1700666</v>
      </c>
      <c r="E10" s="1282">
        <v>176994</v>
      </c>
      <c r="F10" s="1258">
        <v>3429392</v>
      </c>
      <c r="G10" s="1999">
        <v>1.2100414246790039</v>
      </c>
      <c r="I10" s="31"/>
      <c r="J10" s="31"/>
      <c r="K10" s="31"/>
      <c r="L10" s="31"/>
      <c r="M10" s="31"/>
      <c r="N10" s="31"/>
      <c r="O10" s="31"/>
      <c r="P10" s="31"/>
    </row>
    <row r="11" spans="1:17" s="1458" customFormat="1" ht="18.75">
      <c r="A11" s="814" t="s">
        <v>942</v>
      </c>
      <c r="B11" s="1282">
        <v>1548000</v>
      </c>
      <c r="C11" s="1281">
        <v>1887291</v>
      </c>
      <c r="D11" s="1282">
        <v>1709978</v>
      </c>
      <c r="E11" s="1282">
        <v>177313</v>
      </c>
      <c r="F11" s="1258">
        <v>3435291</v>
      </c>
      <c r="G11" s="1999">
        <v>1.2191802325581396</v>
      </c>
      <c r="I11" s="31"/>
      <c r="J11" s="31"/>
      <c r="K11" s="31"/>
      <c r="L11" s="31"/>
      <c r="M11" s="31"/>
      <c r="N11" s="31"/>
      <c r="O11" s="31"/>
      <c r="P11" s="31"/>
    </row>
    <row r="12" spans="1:17" s="1458" customFormat="1" ht="18.75">
      <c r="A12" s="814" t="s">
        <v>952</v>
      </c>
      <c r="B12" s="1282">
        <v>1544927</v>
      </c>
      <c r="C12" s="1281">
        <v>1862134</v>
      </c>
      <c r="D12" s="1282">
        <v>1683703</v>
      </c>
      <c r="E12" s="1282">
        <v>178431</v>
      </c>
      <c r="F12" s="1258">
        <v>3407061</v>
      </c>
      <c r="G12" s="1999">
        <v>1.2053216753930769</v>
      </c>
      <c r="I12" s="31"/>
      <c r="J12" s="31"/>
      <c r="K12" s="31"/>
      <c r="L12" s="31"/>
      <c r="M12" s="31"/>
      <c r="N12" s="31"/>
      <c r="O12" s="31"/>
      <c r="P12" s="31"/>
    </row>
    <row r="13" spans="1:17" s="1458" customFormat="1" ht="18.75">
      <c r="A13" s="814" t="s">
        <v>970</v>
      </c>
      <c r="B13" s="1282">
        <v>1563494</v>
      </c>
      <c r="C13" s="1281">
        <v>1913095</v>
      </c>
      <c r="D13" s="1282">
        <v>1733740</v>
      </c>
      <c r="E13" s="1282">
        <v>179355</v>
      </c>
      <c r="F13" s="1258">
        <v>3476589</v>
      </c>
      <c r="G13" s="1999">
        <v>1.2236023931016045</v>
      </c>
      <c r="I13" s="31"/>
      <c r="J13" s="31"/>
      <c r="K13" s="31"/>
      <c r="L13" s="31"/>
      <c r="M13" s="31"/>
      <c r="N13" s="31"/>
      <c r="O13" s="31"/>
      <c r="P13" s="31"/>
    </row>
    <row r="14" spans="1:17" s="1458" customFormat="1" ht="18.75">
      <c r="A14" s="814" t="s">
        <v>974</v>
      </c>
      <c r="B14" s="1282">
        <v>1562515</v>
      </c>
      <c r="C14" s="1281">
        <v>1893114</v>
      </c>
      <c r="D14" s="1282">
        <v>1714575</v>
      </c>
      <c r="E14" s="1282">
        <v>178539</v>
      </c>
      <c r="F14" s="1258">
        <v>3455629</v>
      </c>
      <c r="G14" s="1999">
        <v>1.2115813288192434</v>
      </c>
      <c r="I14" s="31"/>
      <c r="J14" s="31"/>
      <c r="K14" s="31"/>
      <c r="L14" s="31"/>
      <c r="M14" s="31"/>
      <c r="N14" s="31"/>
      <c r="O14" s="31"/>
      <c r="P14" s="31"/>
    </row>
    <row r="15" spans="1:17" s="1458" customFormat="1" ht="18.75">
      <c r="A15" s="814" t="s">
        <v>987</v>
      </c>
      <c r="B15" s="1282">
        <v>1619765</v>
      </c>
      <c r="C15" s="1281">
        <f t="shared" ref="C15" si="0">D15+E15</f>
        <v>1961106</v>
      </c>
      <c r="D15" s="1282">
        <v>1778698</v>
      </c>
      <c r="E15" s="1282">
        <v>182408</v>
      </c>
      <c r="F15" s="1258">
        <f t="shared" ref="F15" si="1">+B15+D15+E15</f>
        <v>3580871</v>
      </c>
      <c r="G15" s="1999">
        <f>C15/B15</f>
        <v>1.2107348905551114</v>
      </c>
      <c r="I15" s="31"/>
      <c r="J15" s="31"/>
      <c r="K15" s="31"/>
      <c r="L15" s="31"/>
      <c r="M15" s="31"/>
      <c r="N15" s="31"/>
      <c r="O15" s="31"/>
      <c r="P15" s="31"/>
    </row>
    <row r="16" spans="1:17" ht="18.75">
      <c r="A16" s="1987" t="s">
        <v>1001</v>
      </c>
      <c r="B16" s="1286">
        <v>1613308</v>
      </c>
      <c r="C16" s="1285">
        <f t="shared" ref="C16" si="2">D16+E16</f>
        <v>1947575</v>
      </c>
      <c r="D16" s="1286">
        <v>1765025</v>
      </c>
      <c r="E16" s="1286">
        <v>182550</v>
      </c>
      <c r="F16" s="1383">
        <f t="shared" ref="F16" si="3">+B16+D16+E16</f>
        <v>3560883</v>
      </c>
      <c r="G16" s="2000">
        <f>C16/B16</f>
        <v>1.2071935427085219</v>
      </c>
      <c r="H16" s="31"/>
      <c r="I16" s="31"/>
      <c r="J16" s="31"/>
      <c r="K16" s="31"/>
      <c r="L16" s="31"/>
      <c r="M16" s="31"/>
      <c r="N16" s="31"/>
      <c r="O16" s="31"/>
      <c r="P16" s="31"/>
    </row>
    <row r="17" spans="1:26" ht="22.5" customHeight="1">
      <c r="A17" s="2086" t="s">
        <v>980</v>
      </c>
      <c r="B17" s="2086"/>
      <c r="C17" s="2086"/>
      <c r="D17" s="2086"/>
      <c r="E17" s="2086"/>
      <c r="F17" s="2086"/>
      <c r="G17" s="2086"/>
      <c r="H17" s="31"/>
      <c r="I17" s="31"/>
      <c r="J17" s="31"/>
      <c r="K17" s="31"/>
      <c r="L17" s="31"/>
      <c r="M17" s="31"/>
      <c r="N17" s="31"/>
      <c r="O17" s="31"/>
      <c r="P17" s="31"/>
    </row>
    <row r="18" spans="1:26" ht="25.5" customHeight="1">
      <c r="A18" s="31"/>
      <c r="B18" s="31"/>
      <c r="C18" s="31"/>
      <c r="D18" s="31"/>
      <c r="E18" s="31"/>
      <c r="F18" s="31"/>
      <c r="G18" s="31"/>
      <c r="H18" s="31"/>
      <c r="I18" s="31"/>
      <c r="J18" s="31"/>
      <c r="K18" s="31"/>
      <c r="L18" s="31"/>
      <c r="M18" s="31"/>
      <c r="N18" s="31"/>
      <c r="O18" s="31"/>
      <c r="P18" s="31"/>
    </row>
    <row r="19" spans="1:26" ht="25.5" customHeight="1">
      <c r="H19" s="31"/>
      <c r="I19" s="31"/>
      <c r="J19" s="31"/>
      <c r="K19" s="31"/>
      <c r="L19" s="31"/>
      <c r="M19" s="31"/>
      <c r="N19" s="31"/>
      <c r="O19" s="31"/>
      <c r="P19" s="31"/>
    </row>
    <row r="20" spans="1:26" ht="25.5" customHeight="1">
      <c r="A20" s="31"/>
      <c r="B20" s="31"/>
      <c r="C20" s="31"/>
      <c r="D20" s="31"/>
      <c r="E20" s="31"/>
      <c r="F20" s="31"/>
      <c r="G20" s="31"/>
      <c r="H20" s="31"/>
      <c r="I20" s="31"/>
      <c r="J20" s="31"/>
      <c r="K20" s="31"/>
      <c r="L20" s="31"/>
      <c r="M20" s="31"/>
      <c r="N20" s="31"/>
      <c r="O20" s="31"/>
      <c r="P20" s="31"/>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row>
    <row r="25" spans="1:26" ht="25.5" customHeight="1">
      <c r="A25" s="31"/>
      <c r="B25" s="31"/>
      <c r="C25" s="31"/>
      <c r="D25" s="31"/>
      <c r="E25" s="31"/>
      <c r="F25" s="31"/>
      <c r="G25" s="31"/>
      <c r="H25" s="31"/>
      <c r="I25" s="31"/>
      <c r="J25" s="31"/>
      <c r="K25" s="31"/>
      <c r="L25" s="31"/>
      <c r="M25" s="31"/>
      <c r="N25" s="31"/>
      <c r="O25" s="31"/>
      <c r="P25" s="31"/>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c r="O29" s="95"/>
      <c r="P29" s="95"/>
      <c r="Q29" s="96"/>
      <c r="R29" s="96"/>
      <c r="S29" s="96"/>
      <c r="T29" s="96"/>
      <c r="U29" s="96"/>
      <c r="V29" s="96"/>
      <c r="W29" s="96"/>
      <c r="X29" s="96"/>
      <c r="Y29" s="96"/>
      <c r="Z29" s="96"/>
    </row>
    <row r="30" spans="1:26">
      <c r="O30" s="95"/>
      <c r="P30" s="95"/>
      <c r="Q30" s="96"/>
      <c r="R30" s="96"/>
      <c r="S30" s="96"/>
      <c r="T30" s="96"/>
      <c r="U30" s="96"/>
      <c r="V30" s="96"/>
      <c r="W30" s="96"/>
      <c r="X30" s="96"/>
      <c r="Y30" s="96"/>
      <c r="Z30" s="96"/>
    </row>
    <row r="31" spans="1:26">
      <c r="O31" s="95"/>
      <c r="P31" s="95"/>
      <c r="Q31" s="96"/>
      <c r="R31" s="96"/>
      <c r="S31" s="96"/>
      <c r="T31" s="96"/>
      <c r="U31" s="96"/>
      <c r="V31" s="96"/>
      <c r="W31" s="96"/>
      <c r="X31" s="96"/>
      <c r="Y31" s="96"/>
      <c r="Z31" s="96"/>
    </row>
    <row r="32" spans="1:26">
      <c r="O32" s="95"/>
      <c r="P32" s="95"/>
      <c r="Q32" s="96"/>
      <c r="R32" s="96"/>
      <c r="S32" s="96"/>
      <c r="T32" s="96"/>
      <c r="U32" s="96"/>
      <c r="V32" s="96"/>
      <c r="W32" s="96"/>
      <c r="X32" s="96"/>
      <c r="Y32" s="96"/>
      <c r="Z32" s="96"/>
    </row>
    <row r="33" spans="1:26" ht="51" customHeight="1">
      <c r="O33" s="95"/>
      <c r="P33" s="95"/>
      <c r="Q33" s="96"/>
      <c r="R33" s="96"/>
      <c r="S33" s="96"/>
      <c r="T33" s="96"/>
      <c r="U33" s="96"/>
      <c r="V33" s="96"/>
      <c r="W33" s="96"/>
      <c r="X33" s="96"/>
      <c r="Y33" s="96"/>
      <c r="Z33" s="96"/>
    </row>
    <row r="34" spans="1:26" ht="78" customHeight="1">
      <c r="A34" s="2067"/>
      <c r="B34" s="2067"/>
      <c r="C34" s="2067"/>
      <c r="D34" s="2067"/>
      <c r="E34" s="2067"/>
      <c r="F34" s="2067"/>
      <c r="G34" s="2067"/>
      <c r="H34" s="2067"/>
      <c r="I34" s="2067"/>
      <c r="J34" s="2067"/>
      <c r="K34" s="2067"/>
      <c r="L34" s="2067"/>
      <c r="M34" s="2067"/>
      <c r="N34" s="2067"/>
      <c r="O34" s="2067"/>
      <c r="P34" s="2067"/>
      <c r="Q34" s="2067"/>
      <c r="R34" s="2067"/>
      <c r="S34" s="2067"/>
      <c r="T34" s="2067"/>
      <c r="U34" s="2067"/>
      <c r="V34" s="2067"/>
      <c r="W34" s="2067"/>
      <c r="X34" s="2067"/>
      <c r="Y34" s="96"/>
      <c r="Z34" s="96"/>
    </row>
    <row r="35" spans="1:26">
      <c r="O35" s="96"/>
      <c r="P35" s="96"/>
      <c r="Q35" s="96"/>
    </row>
    <row r="36" spans="1:26">
      <c r="O36" s="96"/>
      <c r="P36" s="96"/>
      <c r="Q36" s="96"/>
    </row>
    <row r="37" spans="1:26">
      <c r="O37" s="96"/>
      <c r="P37" s="96"/>
      <c r="Q37" s="96"/>
    </row>
    <row r="38" spans="1:26">
      <c r="O38" s="96"/>
      <c r="P38" s="96"/>
      <c r="Q38" s="96"/>
    </row>
    <row r="39" spans="1:26">
      <c r="O39" s="96"/>
      <c r="P39" s="96"/>
      <c r="Q39" s="96"/>
    </row>
    <row r="40" spans="1:26">
      <c r="O40" s="96"/>
      <c r="P40" s="96"/>
      <c r="Q40" s="96"/>
      <c r="R40" s="96"/>
      <c r="S40" s="96"/>
      <c r="T40" s="96"/>
      <c r="U40" s="96"/>
      <c r="V40" s="96"/>
      <c r="W40" s="96"/>
      <c r="X40" s="96"/>
      <c r="Y40" s="96"/>
      <c r="Z40" s="96"/>
    </row>
    <row r="41" spans="1:26">
      <c r="O41" s="96"/>
      <c r="P41" s="96"/>
      <c r="Q41" s="96"/>
      <c r="R41" s="96"/>
      <c r="S41" s="96"/>
      <c r="T41" s="96"/>
      <c r="U41" s="96"/>
      <c r="V41" s="96"/>
      <c r="W41" s="96"/>
      <c r="X41" s="96"/>
      <c r="Y41" s="96"/>
      <c r="Z41" s="96"/>
    </row>
    <row r="42" spans="1:26">
      <c r="O42" s="96"/>
      <c r="P42" s="96"/>
      <c r="Q42" s="96"/>
      <c r="R42" s="96"/>
      <c r="S42" s="96"/>
      <c r="T42" s="96"/>
      <c r="U42" s="96"/>
      <c r="V42" s="96"/>
      <c r="W42" s="96"/>
      <c r="X42" s="96"/>
      <c r="Y42" s="96"/>
      <c r="Z42" s="96"/>
    </row>
    <row r="55" spans="18:23">
      <c r="R55" s="96"/>
      <c r="S55" s="96"/>
      <c r="T55" s="96"/>
      <c r="U55" s="96"/>
      <c r="V55" s="96"/>
      <c r="W55" s="96"/>
    </row>
    <row r="56" spans="18:23">
      <c r="R56" s="96"/>
      <c r="S56" s="96"/>
      <c r="T56" s="96"/>
      <c r="U56" s="96"/>
      <c r="V56" s="96"/>
      <c r="W56" s="96"/>
    </row>
    <row r="57" spans="18:23">
      <c r="R57" s="96"/>
      <c r="S57" s="96"/>
      <c r="T57" s="96"/>
      <c r="U57" s="96"/>
      <c r="V57" s="96"/>
      <c r="W57" s="96"/>
    </row>
    <row r="58" spans="18:23">
      <c r="R58" s="96"/>
      <c r="S58" s="96"/>
      <c r="T58" s="96"/>
      <c r="U58" s="96"/>
      <c r="V58" s="96"/>
      <c r="W58" s="96"/>
    </row>
    <row r="59" spans="18:23">
      <c r="R59" s="96"/>
      <c r="S59" s="96"/>
      <c r="T59" s="96"/>
      <c r="U59" s="96"/>
      <c r="V59" s="96"/>
      <c r="W59" s="96"/>
    </row>
    <row r="60" spans="18:23">
      <c r="R60" s="96"/>
      <c r="S60" s="96"/>
      <c r="T60" s="96"/>
      <c r="U60" s="96"/>
      <c r="V60" s="96"/>
      <c r="W60" s="96"/>
    </row>
    <row r="61" spans="18:23">
      <c r="R61" s="96"/>
      <c r="S61" s="96"/>
      <c r="T61" s="96"/>
      <c r="U61" s="96"/>
      <c r="V61" s="96"/>
      <c r="W61" s="96"/>
    </row>
    <row r="62" spans="18:23">
      <c r="R62" s="96"/>
      <c r="S62" s="96"/>
      <c r="T62" s="96"/>
      <c r="U62" s="96"/>
      <c r="V62" s="96"/>
      <c r="W62" s="96"/>
    </row>
    <row r="72" spans="18:23">
      <c r="R72" s="96"/>
      <c r="S72" s="96"/>
      <c r="T72" s="96"/>
      <c r="U72" s="96"/>
      <c r="V72" s="96"/>
      <c r="W72" s="96"/>
    </row>
    <row r="73" spans="18:23">
      <c r="R73" s="96"/>
      <c r="S73" s="96"/>
      <c r="T73" s="96"/>
      <c r="U73" s="96"/>
      <c r="V73" s="96"/>
      <c r="W73" s="96"/>
    </row>
    <row r="74" spans="18:23">
      <c r="R74" s="96"/>
      <c r="S74" s="96"/>
      <c r="T74" s="96"/>
      <c r="U74" s="96"/>
      <c r="V74" s="96"/>
      <c r="W74" s="96"/>
    </row>
    <row r="75" spans="18:23">
      <c r="R75" s="96"/>
      <c r="S75" s="96"/>
      <c r="T75" s="96"/>
      <c r="U75" s="96"/>
      <c r="V75" s="96"/>
      <c r="W75" s="96"/>
    </row>
  </sheetData>
  <mergeCells count="3">
    <mergeCell ref="A1:P1"/>
    <mergeCell ref="A17:G17"/>
    <mergeCell ref="A34:X34"/>
  </mergeCells>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O62"/>
  <sheetViews>
    <sheetView showGridLines="0" view="pageBreakPreview" zoomScale="55" zoomScaleNormal="100" zoomScaleSheetLayoutView="55" zoomScalePageLayoutView="62" workbookViewId="0">
      <selection activeCell="M75" sqref="M75"/>
    </sheetView>
  </sheetViews>
  <sheetFormatPr baseColWidth="10" defaultColWidth="11.42578125" defaultRowHeight="15"/>
  <cols>
    <col min="1" max="1" width="17" style="77" customWidth="1"/>
    <col min="2" max="2" width="17.85546875" style="77" customWidth="1"/>
    <col min="3" max="3" width="22" style="77" customWidth="1"/>
    <col min="4" max="4" width="23.42578125" style="77" customWidth="1"/>
    <col min="5" max="5" width="20.7109375" style="77" customWidth="1"/>
    <col min="6" max="6" width="18.7109375" style="77" customWidth="1"/>
    <col min="7" max="7" width="24.42578125" style="77" customWidth="1"/>
    <col min="8" max="8" width="24.140625" style="77" customWidth="1"/>
    <col min="9" max="9" width="21.42578125" style="77" customWidth="1"/>
    <col min="10" max="10" width="24" style="77" customWidth="1"/>
    <col min="11" max="11" width="25.7109375" style="77" customWidth="1"/>
    <col min="12" max="12" width="23.140625" style="77" customWidth="1"/>
    <col min="13" max="13" width="20.42578125" style="77" customWidth="1"/>
    <col min="14" max="14" width="10.28515625" style="77" customWidth="1"/>
    <col min="15" max="15" width="5.42578125" style="77" customWidth="1"/>
    <col min="16" max="16384" width="11.42578125" style="77"/>
  </cols>
  <sheetData>
    <row r="1" spans="1:15" ht="109.5" customHeight="1">
      <c r="A1" s="2082"/>
      <c r="B1" s="2082"/>
      <c r="C1" s="2082"/>
      <c r="D1" s="2082"/>
      <c r="E1" s="2082"/>
      <c r="F1" s="2082"/>
      <c r="G1" s="2082"/>
      <c r="H1" s="2082"/>
      <c r="I1" s="2082"/>
      <c r="J1" s="2082"/>
      <c r="K1" s="2082"/>
      <c r="L1" s="2082"/>
      <c r="M1" s="2082"/>
      <c r="N1" s="2082"/>
      <c r="O1" s="1263"/>
    </row>
    <row r="2" spans="1:15" ht="2.25" customHeight="1">
      <c r="A2" s="807"/>
      <c r="B2" s="807"/>
      <c r="C2" s="807"/>
      <c r="D2" s="807"/>
      <c r="E2" s="807"/>
      <c r="F2" s="807"/>
      <c r="G2" s="807"/>
      <c r="H2" s="807"/>
      <c r="I2" s="807"/>
      <c r="J2" s="807"/>
      <c r="K2" s="807"/>
      <c r="L2" s="807"/>
      <c r="M2" s="807"/>
      <c r="N2" s="807"/>
      <c r="O2" s="1262"/>
    </row>
    <row r="3" spans="1:15" ht="28.5">
      <c r="A3" s="2095" t="s">
        <v>38</v>
      </c>
      <c r="B3" s="2090" t="s">
        <v>41</v>
      </c>
      <c r="C3" s="2091"/>
      <c r="D3" s="2092"/>
      <c r="E3" s="2093" t="s">
        <v>720</v>
      </c>
      <c r="F3" s="2090" t="s">
        <v>42</v>
      </c>
      <c r="G3" s="2091"/>
      <c r="H3" s="2092"/>
      <c r="I3" s="2093" t="s">
        <v>642</v>
      </c>
      <c r="J3" s="2088" t="s">
        <v>641</v>
      </c>
      <c r="K3" s="816"/>
      <c r="L3" s="816"/>
      <c r="M3" s="816"/>
      <c r="N3" s="816"/>
      <c r="O3" s="1262"/>
    </row>
    <row r="4" spans="1:15" s="50" customFormat="1" ht="45" customHeight="1">
      <c r="A4" s="2096"/>
      <c r="B4" s="891" t="s">
        <v>638</v>
      </c>
      <c r="C4" s="891" t="s">
        <v>639</v>
      </c>
      <c r="D4" s="891" t="s">
        <v>640</v>
      </c>
      <c r="E4" s="2094"/>
      <c r="F4" s="909" t="s">
        <v>638</v>
      </c>
      <c r="G4" s="1700" t="s">
        <v>639</v>
      </c>
      <c r="H4" s="1700" t="s">
        <v>640</v>
      </c>
      <c r="I4" s="2094"/>
      <c r="J4" s="2089"/>
      <c r="K4" s="77"/>
      <c r="L4" s="77"/>
      <c r="M4" s="77"/>
      <c r="N4" s="77"/>
      <c r="O4" s="77"/>
    </row>
    <row r="5" spans="1:15" ht="18.75" hidden="1">
      <c r="A5" s="708">
        <v>40940</v>
      </c>
      <c r="B5" s="709">
        <v>1190787</v>
      </c>
      <c r="C5" s="252">
        <f t="shared" ref="C5:C20" si="0">D5+E5</f>
        <v>1346002</v>
      </c>
      <c r="D5" s="253">
        <v>1247260</v>
      </c>
      <c r="E5" s="961">
        <v>98742</v>
      </c>
      <c r="F5" s="823">
        <f t="shared" ref="F5:F13" si="1">B5+C5</f>
        <v>2536789</v>
      </c>
      <c r="G5" s="817">
        <f t="shared" ref="G5:G23" si="2">B5/F5</f>
        <v>0.46940719153228749</v>
      </c>
      <c r="H5" s="1703"/>
      <c r="I5" s="1704"/>
      <c r="J5" s="1705"/>
    </row>
    <row r="6" spans="1:15" ht="18.75" hidden="1">
      <c r="A6" s="708">
        <v>40969</v>
      </c>
      <c r="B6" s="709">
        <v>1205800</v>
      </c>
      <c r="C6" s="252">
        <f t="shared" si="0"/>
        <v>1368424</v>
      </c>
      <c r="D6" s="253">
        <v>1266851</v>
      </c>
      <c r="E6" s="961">
        <v>101573</v>
      </c>
      <c r="F6" s="823">
        <f t="shared" si="1"/>
        <v>2574224</v>
      </c>
      <c r="G6" s="817">
        <f t="shared" si="2"/>
        <v>0.46841300523963725</v>
      </c>
      <c r="H6" s="1703"/>
      <c r="I6" s="1704"/>
      <c r="J6" s="1705"/>
    </row>
    <row r="7" spans="1:15" ht="18.75" hidden="1">
      <c r="A7" s="708">
        <v>41000</v>
      </c>
      <c r="B7" s="709">
        <v>1211245</v>
      </c>
      <c r="C7" s="252">
        <f t="shared" si="0"/>
        <v>1377586</v>
      </c>
      <c r="D7" s="253">
        <v>1274320</v>
      </c>
      <c r="E7" s="961">
        <v>103266</v>
      </c>
      <c r="F7" s="823">
        <f t="shared" si="1"/>
        <v>2588831</v>
      </c>
      <c r="G7" s="817">
        <f t="shared" si="2"/>
        <v>0.46787333742527032</v>
      </c>
      <c r="H7" s="1703"/>
      <c r="I7" s="1704"/>
      <c r="J7" s="1705"/>
    </row>
    <row r="8" spans="1:15" ht="18.75" hidden="1">
      <c r="A8" s="708">
        <v>41030</v>
      </c>
      <c r="B8" s="709">
        <v>1214917</v>
      </c>
      <c r="C8" s="252">
        <f t="shared" si="0"/>
        <v>1389402</v>
      </c>
      <c r="D8" s="253">
        <v>1284028</v>
      </c>
      <c r="E8" s="961">
        <v>105374</v>
      </c>
      <c r="F8" s="823">
        <f t="shared" si="1"/>
        <v>2604319</v>
      </c>
      <c r="G8" s="817">
        <f t="shared" si="2"/>
        <v>0.4665008395668887</v>
      </c>
      <c r="H8" s="1703"/>
      <c r="I8" s="1704"/>
      <c r="J8" s="1705"/>
    </row>
    <row r="9" spans="1:15" ht="18.75" hidden="1">
      <c r="A9" s="708">
        <v>41061</v>
      </c>
      <c r="B9" s="709">
        <v>1223012</v>
      </c>
      <c r="C9" s="252">
        <f t="shared" si="0"/>
        <v>1403503</v>
      </c>
      <c r="D9" s="253">
        <v>1296177</v>
      </c>
      <c r="E9" s="961">
        <v>107326</v>
      </c>
      <c r="F9" s="823">
        <f t="shared" si="1"/>
        <v>2626515</v>
      </c>
      <c r="G9" s="817">
        <f t="shared" si="2"/>
        <v>0.46564059219155418</v>
      </c>
      <c r="H9" s="1703"/>
      <c r="I9" s="1704"/>
      <c r="J9" s="1705"/>
    </row>
    <row r="10" spans="1:15" ht="18.75" hidden="1">
      <c r="A10" s="708">
        <v>41122</v>
      </c>
      <c r="B10" s="709">
        <v>1221877</v>
      </c>
      <c r="C10" s="252">
        <f t="shared" si="0"/>
        <v>1413832</v>
      </c>
      <c r="D10" s="253">
        <v>1305287</v>
      </c>
      <c r="E10" s="961">
        <v>108545</v>
      </c>
      <c r="F10" s="823">
        <f t="shared" si="1"/>
        <v>2635709</v>
      </c>
      <c r="G10" s="817">
        <f t="shared" si="2"/>
        <v>0.46358569933175475</v>
      </c>
      <c r="H10" s="1703"/>
      <c r="I10" s="1704"/>
      <c r="J10" s="1705"/>
    </row>
    <row r="11" spans="1:15" ht="18.75" hidden="1">
      <c r="A11" s="708">
        <v>41153</v>
      </c>
      <c r="B11" s="709">
        <f>+'[2]IV.1.1.1 Afil. SFS RC Anual '!B9</f>
        <v>1242830</v>
      </c>
      <c r="C11" s="252">
        <f t="shared" si="0"/>
        <v>1432322</v>
      </c>
      <c r="D11" s="253">
        <v>1320947</v>
      </c>
      <c r="E11" s="961">
        <v>111375</v>
      </c>
      <c r="F11" s="823">
        <f t="shared" si="1"/>
        <v>2675152</v>
      </c>
      <c r="G11" s="817">
        <f t="shared" si="2"/>
        <v>0.46458294706244729</v>
      </c>
      <c r="H11" s="1703"/>
      <c r="I11" s="1704"/>
      <c r="J11" s="1705"/>
    </row>
    <row r="12" spans="1:15" ht="18.75" hidden="1">
      <c r="A12" s="708">
        <v>41183</v>
      </c>
      <c r="B12" s="338">
        <v>1229165</v>
      </c>
      <c r="C12" s="252">
        <f t="shared" si="0"/>
        <v>1430194</v>
      </c>
      <c r="D12" s="253">
        <v>1319116</v>
      </c>
      <c r="E12" s="961">
        <v>111078</v>
      </c>
      <c r="F12" s="823">
        <f t="shared" si="1"/>
        <v>2659359</v>
      </c>
      <c r="G12" s="817">
        <f t="shared" si="2"/>
        <v>0.46220348587761184</v>
      </c>
      <c r="H12" s="1703"/>
      <c r="I12" s="1704"/>
      <c r="J12" s="1705"/>
    </row>
    <row r="13" spans="1:15" s="134" customFormat="1" ht="18.75" hidden="1">
      <c r="A13" s="708">
        <v>41214</v>
      </c>
      <c r="B13" s="338">
        <v>1237619</v>
      </c>
      <c r="C13" s="252">
        <f t="shared" si="0"/>
        <v>1437672</v>
      </c>
      <c r="D13" s="253">
        <v>1325484</v>
      </c>
      <c r="E13" s="961">
        <v>112188</v>
      </c>
      <c r="F13" s="823">
        <f t="shared" si="1"/>
        <v>2675291</v>
      </c>
      <c r="G13" s="817">
        <f t="shared" si="2"/>
        <v>0.46261098325378436</v>
      </c>
      <c r="H13" s="1703"/>
      <c r="I13" s="1704"/>
      <c r="J13" s="1705"/>
      <c r="K13" s="77"/>
      <c r="L13" s="77"/>
      <c r="M13" s="77"/>
      <c r="N13" s="77"/>
      <c r="O13" s="77"/>
    </row>
    <row r="14" spans="1:15" ht="18.75" hidden="1">
      <c r="A14" s="708">
        <v>41244</v>
      </c>
      <c r="B14" s="338">
        <v>1242830</v>
      </c>
      <c r="C14" s="252">
        <f t="shared" si="0"/>
        <v>1445581</v>
      </c>
      <c r="D14" s="253">
        <v>1332478</v>
      </c>
      <c r="E14" s="961">
        <v>113103</v>
      </c>
      <c r="F14" s="823">
        <f>B14+C14</f>
        <v>2688411</v>
      </c>
      <c r="G14" s="817">
        <f t="shared" si="2"/>
        <v>0.46229166596922866</v>
      </c>
      <c r="H14" s="1703"/>
      <c r="I14" s="1704"/>
      <c r="J14" s="1705"/>
    </row>
    <row r="15" spans="1:15" ht="18.75" hidden="1">
      <c r="A15" s="708">
        <v>41275</v>
      </c>
      <c r="B15" s="338">
        <v>1240536</v>
      </c>
      <c r="C15" s="252">
        <f t="shared" si="0"/>
        <v>1450145</v>
      </c>
      <c r="D15" s="253">
        <v>1336222</v>
      </c>
      <c r="E15" s="961">
        <v>113923</v>
      </c>
      <c r="F15" s="823">
        <f>B15+C15</f>
        <v>2690681</v>
      </c>
      <c r="G15" s="817">
        <f t="shared" si="2"/>
        <v>0.46104908013993484</v>
      </c>
      <c r="H15" s="1703"/>
      <c r="I15" s="1704"/>
      <c r="J15" s="1705"/>
    </row>
    <row r="16" spans="1:15" ht="18.75" hidden="1">
      <c r="A16" s="708">
        <v>41306</v>
      </c>
      <c r="B16" s="338">
        <v>1249039</v>
      </c>
      <c r="C16" s="252">
        <f t="shared" si="0"/>
        <v>1459376</v>
      </c>
      <c r="D16" s="253">
        <v>1343926</v>
      </c>
      <c r="E16" s="961">
        <v>115450</v>
      </c>
      <c r="F16" s="823">
        <f t="shared" ref="F16:F26" si="3">+B16+D16+E16</f>
        <v>2708415</v>
      </c>
      <c r="G16" s="817">
        <f t="shared" si="2"/>
        <v>0.46116972472830048</v>
      </c>
      <c r="H16" s="1703"/>
      <c r="I16" s="1704"/>
      <c r="J16" s="1705"/>
    </row>
    <row r="17" spans="1:10" ht="18.75" hidden="1">
      <c r="A17" s="708">
        <v>41334</v>
      </c>
      <c r="B17" s="338">
        <v>1260455</v>
      </c>
      <c r="C17" s="252">
        <f t="shared" si="0"/>
        <v>1474743</v>
      </c>
      <c r="D17" s="253">
        <v>1356641</v>
      </c>
      <c r="E17" s="961">
        <v>118102</v>
      </c>
      <c r="F17" s="823">
        <f t="shared" si="3"/>
        <v>2735198</v>
      </c>
      <c r="G17" s="817">
        <f t="shared" si="2"/>
        <v>0.4608276987625759</v>
      </c>
      <c r="H17" s="1703"/>
      <c r="I17" s="1704"/>
      <c r="J17" s="1705"/>
    </row>
    <row r="18" spans="1:10" ht="18.75" hidden="1" customHeight="1">
      <c r="A18" s="708">
        <v>41365</v>
      </c>
      <c r="B18" s="338">
        <v>1264822</v>
      </c>
      <c r="C18" s="252">
        <f t="shared" si="0"/>
        <v>1483253</v>
      </c>
      <c r="D18" s="253">
        <v>1363526</v>
      </c>
      <c r="E18" s="961">
        <v>119727</v>
      </c>
      <c r="F18" s="823">
        <f t="shared" si="3"/>
        <v>2748075</v>
      </c>
      <c r="G18" s="817">
        <f t="shared" si="2"/>
        <v>0.46025745294433373</v>
      </c>
      <c r="H18" s="1703"/>
      <c r="I18" s="1704"/>
      <c r="J18" s="1705"/>
    </row>
    <row r="19" spans="1:10" ht="18.75" hidden="1">
      <c r="A19" s="708">
        <v>41395</v>
      </c>
      <c r="B19" s="338">
        <v>1277798</v>
      </c>
      <c r="C19" s="252">
        <f t="shared" si="0"/>
        <v>1502509</v>
      </c>
      <c r="D19" s="253">
        <v>1380238</v>
      </c>
      <c r="E19" s="961">
        <v>122271</v>
      </c>
      <c r="F19" s="823">
        <f t="shared" si="3"/>
        <v>2780307</v>
      </c>
      <c r="G19" s="817">
        <f t="shared" si="2"/>
        <v>0.45958881519199141</v>
      </c>
      <c r="H19" s="1703"/>
      <c r="I19" s="1704"/>
      <c r="J19" s="1705"/>
    </row>
    <row r="20" spans="1:10" ht="18.75" hidden="1">
      <c r="A20" s="708">
        <v>41426</v>
      </c>
      <c r="B20" s="338">
        <v>1287291</v>
      </c>
      <c r="C20" s="252">
        <f t="shared" si="0"/>
        <v>1520489</v>
      </c>
      <c r="D20" s="253">
        <v>1396021</v>
      </c>
      <c r="E20" s="961">
        <v>124468</v>
      </c>
      <c r="F20" s="823">
        <f t="shared" si="3"/>
        <v>2807780</v>
      </c>
      <c r="G20" s="817">
        <f t="shared" si="2"/>
        <v>0.45847288605232606</v>
      </c>
      <c r="H20" s="1703"/>
      <c r="I20" s="1704"/>
      <c r="J20" s="1705"/>
    </row>
    <row r="21" spans="1:10" ht="18.75" hidden="1">
      <c r="A21" s="708">
        <v>41456</v>
      </c>
      <c r="B21" s="338">
        <v>1291631</v>
      </c>
      <c r="C21" s="252">
        <f t="shared" ref="C21:C26" si="4">D21+E21</f>
        <v>1520712</v>
      </c>
      <c r="D21" s="253">
        <v>1394607</v>
      </c>
      <c r="E21" s="961">
        <v>126105</v>
      </c>
      <c r="F21" s="823">
        <f t="shared" si="3"/>
        <v>2812343</v>
      </c>
      <c r="G21" s="817">
        <f t="shared" si="2"/>
        <v>0.45927221537344487</v>
      </c>
      <c r="H21" s="1703"/>
      <c r="I21" s="1704"/>
      <c r="J21" s="1705"/>
    </row>
    <row r="22" spans="1:10" ht="18.75" hidden="1">
      <c r="A22" s="708">
        <v>41487</v>
      </c>
      <c r="B22" s="338">
        <v>1300657</v>
      </c>
      <c r="C22" s="252">
        <f t="shared" si="4"/>
        <v>1541386</v>
      </c>
      <c r="D22" s="253">
        <v>1413807</v>
      </c>
      <c r="E22" s="961">
        <v>127579</v>
      </c>
      <c r="F22" s="823">
        <f t="shared" si="3"/>
        <v>2842043</v>
      </c>
      <c r="G22" s="817">
        <f t="shared" si="2"/>
        <v>0.45764859996840301</v>
      </c>
      <c r="H22" s="1703"/>
      <c r="I22" s="1704"/>
      <c r="J22" s="1705"/>
    </row>
    <row r="23" spans="1:10" ht="18.75" hidden="1">
      <c r="A23" s="708">
        <v>41518</v>
      </c>
      <c r="B23" s="338">
        <v>1303324</v>
      </c>
      <c r="C23" s="252">
        <f t="shared" si="4"/>
        <v>1548470</v>
      </c>
      <c r="D23" s="253">
        <v>1419509</v>
      </c>
      <c r="E23" s="961">
        <v>128961</v>
      </c>
      <c r="F23" s="823">
        <f t="shared" si="3"/>
        <v>2851794</v>
      </c>
      <c r="G23" s="817">
        <f t="shared" si="2"/>
        <v>0.45701898524227208</v>
      </c>
      <c r="H23" s="1703"/>
      <c r="I23" s="1704"/>
      <c r="J23" s="1705"/>
    </row>
    <row r="24" spans="1:10" ht="18.75" hidden="1">
      <c r="A24" s="708">
        <v>41548</v>
      </c>
      <c r="B24" s="338">
        <v>1299098</v>
      </c>
      <c r="C24" s="252">
        <f t="shared" si="4"/>
        <v>1551844</v>
      </c>
      <c r="D24" s="253">
        <v>1421755</v>
      </c>
      <c r="E24" s="961">
        <v>130089</v>
      </c>
      <c r="F24" s="823">
        <f t="shared" si="3"/>
        <v>2850942</v>
      </c>
      <c r="G24" s="818">
        <f>C24/B24</f>
        <v>1.1945549912323781</v>
      </c>
      <c r="H24" s="1703"/>
      <c r="I24" s="1704"/>
      <c r="J24" s="1705"/>
    </row>
    <row r="25" spans="1:10" ht="18.75" hidden="1">
      <c r="A25" s="708">
        <v>41579</v>
      </c>
      <c r="B25" s="338">
        <v>1312472</v>
      </c>
      <c r="C25" s="252">
        <f t="shared" si="4"/>
        <v>1573940</v>
      </c>
      <c r="D25" s="253">
        <v>1442084</v>
      </c>
      <c r="E25" s="961">
        <v>131856</v>
      </c>
      <c r="F25" s="823">
        <f t="shared" si="3"/>
        <v>2886412</v>
      </c>
      <c r="G25" s="818">
        <f>C25/B25</f>
        <v>1.199217964268952</v>
      </c>
      <c r="H25" s="1703"/>
      <c r="I25" s="1704"/>
      <c r="J25" s="1705"/>
    </row>
    <row r="26" spans="1:10" ht="18.75" hidden="1">
      <c r="A26" s="708">
        <v>41609</v>
      </c>
      <c r="B26" s="338">
        <v>1297821</v>
      </c>
      <c r="C26" s="252">
        <f t="shared" si="4"/>
        <v>1561485</v>
      </c>
      <c r="D26" s="253">
        <v>1429474</v>
      </c>
      <c r="E26" s="961">
        <v>132011</v>
      </c>
      <c r="F26" s="823">
        <f t="shared" si="3"/>
        <v>2859306</v>
      </c>
      <c r="G26" s="818">
        <f>C26/B26</f>
        <v>1.203158987256332</v>
      </c>
      <c r="H26" s="1703"/>
      <c r="I26" s="1704"/>
      <c r="J26" s="1705"/>
    </row>
    <row r="27" spans="1:10" ht="18.75">
      <c r="A27" s="819" t="s">
        <v>483</v>
      </c>
      <c r="B27" s="1418">
        <v>531330</v>
      </c>
      <c r="C27" s="1419">
        <v>259903</v>
      </c>
      <c r="D27" s="1419">
        <v>1282</v>
      </c>
      <c r="E27" s="1424">
        <f>B27+C27+D27</f>
        <v>792515</v>
      </c>
      <c r="F27" s="1418">
        <v>388581</v>
      </c>
      <c r="G27" s="1419">
        <v>293112</v>
      </c>
      <c r="H27" s="1419">
        <v>2973</v>
      </c>
      <c r="I27" s="1424">
        <f>F27+G27+H27</f>
        <v>684666</v>
      </c>
      <c r="J27" s="1425">
        <f>E27+I27</f>
        <v>1477181</v>
      </c>
    </row>
    <row r="28" spans="1:10" ht="18.75">
      <c r="A28" s="814" t="s">
        <v>458</v>
      </c>
      <c r="B28" s="1280">
        <v>554588</v>
      </c>
      <c r="C28" s="1282">
        <v>330370</v>
      </c>
      <c r="D28" s="1282">
        <v>5444</v>
      </c>
      <c r="E28" s="1426">
        <f t="shared" ref="E28:E34" si="5">B28+C28+D28</f>
        <v>890402</v>
      </c>
      <c r="F28" s="1280">
        <v>411558</v>
      </c>
      <c r="G28" s="1282">
        <v>376958</v>
      </c>
      <c r="H28" s="1282">
        <v>13341</v>
      </c>
      <c r="I28" s="1426">
        <f t="shared" ref="I28:I36" si="6">F28+G28+H28</f>
        <v>801857</v>
      </c>
      <c r="J28" s="1427">
        <f t="shared" ref="J28:J34" si="7">E28+I28</f>
        <v>1692259</v>
      </c>
    </row>
    <row r="29" spans="1:10" ht="18.75">
      <c r="A29" s="820" t="s">
        <v>409</v>
      </c>
      <c r="B29" s="1280">
        <v>621549</v>
      </c>
      <c r="C29" s="1282">
        <v>444129</v>
      </c>
      <c r="D29" s="1282">
        <v>13199</v>
      </c>
      <c r="E29" s="1426">
        <f t="shared" si="5"/>
        <v>1078877</v>
      </c>
      <c r="F29" s="1280">
        <v>458053</v>
      </c>
      <c r="G29" s="1282">
        <v>518280</v>
      </c>
      <c r="H29" s="1282">
        <v>33089</v>
      </c>
      <c r="I29" s="1426">
        <f t="shared" si="6"/>
        <v>1009422</v>
      </c>
      <c r="J29" s="1427">
        <f t="shared" si="7"/>
        <v>2088299</v>
      </c>
    </row>
    <row r="30" spans="1:10" ht="18.75">
      <c r="A30" s="814" t="s">
        <v>410</v>
      </c>
      <c r="B30" s="1280">
        <v>666490</v>
      </c>
      <c r="C30" s="1282">
        <v>523408</v>
      </c>
      <c r="D30" s="1282">
        <v>20284</v>
      </c>
      <c r="E30" s="1426">
        <f t="shared" si="5"/>
        <v>1210182</v>
      </c>
      <c r="F30" s="1280">
        <v>486371</v>
      </c>
      <c r="G30" s="1282">
        <v>617395</v>
      </c>
      <c r="H30" s="1282">
        <v>50135</v>
      </c>
      <c r="I30" s="1426">
        <f t="shared" si="6"/>
        <v>1153901</v>
      </c>
      <c r="J30" s="1427">
        <f t="shared" si="7"/>
        <v>2364083</v>
      </c>
    </row>
    <row r="31" spans="1:10" ht="18.75">
      <c r="A31" s="820" t="s">
        <v>411</v>
      </c>
      <c r="B31" s="1280">
        <v>688507</v>
      </c>
      <c r="C31" s="1282">
        <v>563079</v>
      </c>
      <c r="D31" s="1282">
        <v>27872</v>
      </c>
      <c r="E31" s="1426">
        <f t="shared" si="5"/>
        <v>1279458</v>
      </c>
      <c r="F31" s="1280">
        <v>499838</v>
      </c>
      <c r="G31" s="1282">
        <v>670940</v>
      </c>
      <c r="H31" s="1282">
        <v>67187</v>
      </c>
      <c r="I31" s="1426">
        <f t="shared" si="6"/>
        <v>1237965</v>
      </c>
      <c r="J31" s="1427">
        <f t="shared" si="7"/>
        <v>2517423</v>
      </c>
    </row>
    <row r="32" spans="1:10" ht="18.75">
      <c r="A32" s="814" t="s">
        <v>459</v>
      </c>
      <c r="B32" s="1280">
        <v>719477</v>
      </c>
      <c r="C32" s="1282">
        <v>607781</v>
      </c>
      <c r="D32" s="1282">
        <v>33530</v>
      </c>
      <c r="E32" s="1426">
        <f t="shared" si="5"/>
        <v>1360788</v>
      </c>
      <c r="F32" s="1280">
        <v>523353</v>
      </c>
      <c r="G32" s="1282">
        <v>724697</v>
      </c>
      <c r="H32" s="1282">
        <v>79573</v>
      </c>
      <c r="I32" s="1426">
        <f t="shared" si="6"/>
        <v>1327623</v>
      </c>
      <c r="J32" s="1427">
        <f t="shared" si="7"/>
        <v>2688411</v>
      </c>
    </row>
    <row r="33" spans="1:15" ht="18.75">
      <c r="A33" s="820" t="s">
        <v>515</v>
      </c>
      <c r="B33" s="1280">
        <v>761550</v>
      </c>
      <c r="C33" s="1282">
        <v>660882</v>
      </c>
      <c r="D33" s="1282">
        <v>39966</v>
      </c>
      <c r="E33" s="1426">
        <f t="shared" si="5"/>
        <v>1462398</v>
      </c>
      <c r="F33" s="1280">
        <v>557229</v>
      </c>
      <c r="G33" s="1282">
        <v>788545</v>
      </c>
      <c r="H33" s="1282">
        <v>92804</v>
      </c>
      <c r="I33" s="1426">
        <f t="shared" si="6"/>
        <v>1438578</v>
      </c>
      <c r="J33" s="1427">
        <f t="shared" si="7"/>
        <v>2900976</v>
      </c>
    </row>
    <row r="34" spans="1:15" ht="18.75">
      <c r="A34" s="814" t="s">
        <v>546</v>
      </c>
      <c r="B34" s="1280">
        <v>816912</v>
      </c>
      <c r="C34" s="1282">
        <v>715603</v>
      </c>
      <c r="D34" s="1282">
        <v>45810</v>
      </c>
      <c r="E34" s="1426">
        <f t="shared" si="5"/>
        <v>1578325</v>
      </c>
      <c r="F34" s="1280">
        <v>606074</v>
      </c>
      <c r="G34" s="1282">
        <v>852938</v>
      </c>
      <c r="H34" s="1282">
        <v>104262</v>
      </c>
      <c r="I34" s="1426">
        <f t="shared" si="6"/>
        <v>1563274</v>
      </c>
      <c r="J34" s="1427">
        <f t="shared" si="7"/>
        <v>3141599</v>
      </c>
    </row>
    <row r="35" spans="1:15" ht="18.75">
      <c r="A35" s="814" t="s">
        <v>952</v>
      </c>
      <c r="B35" s="1280">
        <v>866421</v>
      </c>
      <c r="C35" s="1282">
        <v>753051</v>
      </c>
      <c r="D35" s="1282">
        <v>55339</v>
      </c>
      <c r="E35" s="1426">
        <v>1674811</v>
      </c>
      <c r="F35" s="1280">
        <v>647213</v>
      </c>
      <c r="G35" s="1282">
        <v>896356</v>
      </c>
      <c r="H35" s="1282">
        <v>121458</v>
      </c>
      <c r="I35" s="1426">
        <f t="shared" ref="I35" si="8">F35+G35+H35</f>
        <v>1665027</v>
      </c>
      <c r="J35" s="1427">
        <f t="shared" ref="J35" si="9">E35+I35</f>
        <v>3339838</v>
      </c>
      <c r="L35" s="462"/>
    </row>
    <row r="36" spans="1:15" ht="26.25" customHeight="1">
      <c r="A36" s="821" t="s">
        <v>1001</v>
      </c>
      <c r="B36" s="1284">
        <v>910093</v>
      </c>
      <c r="C36" s="1286">
        <v>783780</v>
      </c>
      <c r="D36" s="1286">
        <v>56748</v>
      </c>
      <c r="E36" s="1428">
        <f>B36+C36+D36</f>
        <v>1750621</v>
      </c>
      <c r="F36" s="1284">
        <v>668034</v>
      </c>
      <c r="G36" s="1286">
        <v>930855</v>
      </c>
      <c r="H36" s="1286">
        <v>124270</v>
      </c>
      <c r="I36" s="1428">
        <f t="shared" si="6"/>
        <v>1723159</v>
      </c>
      <c r="J36" s="1429">
        <f>E36+I36</f>
        <v>3473780</v>
      </c>
      <c r="K36" s="31"/>
      <c r="L36" s="31"/>
      <c r="M36" s="31"/>
      <c r="N36" s="31"/>
      <c r="O36" s="31"/>
    </row>
    <row r="37" spans="1:15" ht="25.5" customHeight="1">
      <c r="A37" s="2087" t="s">
        <v>701</v>
      </c>
      <c r="B37" s="2087"/>
      <c r="C37" s="2087"/>
      <c r="D37" s="2087"/>
      <c r="E37" s="2087"/>
      <c r="F37" s="2087"/>
      <c r="G37" s="2087"/>
      <c r="H37" s="31"/>
      <c r="J37" s="31"/>
      <c r="K37" s="31"/>
      <c r="L37" s="31"/>
      <c r="M37" s="31"/>
      <c r="N37" s="31"/>
      <c r="O37" s="31"/>
    </row>
    <row r="38" spans="1:15" ht="25.5" customHeight="1">
      <c r="A38" s="31"/>
      <c r="B38" s="31"/>
      <c r="C38" s="31"/>
      <c r="D38" s="31"/>
      <c r="E38" s="31"/>
      <c r="F38" s="31"/>
      <c r="G38" s="31"/>
      <c r="H38" s="31"/>
      <c r="J38" s="31"/>
      <c r="K38" s="31"/>
      <c r="L38" s="31"/>
      <c r="M38" s="31"/>
      <c r="N38" s="31"/>
      <c r="O38" s="31"/>
    </row>
    <row r="39" spans="1:15" ht="25.5" customHeight="1">
      <c r="A39" s="31"/>
      <c r="B39" s="31"/>
      <c r="C39" s="31"/>
      <c r="D39" s="31"/>
      <c r="E39" s="31"/>
      <c r="F39" s="31"/>
      <c r="G39" s="31"/>
      <c r="H39" s="31"/>
      <c r="J39" s="31"/>
      <c r="K39" s="31"/>
      <c r="L39" s="31"/>
      <c r="M39" s="31"/>
      <c r="N39" s="31"/>
      <c r="O39" s="31"/>
    </row>
    <row r="40" spans="1:15" ht="25.5" customHeight="1">
      <c r="H40" s="31"/>
      <c r="J40" s="31"/>
      <c r="K40" s="31"/>
      <c r="L40" s="31"/>
      <c r="M40" s="31"/>
      <c r="N40" s="31"/>
      <c r="O40" s="31"/>
    </row>
    <row r="41" spans="1:15" ht="25.5" customHeight="1">
      <c r="A41" s="31"/>
      <c r="B41" s="31"/>
      <c r="C41" s="31"/>
      <c r="D41" s="31"/>
      <c r="E41" s="31"/>
      <c r="F41" s="31"/>
      <c r="G41" s="31"/>
      <c r="H41" s="31"/>
      <c r="J41" s="31"/>
      <c r="K41" s="31"/>
      <c r="L41" s="31"/>
      <c r="M41" s="31"/>
      <c r="N41" s="31"/>
      <c r="O41" s="31"/>
    </row>
    <row r="42" spans="1:15" ht="25.5" customHeight="1">
      <c r="A42" s="31"/>
      <c r="B42" s="31"/>
      <c r="C42" s="31"/>
      <c r="D42" s="31"/>
      <c r="E42" s="31"/>
      <c r="F42" s="31"/>
      <c r="G42" s="31"/>
      <c r="H42" s="31"/>
      <c r="J42" s="31"/>
      <c r="K42" s="31"/>
      <c r="L42" s="31"/>
      <c r="M42" s="31"/>
      <c r="N42" s="31"/>
      <c r="O42" s="31"/>
    </row>
    <row r="43" spans="1:15" ht="25.5" customHeight="1">
      <c r="A43" s="31"/>
      <c r="B43" s="31"/>
      <c r="C43" s="31"/>
      <c r="D43" s="31"/>
      <c r="E43" s="31"/>
      <c r="F43" s="31"/>
      <c r="G43" s="31"/>
      <c r="H43" s="31"/>
      <c r="I43" s="31"/>
      <c r="J43" s="31"/>
      <c r="K43" s="31"/>
      <c r="L43" s="31"/>
      <c r="M43" s="31"/>
      <c r="N43" s="31"/>
      <c r="O43" s="31"/>
    </row>
    <row r="44" spans="1:15" ht="25.5" customHeight="1">
      <c r="A44" s="31"/>
      <c r="B44" s="31"/>
      <c r="C44" s="31"/>
      <c r="D44" s="31"/>
      <c r="E44" s="31"/>
      <c r="F44" s="31"/>
      <c r="G44" s="31"/>
      <c r="H44" s="31"/>
      <c r="I44" s="31"/>
      <c r="J44" s="31"/>
      <c r="K44" s="31"/>
      <c r="L44" s="31"/>
      <c r="M44" s="31"/>
      <c r="N44" s="31"/>
      <c r="O44" s="31"/>
    </row>
    <row r="45" spans="1:15" ht="25.5" customHeight="1">
      <c r="A45" s="31"/>
      <c r="B45" s="31"/>
      <c r="C45" s="31"/>
      <c r="D45" s="31"/>
      <c r="E45" s="31"/>
      <c r="F45" s="31"/>
      <c r="G45" s="31"/>
      <c r="H45" s="31"/>
      <c r="I45" s="31"/>
      <c r="J45" s="31"/>
      <c r="K45" s="31"/>
      <c r="L45" s="31"/>
      <c r="M45" s="31"/>
      <c r="N45" s="31"/>
      <c r="O45" s="31"/>
    </row>
    <row r="46" spans="1:15" ht="25.5" customHeight="1">
      <c r="A46" s="31"/>
      <c r="B46" s="31"/>
      <c r="C46" s="31"/>
      <c r="D46" s="31"/>
      <c r="E46" s="31"/>
      <c r="F46" s="31"/>
      <c r="G46" s="31"/>
      <c r="H46" s="31"/>
      <c r="I46" s="31"/>
      <c r="J46" s="31"/>
      <c r="K46" s="31"/>
      <c r="L46" s="31"/>
      <c r="M46" s="31"/>
      <c r="N46" s="31"/>
      <c r="O46" s="31"/>
    </row>
    <row r="47" spans="1:15" ht="25.5" customHeight="1">
      <c r="A47" s="31"/>
      <c r="B47" s="31"/>
      <c r="C47" s="31"/>
      <c r="D47" s="31"/>
      <c r="E47" s="31"/>
      <c r="F47" s="31"/>
      <c r="G47" s="31"/>
      <c r="H47" s="31"/>
      <c r="I47" s="31"/>
      <c r="J47" s="31"/>
      <c r="K47" s="31"/>
      <c r="L47" s="31"/>
      <c r="M47" s="31"/>
      <c r="N47" s="31"/>
      <c r="O47" s="31"/>
    </row>
    <row r="48" spans="1:15" ht="25.5" customHeight="1">
      <c r="A48" s="31"/>
      <c r="B48" s="31"/>
      <c r="C48" s="31"/>
      <c r="D48" s="31"/>
      <c r="E48" s="31"/>
      <c r="F48" s="31"/>
      <c r="G48" s="31"/>
      <c r="H48" s="31"/>
      <c r="I48" s="31"/>
      <c r="J48" s="31"/>
      <c r="K48" s="31"/>
      <c r="L48" s="31"/>
      <c r="M48" s="31"/>
      <c r="N48" s="31"/>
      <c r="O48" s="31"/>
    </row>
    <row r="49" spans="1:15">
      <c r="A49" s="31"/>
      <c r="B49" s="31"/>
      <c r="C49" s="31"/>
      <c r="D49" s="31"/>
      <c r="E49" s="31"/>
      <c r="F49" s="31"/>
      <c r="G49" s="31"/>
      <c r="H49" s="31"/>
      <c r="I49" s="31"/>
      <c r="J49" s="31"/>
      <c r="O49" s="95"/>
    </row>
    <row r="50" spans="1:15">
      <c r="O50" s="95"/>
    </row>
    <row r="51" spans="1:15">
      <c r="O51" s="95"/>
    </row>
    <row r="52" spans="1:15">
      <c r="O52" s="95"/>
    </row>
    <row r="53" spans="1:15" ht="51" customHeight="1">
      <c r="O53" s="95"/>
    </row>
    <row r="54" spans="1:15" ht="78" customHeight="1">
      <c r="K54" s="1697"/>
      <c r="L54" s="1697"/>
      <c r="M54" s="1697"/>
      <c r="N54" s="1697"/>
      <c r="O54" s="1697"/>
    </row>
    <row r="55" spans="1:15" ht="23.25">
      <c r="A55" s="1697"/>
      <c r="B55" s="1697"/>
      <c r="C55" s="1697"/>
      <c r="D55" s="1697"/>
      <c r="E55" s="1697"/>
      <c r="F55" s="1697"/>
      <c r="G55" s="1697"/>
      <c r="H55" s="1697"/>
      <c r="I55" s="1697"/>
      <c r="J55" s="1697"/>
      <c r="O55" s="96"/>
    </row>
    <row r="56" spans="1:15">
      <c r="O56" s="96"/>
    </row>
    <row r="57" spans="1:15">
      <c r="O57" s="96"/>
    </row>
    <row r="58" spans="1:15">
      <c r="O58" s="96"/>
    </row>
    <row r="59" spans="1:15">
      <c r="O59" s="96"/>
    </row>
    <row r="60" spans="1:15">
      <c r="O60" s="96"/>
    </row>
    <row r="61" spans="1:15">
      <c r="O61" s="96"/>
    </row>
    <row r="62" spans="1:15">
      <c r="O62" s="96"/>
    </row>
  </sheetData>
  <mergeCells count="8">
    <mergeCell ref="A1:N1"/>
    <mergeCell ref="A37:G37"/>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sqref="A1:M39"/>
    </sheetView>
  </sheetViews>
  <sheetFormatPr baseColWidth="10" defaultRowHeight="15"/>
  <cols>
    <col min="1" max="7" width="11.42578125" style="77"/>
    <col min="8" max="8" width="11.42578125" style="77" customWidth="1"/>
    <col min="9" max="9" width="28.140625" style="77" customWidth="1"/>
    <col min="10" max="10" width="20.42578125" style="77" customWidth="1"/>
    <col min="11" max="12" width="14.7109375" style="77" customWidth="1"/>
    <col min="13" max="13" width="15.28515625" style="77" customWidth="1"/>
    <col min="14" max="16384" width="11.42578125" style="77"/>
  </cols>
  <sheetData>
    <row r="1" spans="1:14">
      <c r="A1" s="2059"/>
      <c r="B1" s="2059"/>
      <c r="C1" s="2059"/>
      <c r="D1" s="2059"/>
      <c r="E1" s="2059"/>
      <c r="F1" s="2059"/>
      <c r="G1" s="2059"/>
      <c r="H1" s="2059"/>
      <c r="I1" s="2059"/>
      <c r="J1" s="2059"/>
      <c r="K1" s="2059"/>
      <c r="L1" s="2059"/>
      <c r="M1" s="2059"/>
      <c r="N1" s="94"/>
    </row>
    <row r="2" spans="1:14">
      <c r="A2" s="2059"/>
      <c r="B2" s="2059"/>
      <c r="C2" s="2059"/>
      <c r="D2" s="2059"/>
      <c r="E2" s="2059"/>
      <c r="F2" s="2059"/>
      <c r="G2" s="2059"/>
      <c r="H2" s="2059"/>
      <c r="I2" s="2059"/>
      <c r="J2" s="2059"/>
      <c r="K2" s="2059"/>
      <c r="L2" s="2059"/>
      <c r="M2" s="2059"/>
      <c r="N2" s="94"/>
    </row>
    <row r="3" spans="1:14">
      <c r="A3" s="2059"/>
      <c r="B3" s="2059"/>
      <c r="C3" s="2059"/>
      <c r="D3" s="2059"/>
      <c r="E3" s="2059"/>
      <c r="F3" s="2059"/>
      <c r="G3" s="2059"/>
      <c r="H3" s="2059"/>
      <c r="I3" s="2059"/>
      <c r="J3" s="2059"/>
      <c r="K3" s="2059"/>
      <c r="L3" s="2059"/>
      <c r="M3" s="2059"/>
      <c r="N3" s="94"/>
    </row>
    <row r="4" spans="1:14">
      <c r="A4" s="2059"/>
      <c r="B4" s="2059"/>
      <c r="C4" s="2059"/>
      <c r="D4" s="2059"/>
      <c r="E4" s="2059"/>
      <c r="F4" s="2059"/>
      <c r="G4" s="2059"/>
      <c r="H4" s="2059"/>
      <c r="I4" s="2059"/>
      <c r="J4" s="2059"/>
      <c r="K4" s="2059"/>
      <c r="L4" s="2059"/>
      <c r="M4" s="2059"/>
      <c r="N4" s="94"/>
    </row>
    <row r="5" spans="1:14">
      <c r="A5" s="2059"/>
      <c r="B5" s="2059"/>
      <c r="C5" s="2059"/>
      <c r="D5" s="2059"/>
      <c r="E5" s="2059"/>
      <c r="F5" s="2059"/>
      <c r="G5" s="2059"/>
      <c r="H5" s="2059"/>
      <c r="I5" s="2059"/>
      <c r="J5" s="2059"/>
      <c r="K5" s="2059"/>
      <c r="L5" s="2059"/>
      <c r="M5" s="2059"/>
      <c r="N5" s="94"/>
    </row>
    <row r="6" spans="1:14">
      <c r="A6" s="2059"/>
      <c r="B6" s="2059"/>
      <c r="C6" s="2059"/>
      <c r="D6" s="2059"/>
      <c r="E6" s="2059"/>
      <c r="F6" s="2059"/>
      <c r="G6" s="2059"/>
      <c r="H6" s="2059"/>
      <c r="I6" s="2059"/>
      <c r="J6" s="2059"/>
      <c r="K6" s="2059"/>
      <c r="L6" s="2059"/>
      <c r="M6" s="2059"/>
      <c r="N6" s="94"/>
    </row>
    <row r="7" spans="1:14" ht="47.25" customHeight="1">
      <c r="A7" s="2059"/>
      <c r="B7" s="2059"/>
      <c r="C7" s="2059"/>
      <c r="D7" s="2059"/>
      <c r="E7" s="2059"/>
      <c r="F7" s="2059"/>
      <c r="G7" s="2059"/>
      <c r="H7" s="2059"/>
      <c r="I7" s="2059"/>
      <c r="J7" s="2059"/>
      <c r="K7" s="2059"/>
      <c r="L7" s="2059"/>
      <c r="M7" s="2059"/>
      <c r="N7" s="94"/>
    </row>
    <row r="8" spans="1:14">
      <c r="A8" s="2059"/>
      <c r="B8" s="2059"/>
      <c r="C8" s="2059"/>
      <c r="D8" s="2059"/>
      <c r="E8" s="2059"/>
      <c r="F8" s="2059"/>
      <c r="G8" s="2059"/>
      <c r="H8" s="2059"/>
      <c r="I8" s="2059"/>
      <c r="J8" s="2059"/>
      <c r="K8" s="2059"/>
      <c r="L8" s="2059"/>
      <c r="M8" s="2059"/>
      <c r="N8" s="94"/>
    </row>
    <row r="9" spans="1:14">
      <c r="A9" s="2059"/>
      <c r="B9" s="2059"/>
      <c r="C9" s="2059"/>
      <c r="D9" s="2059"/>
      <c r="E9" s="2059"/>
      <c r="F9" s="2059"/>
      <c r="G9" s="2059"/>
      <c r="H9" s="2059"/>
      <c r="I9" s="2059"/>
      <c r="J9" s="2059"/>
      <c r="K9" s="2059"/>
      <c r="L9" s="2059"/>
      <c r="M9" s="2059"/>
      <c r="N9" s="94"/>
    </row>
    <row r="10" spans="1:14" ht="23.25" customHeight="1">
      <c r="A10" s="2059"/>
      <c r="B10" s="2059"/>
      <c r="C10" s="2059"/>
      <c r="D10" s="2059"/>
      <c r="E10" s="2059"/>
      <c r="F10" s="2059"/>
      <c r="G10" s="2059"/>
      <c r="H10" s="2059"/>
      <c r="I10" s="2059"/>
      <c r="J10" s="2059"/>
      <c r="K10" s="2059"/>
      <c r="L10" s="2059"/>
      <c r="M10" s="2059"/>
      <c r="N10" s="94"/>
    </row>
    <row r="11" spans="1:14">
      <c r="A11" s="2059"/>
      <c r="B11" s="2059"/>
      <c r="C11" s="2059"/>
      <c r="D11" s="2059"/>
      <c r="E11" s="2059"/>
      <c r="F11" s="2059"/>
      <c r="G11" s="2059"/>
      <c r="H11" s="2059"/>
      <c r="I11" s="2059"/>
      <c r="J11" s="2059"/>
      <c r="K11" s="2059"/>
      <c r="L11" s="2059"/>
      <c r="M11" s="2059"/>
      <c r="N11" s="94"/>
    </row>
    <row r="12" spans="1:14">
      <c r="A12" s="2059"/>
      <c r="B12" s="2059"/>
      <c r="C12" s="2059"/>
      <c r="D12" s="2059"/>
      <c r="E12" s="2059"/>
      <c r="F12" s="2059"/>
      <c r="G12" s="2059"/>
      <c r="H12" s="2059"/>
      <c r="I12" s="2059"/>
      <c r="J12" s="2059"/>
      <c r="K12" s="2059"/>
      <c r="L12" s="2059"/>
      <c r="M12" s="2059"/>
      <c r="N12" s="94"/>
    </row>
    <row r="13" spans="1:14">
      <c r="A13" s="2059"/>
      <c r="B13" s="2059"/>
      <c r="C13" s="2059"/>
      <c r="D13" s="2059"/>
      <c r="E13" s="2059"/>
      <c r="F13" s="2059"/>
      <c r="G13" s="2059"/>
      <c r="H13" s="2059"/>
      <c r="I13" s="2059"/>
      <c r="J13" s="2059"/>
      <c r="K13" s="2059"/>
      <c r="L13" s="2059"/>
      <c r="M13" s="2059"/>
      <c r="N13" s="94"/>
    </row>
    <row r="14" spans="1:14">
      <c r="A14" s="2059"/>
      <c r="B14" s="2059"/>
      <c r="C14" s="2059"/>
      <c r="D14" s="2059"/>
      <c r="E14" s="2059"/>
      <c r="F14" s="2059"/>
      <c r="G14" s="2059"/>
      <c r="H14" s="2059"/>
      <c r="I14" s="2059"/>
      <c r="J14" s="2059"/>
      <c r="K14" s="2059"/>
      <c r="L14" s="2059"/>
      <c r="M14" s="2059"/>
      <c r="N14" s="94"/>
    </row>
    <row r="15" spans="1:14">
      <c r="A15" s="2059"/>
      <c r="B15" s="2059"/>
      <c r="C15" s="2059"/>
      <c r="D15" s="2059"/>
      <c r="E15" s="2059"/>
      <c r="F15" s="2059"/>
      <c r="G15" s="2059"/>
      <c r="H15" s="2059"/>
      <c r="I15" s="2059"/>
      <c r="J15" s="2059"/>
      <c r="K15" s="2059"/>
      <c r="L15" s="2059"/>
      <c r="M15" s="2059"/>
      <c r="N15" s="94"/>
    </row>
    <row r="16" spans="1:14">
      <c r="A16" s="2059"/>
      <c r="B16" s="2059"/>
      <c r="C16" s="2059"/>
      <c r="D16" s="2059"/>
      <c r="E16" s="2059"/>
      <c r="F16" s="2059"/>
      <c r="G16" s="2059"/>
      <c r="H16" s="2059"/>
      <c r="I16" s="2059"/>
      <c r="J16" s="2059"/>
      <c r="K16" s="2059"/>
      <c r="L16" s="2059"/>
      <c r="M16" s="2059"/>
      <c r="N16" s="94"/>
    </row>
    <row r="17" spans="1:14">
      <c r="A17" s="2059"/>
      <c r="B17" s="2059"/>
      <c r="C17" s="2059"/>
      <c r="D17" s="2059"/>
      <c r="E17" s="2059"/>
      <c r="F17" s="2059"/>
      <c r="G17" s="2059"/>
      <c r="H17" s="2059"/>
      <c r="I17" s="2059"/>
      <c r="J17" s="2059"/>
      <c r="K17" s="2059"/>
      <c r="L17" s="2059"/>
      <c r="M17" s="2059"/>
      <c r="N17" s="94"/>
    </row>
    <row r="18" spans="1:14">
      <c r="A18" s="2059"/>
      <c r="B18" s="2059"/>
      <c r="C18" s="2059"/>
      <c r="D18" s="2059"/>
      <c r="E18" s="2059"/>
      <c r="F18" s="2059"/>
      <c r="G18" s="2059"/>
      <c r="H18" s="2059"/>
      <c r="I18" s="2059"/>
      <c r="J18" s="2059"/>
      <c r="K18" s="2059"/>
      <c r="L18" s="2059"/>
      <c r="M18" s="2059"/>
      <c r="N18" s="94"/>
    </row>
    <row r="19" spans="1:14">
      <c r="A19" s="2059"/>
      <c r="B19" s="2059"/>
      <c r="C19" s="2059"/>
      <c r="D19" s="2059"/>
      <c r="E19" s="2059"/>
      <c r="F19" s="2059"/>
      <c r="G19" s="2059"/>
      <c r="H19" s="2059"/>
      <c r="I19" s="2059"/>
      <c r="J19" s="2059"/>
      <c r="K19" s="2059"/>
      <c r="L19" s="2059"/>
      <c r="M19" s="2059"/>
      <c r="N19" s="94"/>
    </row>
    <row r="20" spans="1:14">
      <c r="A20" s="2059"/>
      <c r="B20" s="2059"/>
      <c r="C20" s="2059"/>
      <c r="D20" s="2059"/>
      <c r="E20" s="2059"/>
      <c r="F20" s="2059"/>
      <c r="G20" s="2059"/>
      <c r="H20" s="2059"/>
      <c r="I20" s="2059"/>
      <c r="J20" s="2059"/>
      <c r="K20" s="2059"/>
      <c r="L20" s="2059"/>
      <c r="M20" s="2059"/>
      <c r="N20" s="94"/>
    </row>
    <row r="21" spans="1:14">
      <c r="A21" s="2059"/>
      <c r="B21" s="2059"/>
      <c r="C21" s="2059"/>
      <c r="D21" s="2059"/>
      <c r="E21" s="2059"/>
      <c r="F21" s="2059"/>
      <c r="G21" s="2059"/>
      <c r="H21" s="2059"/>
      <c r="I21" s="2059"/>
      <c r="J21" s="2059"/>
      <c r="K21" s="2059"/>
      <c r="L21" s="2059"/>
      <c r="M21" s="2059"/>
      <c r="N21" s="94"/>
    </row>
    <row r="22" spans="1:14">
      <c r="A22" s="2059"/>
      <c r="B22" s="2059"/>
      <c r="C22" s="2059"/>
      <c r="D22" s="2059"/>
      <c r="E22" s="2059"/>
      <c r="F22" s="2059"/>
      <c r="G22" s="2059"/>
      <c r="H22" s="2059"/>
      <c r="I22" s="2059"/>
      <c r="J22" s="2059"/>
      <c r="K22" s="2059"/>
      <c r="L22" s="2059"/>
      <c r="M22" s="2059"/>
      <c r="N22" s="94"/>
    </row>
    <row r="23" spans="1:14">
      <c r="A23" s="2059"/>
      <c r="B23" s="2059"/>
      <c r="C23" s="2059"/>
      <c r="D23" s="2059"/>
      <c r="E23" s="2059"/>
      <c r="F23" s="2059"/>
      <c r="G23" s="2059"/>
      <c r="H23" s="2059"/>
      <c r="I23" s="2059"/>
      <c r="J23" s="2059"/>
      <c r="K23" s="2059"/>
      <c r="L23" s="2059"/>
      <c r="M23" s="2059"/>
      <c r="N23" s="94"/>
    </row>
    <row r="24" spans="1:14">
      <c r="A24" s="2059"/>
      <c r="B24" s="2059"/>
      <c r="C24" s="2059"/>
      <c r="D24" s="2059"/>
      <c r="E24" s="2059"/>
      <c r="F24" s="2059"/>
      <c r="G24" s="2059"/>
      <c r="H24" s="2059"/>
      <c r="I24" s="2059"/>
      <c r="J24" s="2059"/>
      <c r="K24" s="2059"/>
      <c r="L24" s="2059"/>
      <c r="M24" s="2059"/>
      <c r="N24" s="94"/>
    </row>
    <row r="25" spans="1:14">
      <c r="A25" s="2059"/>
      <c r="B25" s="2059"/>
      <c r="C25" s="2059"/>
      <c r="D25" s="2059"/>
      <c r="E25" s="2059"/>
      <c r="F25" s="2059"/>
      <c r="G25" s="2059"/>
      <c r="H25" s="2059"/>
      <c r="I25" s="2059"/>
      <c r="J25" s="2059"/>
      <c r="K25" s="2059"/>
      <c r="L25" s="2059"/>
      <c r="M25" s="2059"/>
      <c r="N25" s="94"/>
    </row>
    <row r="26" spans="1:14">
      <c r="A26" s="2059"/>
      <c r="B26" s="2059"/>
      <c r="C26" s="2059"/>
      <c r="D26" s="2059"/>
      <c r="E26" s="2059"/>
      <c r="F26" s="2059"/>
      <c r="G26" s="2059"/>
      <c r="H26" s="2059"/>
      <c r="I26" s="2059"/>
      <c r="J26" s="2059"/>
      <c r="K26" s="2059"/>
      <c r="L26" s="2059"/>
      <c r="M26" s="2059"/>
      <c r="N26" s="94"/>
    </row>
    <row r="27" spans="1:14">
      <c r="A27" s="2059"/>
      <c r="B27" s="2059"/>
      <c r="C27" s="2059"/>
      <c r="D27" s="2059"/>
      <c r="E27" s="2059"/>
      <c r="F27" s="2059"/>
      <c r="G27" s="2059"/>
      <c r="H27" s="2059"/>
      <c r="I27" s="2059"/>
      <c r="J27" s="2059"/>
      <c r="K27" s="2059"/>
      <c r="L27" s="2059"/>
      <c r="M27" s="2059"/>
      <c r="N27" s="94"/>
    </row>
    <row r="28" spans="1:14">
      <c r="A28" s="2059"/>
      <c r="B28" s="2059"/>
      <c r="C28" s="2059"/>
      <c r="D28" s="2059"/>
      <c r="E28" s="2059"/>
      <c r="F28" s="2059"/>
      <c r="G28" s="2059"/>
      <c r="H28" s="2059"/>
      <c r="I28" s="2059"/>
      <c r="J28" s="2059"/>
      <c r="K28" s="2059"/>
      <c r="L28" s="2059"/>
      <c r="M28" s="2059"/>
      <c r="N28" s="94"/>
    </row>
    <row r="29" spans="1:14">
      <c r="A29" s="2059"/>
      <c r="B29" s="2059"/>
      <c r="C29" s="2059"/>
      <c r="D29" s="2059"/>
      <c r="E29" s="2059"/>
      <c r="F29" s="2059"/>
      <c r="G29" s="2059"/>
      <c r="H29" s="2059"/>
      <c r="I29" s="2059"/>
      <c r="J29" s="2059"/>
      <c r="K29" s="2059"/>
      <c r="L29" s="2059"/>
      <c r="M29" s="2059"/>
      <c r="N29" s="94"/>
    </row>
    <row r="30" spans="1:14">
      <c r="A30" s="2059"/>
      <c r="B30" s="2059"/>
      <c r="C30" s="2059"/>
      <c r="D30" s="2059"/>
      <c r="E30" s="2059"/>
      <c r="F30" s="2059"/>
      <c r="G30" s="2059"/>
      <c r="H30" s="2059"/>
      <c r="I30" s="2059"/>
      <c r="J30" s="2059"/>
      <c r="K30" s="2059"/>
      <c r="L30" s="2059"/>
      <c r="M30" s="2059"/>
      <c r="N30" s="94"/>
    </row>
    <row r="31" spans="1:14">
      <c r="A31" s="2059"/>
      <c r="B31" s="2059"/>
      <c r="C31" s="2059"/>
      <c r="D31" s="2059"/>
      <c r="E31" s="2059"/>
      <c r="F31" s="2059"/>
      <c r="G31" s="2059"/>
      <c r="H31" s="2059"/>
      <c r="I31" s="2059"/>
      <c r="J31" s="2059"/>
      <c r="K31" s="2059"/>
      <c r="L31" s="2059"/>
      <c r="M31" s="2059"/>
      <c r="N31" s="94"/>
    </row>
    <row r="32" spans="1:14">
      <c r="A32" s="2059"/>
      <c r="B32" s="2059"/>
      <c r="C32" s="2059"/>
      <c r="D32" s="2059"/>
      <c r="E32" s="2059"/>
      <c r="F32" s="2059"/>
      <c r="G32" s="2059"/>
      <c r="H32" s="2059"/>
      <c r="I32" s="2059"/>
      <c r="J32" s="2059"/>
      <c r="K32" s="2059"/>
      <c r="L32" s="2059"/>
      <c r="M32" s="2059"/>
      <c r="N32" s="94"/>
    </row>
    <row r="33" spans="1:14">
      <c r="A33" s="2059"/>
      <c r="B33" s="2059"/>
      <c r="C33" s="2059"/>
      <c r="D33" s="2059"/>
      <c r="E33" s="2059"/>
      <c r="F33" s="2059"/>
      <c r="G33" s="2059"/>
      <c r="H33" s="2059"/>
      <c r="I33" s="2059"/>
      <c r="J33" s="2059"/>
      <c r="K33" s="2059"/>
      <c r="L33" s="2059"/>
      <c r="M33" s="2059"/>
      <c r="N33" s="94"/>
    </row>
    <row r="34" spans="1:14">
      <c r="A34" s="2059"/>
      <c r="B34" s="2059"/>
      <c r="C34" s="2059"/>
      <c r="D34" s="2059"/>
      <c r="E34" s="2059"/>
      <c r="F34" s="2059"/>
      <c r="G34" s="2059"/>
      <c r="H34" s="2059"/>
      <c r="I34" s="2059"/>
      <c r="J34" s="2059"/>
      <c r="K34" s="2059"/>
      <c r="L34" s="2059"/>
      <c r="M34" s="2059"/>
      <c r="N34" s="94"/>
    </row>
    <row r="35" spans="1:14">
      <c r="A35" s="2059"/>
      <c r="B35" s="2059"/>
      <c r="C35" s="2059"/>
      <c r="D35" s="2059"/>
      <c r="E35" s="2059"/>
      <c r="F35" s="2059"/>
      <c r="G35" s="2059"/>
      <c r="H35" s="2059"/>
      <c r="I35" s="2059"/>
      <c r="J35" s="2059"/>
      <c r="K35" s="2059"/>
      <c r="L35" s="2059"/>
      <c r="M35" s="2059"/>
      <c r="N35" s="94"/>
    </row>
    <row r="36" spans="1:14">
      <c r="A36" s="2059"/>
      <c r="B36" s="2059"/>
      <c r="C36" s="2059"/>
      <c r="D36" s="2059"/>
      <c r="E36" s="2059"/>
      <c r="F36" s="2059"/>
      <c r="G36" s="2059"/>
      <c r="H36" s="2059"/>
      <c r="I36" s="2059"/>
      <c r="J36" s="2059"/>
      <c r="K36" s="2059"/>
      <c r="L36" s="2059"/>
      <c r="M36" s="2059"/>
      <c r="N36" s="94"/>
    </row>
    <row r="37" spans="1:14">
      <c r="A37" s="2059"/>
      <c r="B37" s="2059"/>
      <c r="C37" s="2059"/>
      <c r="D37" s="2059"/>
      <c r="E37" s="2059"/>
      <c r="F37" s="2059"/>
      <c r="G37" s="2059"/>
      <c r="H37" s="2059"/>
      <c r="I37" s="2059"/>
      <c r="J37" s="2059"/>
      <c r="K37" s="2059"/>
      <c r="L37" s="2059"/>
      <c r="M37" s="2059"/>
      <c r="N37" s="94"/>
    </row>
    <row r="38" spans="1:14">
      <c r="A38" s="2059"/>
      <c r="B38" s="2059"/>
      <c r="C38" s="2059"/>
      <c r="D38" s="2059"/>
      <c r="E38" s="2059"/>
      <c r="F38" s="2059"/>
      <c r="G38" s="2059"/>
      <c r="H38" s="2059"/>
      <c r="I38" s="2059"/>
      <c r="J38" s="2059"/>
      <c r="K38" s="2059"/>
      <c r="L38" s="2059"/>
      <c r="M38" s="2059"/>
      <c r="N38" s="94"/>
    </row>
    <row r="39" spans="1:14">
      <c r="A39" s="2059"/>
      <c r="B39" s="2059"/>
      <c r="C39" s="2059"/>
      <c r="D39" s="2059"/>
      <c r="E39" s="2059"/>
      <c r="F39" s="2059"/>
      <c r="G39" s="2059"/>
      <c r="H39" s="2059"/>
      <c r="I39" s="2059"/>
      <c r="J39" s="2059"/>
      <c r="K39" s="2059"/>
      <c r="L39" s="2059"/>
      <c r="M39" s="2059"/>
      <c r="N39" s="94"/>
    </row>
    <row r="40" spans="1:14">
      <c r="A40" s="94"/>
      <c r="B40" s="94"/>
      <c r="C40" s="94"/>
      <c r="D40" s="94"/>
      <c r="E40" s="94"/>
      <c r="F40" s="94"/>
      <c r="G40" s="94"/>
      <c r="H40" s="94"/>
      <c r="I40" s="94"/>
      <c r="J40" s="94"/>
      <c r="K40" s="94"/>
      <c r="L40" s="94"/>
      <c r="M40" s="94"/>
      <c r="N40" s="94"/>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39" sqref="N39"/>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O55"/>
  <sheetViews>
    <sheetView showGridLines="0" view="pageBreakPreview" zoomScale="85" zoomScaleNormal="100" zoomScaleSheetLayoutView="85" workbookViewId="0">
      <selection activeCell="O38" sqref="O38"/>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85546875" style="77" customWidth="1"/>
    <col min="14" max="16384" width="11.42578125" style="77"/>
  </cols>
  <sheetData>
    <row r="1" s="94" customFormat="1"/>
    <row r="2" s="94" customFormat="1"/>
    <row r="3" s="94" customFormat="1"/>
    <row r="4" s="94" customFormat="1"/>
    <row r="5" s="94" customFormat="1"/>
    <row r="20" spans="14:15">
      <c r="N20" s="18"/>
    </row>
    <row r="21" spans="14:15">
      <c r="N21" s="18"/>
    </row>
    <row r="23" spans="14:15">
      <c r="O23" s="18"/>
    </row>
    <row r="25" spans="14:15">
      <c r="N25" s="268"/>
    </row>
    <row r="26" spans="14:15">
      <c r="N26" s="268"/>
    </row>
    <row r="29" spans="14:15">
      <c r="O29" s="156"/>
    </row>
    <row r="30" spans="14:15">
      <c r="N30" s="18"/>
      <c r="O30" s="462"/>
    </row>
    <row r="31" spans="14:15" ht="18.75" customHeight="1"/>
    <row r="32" spans="14:15" ht="18.75" customHeight="1"/>
    <row r="33" spans="2:11" ht="18.75" customHeight="1"/>
    <row r="34" spans="2:11" ht="18.75" customHeight="1"/>
    <row r="40" spans="2:11">
      <c r="J40" s="156"/>
    </row>
    <row r="41" spans="2:11">
      <c r="I41" s="1190"/>
      <c r="K41" s="156"/>
    </row>
    <row r="42" spans="2:11" ht="17.25" customHeight="1">
      <c r="B42" s="212"/>
      <c r="C42" s="50"/>
      <c r="D42" s="50"/>
      <c r="E42" s="50"/>
      <c r="F42" s="50"/>
      <c r="G42" s="50"/>
      <c r="H42" s="50"/>
      <c r="I42" s="50"/>
      <c r="J42" s="209"/>
      <c r="K42" s="209"/>
    </row>
    <row r="43" spans="2:11" ht="21">
      <c r="B43" s="1251"/>
      <c r="C43" s="1250"/>
      <c r="D43" s="932"/>
      <c r="E43" s="932"/>
    </row>
    <row r="44" spans="2:11" ht="21">
      <c r="B44" s="1251"/>
      <c r="C44" s="1250"/>
      <c r="D44" s="932"/>
      <c r="E44" s="932"/>
    </row>
    <row r="45" spans="2:11" ht="15.75">
      <c r="B45" s="1245"/>
      <c r="C45" s="727"/>
    </row>
    <row r="46" spans="2:11" ht="26.25">
      <c r="B46" s="1253"/>
      <c r="C46" s="1248"/>
      <c r="D46" s="1249"/>
    </row>
    <row r="47" spans="2:11" ht="26.25">
      <c r="B47" s="1253"/>
      <c r="C47" s="1248"/>
      <c r="D47" s="1249"/>
    </row>
    <row r="48" spans="2:11" ht="15.75">
      <c r="B48" s="1245"/>
      <c r="C48" s="727"/>
    </row>
    <row r="49" spans="2:5" ht="15.75">
      <c r="B49" s="212"/>
    </row>
    <row r="50" spans="2:5" ht="21">
      <c r="B50" s="1251"/>
      <c r="C50" s="1250"/>
      <c r="D50" s="932"/>
      <c r="E50" s="932"/>
    </row>
    <row r="51" spans="2:5" ht="21">
      <c r="B51" s="1251"/>
      <c r="C51" s="1250"/>
      <c r="D51" s="932"/>
      <c r="E51" s="932"/>
    </row>
    <row r="52" spans="2:5" ht="15.75">
      <c r="B52" s="135"/>
    </row>
    <row r="53" spans="2:5" ht="21">
      <c r="B53" s="1252"/>
      <c r="C53" s="966"/>
    </row>
    <row r="54" spans="2:5" ht="15.75">
      <c r="B54" s="135"/>
    </row>
    <row r="55" spans="2:5" ht="15.75">
      <c r="B55" s="135"/>
    </row>
  </sheetData>
  <pageMargins left="0.70866141732283472" right="0.70866141732283472" top="0.74803149606299213" bottom="0.74803149606299213" header="0.31496062992125984" footer="0.31496062992125984"/>
  <pageSetup scale="7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Q31"/>
  <sheetViews>
    <sheetView showGridLines="0" view="pageBreakPreview" topLeftCell="B1" zoomScale="70" zoomScaleNormal="100" zoomScaleSheetLayoutView="70" workbookViewId="0">
      <pane ySplit="1" topLeftCell="A2" activePane="bottomLeft" state="frozen"/>
      <selection activeCell="M22" sqref="M22"/>
      <selection pane="bottomLeft" activeCell="L59" sqref="L59"/>
    </sheetView>
  </sheetViews>
  <sheetFormatPr baseColWidth="10" defaultColWidth="11.42578125" defaultRowHeight="15"/>
  <cols>
    <col min="1" max="1" width="16.28515625" style="1458" hidden="1" customWidth="1"/>
    <col min="2" max="2" width="16.140625" style="197" customWidth="1"/>
    <col min="3" max="3" width="16.85546875" style="1480" customWidth="1"/>
    <col min="4" max="4" width="19.140625" style="1480" customWidth="1"/>
    <col min="5" max="5" width="18" style="1480" customWidth="1"/>
    <col min="6" max="6" width="19.140625" style="210" customWidth="1"/>
    <col min="7" max="7" width="18.42578125" style="210" customWidth="1"/>
    <col min="8" max="8" width="17.7109375" style="210" customWidth="1"/>
    <col min="9" max="9" width="13.5703125" style="77" bestFit="1" customWidth="1"/>
    <col min="10" max="10" width="21.28515625" style="77" customWidth="1"/>
    <col min="11" max="12" width="22.5703125" style="77" customWidth="1"/>
    <col min="13" max="13" width="17.42578125" style="77" customWidth="1"/>
    <col min="14" max="14" width="20.85546875" style="77" customWidth="1"/>
    <col min="15" max="15" width="25.7109375" style="77" customWidth="1"/>
    <col min="16" max="16" width="14.28515625" style="77" customWidth="1"/>
    <col min="17" max="16384" width="11.42578125" style="77"/>
  </cols>
  <sheetData>
    <row r="1" spans="1:17" ht="88.5" customHeight="1">
      <c r="B1" s="2097"/>
      <c r="C1" s="2097"/>
      <c r="D1" s="2097"/>
      <c r="E1" s="2097"/>
      <c r="F1" s="2097"/>
      <c r="G1" s="2097"/>
      <c r="H1" s="2097"/>
      <c r="I1" s="2097"/>
      <c r="J1" s="2097"/>
      <c r="K1" s="2097"/>
      <c r="L1" s="2097"/>
      <c r="M1" s="2097"/>
      <c r="N1" s="2097"/>
      <c r="O1" s="2097"/>
      <c r="Q1" s="251"/>
    </row>
    <row r="2" spans="1:17" s="39" customFormat="1" ht="3.75" customHeight="1">
      <c r="B2" s="339"/>
      <c r="C2" s="188"/>
      <c r="D2" s="188"/>
      <c r="E2" s="188"/>
      <c r="F2" s="1485"/>
      <c r="G2" s="1485"/>
      <c r="H2" s="1485"/>
      <c r="I2" s="188"/>
      <c r="J2" s="188"/>
      <c r="K2" s="188"/>
      <c r="L2" s="188"/>
      <c r="M2" s="188"/>
      <c r="N2" s="188"/>
      <c r="O2" s="188"/>
      <c r="Q2" s="187"/>
    </row>
    <row r="3" spans="1:17" s="1157" customFormat="1" ht="46.5" customHeight="1">
      <c r="A3" s="1754"/>
      <c r="B3" s="1885" t="s">
        <v>25</v>
      </c>
      <c r="C3" s="1292" t="s">
        <v>505</v>
      </c>
      <c r="D3" s="1293" t="s">
        <v>506</v>
      </c>
      <c r="E3" s="1487" t="s">
        <v>143</v>
      </c>
      <c r="F3" s="1292" t="s">
        <v>943</v>
      </c>
      <c r="G3" s="1293" t="s">
        <v>147</v>
      </c>
      <c r="H3" s="1831" t="s">
        <v>717</v>
      </c>
    </row>
    <row r="4" spans="1:17" s="1225" customFormat="1" ht="18.75">
      <c r="A4" s="1225">
        <v>2005</v>
      </c>
      <c r="B4" s="1706" t="s">
        <v>26</v>
      </c>
      <c r="C4" s="1866">
        <v>106192</v>
      </c>
      <c r="D4" s="1866">
        <v>147182</v>
      </c>
      <c r="E4" s="1867">
        <f>C4+D4</f>
        <v>253374</v>
      </c>
      <c r="F4" s="1868">
        <f t="shared" ref="F4:F9" si="0">C4/E4</f>
        <v>0.41911166891630552</v>
      </c>
      <c r="G4" s="1869">
        <f>D4/E4</f>
        <v>0.58088833108369442</v>
      </c>
      <c r="H4" s="1870">
        <f t="shared" ref="H4:H11" si="1">D4/C4</f>
        <v>1.3859989453066144</v>
      </c>
    </row>
    <row r="5" spans="1:17" s="1225" customFormat="1" ht="18.75">
      <c r="A5" s="1225">
        <v>2006</v>
      </c>
      <c r="B5" s="1707" t="s">
        <v>27</v>
      </c>
      <c r="C5" s="1549">
        <v>258701</v>
      </c>
      <c r="D5" s="1549">
        <v>255339</v>
      </c>
      <c r="E5" s="1871">
        <f t="shared" ref="E5:E15" si="2">C5+D5</f>
        <v>514040</v>
      </c>
      <c r="F5" s="1872">
        <f t="shared" si="0"/>
        <v>0.50327017352735193</v>
      </c>
      <c r="G5" s="1873">
        <f>D5/E5</f>
        <v>0.49672982647264802</v>
      </c>
      <c r="H5" s="1874">
        <f t="shared" si="1"/>
        <v>0.9870043022640036</v>
      </c>
    </row>
    <row r="6" spans="1:17" s="1225" customFormat="1" ht="18.75">
      <c r="A6" s="1225">
        <v>2007</v>
      </c>
      <c r="B6" s="1707" t="s">
        <v>28</v>
      </c>
      <c r="C6" s="1549">
        <v>473647</v>
      </c>
      <c r="D6" s="1875">
        <v>608289</v>
      </c>
      <c r="E6" s="1876">
        <f t="shared" si="2"/>
        <v>1081936</v>
      </c>
      <c r="F6" s="1872">
        <f t="shared" si="0"/>
        <v>0.43777728072640154</v>
      </c>
      <c r="G6" s="1877">
        <f t="shared" ref="G6:G11" si="3">+D6/E6</f>
        <v>0.56222271927359846</v>
      </c>
      <c r="H6" s="1874">
        <f t="shared" si="1"/>
        <v>1.2842665529392143</v>
      </c>
    </row>
    <row r="7" spans="1:17" s="1225" customFormat="1" ht="18.75">
      <c r="A7" s="1225">
        <v>2008</v>
      </c>
      <c r="B7" s="1707" t="s">
        <v>29</v>
      </c>
      <c r="C7" s="1875">
        <v>489949</v>
      </c>
      <c r="D7" s="1875">
        <v>734949</v>
      </c>
      <c r="E7" s="1876">
        <f t="shared" si="2"/>
        <v>1224898</v>
      </c>
      <c r="F7" s="1872">
        <f t="shared" si="0"/>
        <v>0.39999167277601888</v>
      </c>
      <c r="G7" s="1877">
        <f t="shared" si="3"/>
        <v>0.60000832722398112</v>
      </c>
      <c r="H7" s="1874">
        <f t="shared" si="1"/>
        <v>1.5000520462333835</v>
      </c>
      <c r="P7" s="1226"/>
    </row>
    <row r="8" spans="1:17" s="1225" customFormat="1" ht="18.75">
      <c r="A8" s="1225">
        <v>2009</v>
      </c>
      <c r="B8" s="1707" t="s">
        <v>30</v>
      </c>
      <c r="C8" s="1875">
        <v>622049</v>
      </c>
      <c r="D8" s="1875">
        <v>782176</v>
      </c>
      <c r="E8" s="1876">
        <f t="shared" si="2"/>
        <v>1404225</v>
      </c>
      <c r="F8" s="1872">
        <f t="shared" si="0"/>
        <v>0.44298385230287168</v>
      </c>
      <c r="G8" s="1877">
        <f t="shared" si="3"/>
        <v>0.55701614769712826</v>
      </c>
      <c r="H8" s="1874">
        <f t="shared" si="1"/>
        <v>1.2574186277929873</v>
      </c>
    </row>
    <row r="9" spans="1:17" s="1225" customFormat="1" ht="15" customHeight="1">
      <c r="A9" s="1225">
        <v>2010</v>
      </c>
      <c r="B9" s="1707" t="s">
        <v>183</v>
      </c>
      <c r="C9" s="1875">
        <v>903250</v>
      </c>
      <c r="D9" s="1875">
        <v>1110536</v>
      </c>
      <c r="E9" s="1876">
        <f t="shared" si="2"/>
        <v>2013786</v>
      </c>
      <c r="F9" s="1872">
        <f t="shared" si="0"/>
        <v>0.44853326023718509</v>
      </c>
      <c r="G9" s="1877">
        <f t="shared" si="3"/>
        <v>0.55146673976281491</v>
      </c>
      <c r="H9" s="1874">
        <f t="shared" si="1"/>
        <v>1.229489067257127</v>
      </c>
    </row>
    <row r="10" spans="1:17" s="1225" customFormat="1" ht="18.75">
      <c r="A10" s="1225">
        <v>2011</v>
      </c>
      <c r="B10" s="1707" t="s">
        <v>223</v>
      </c>
      <c r="C10" s="1875">
        <v>883775</v>
      </c>
      <c r="D10" s="1875">
        <v>1119652</v>
      </c>
      <c r="E10" s="1876">
        <f t="shared" si="2"/>
        <v>2003427</v>
      </c>
      <c r="F10" s="1872">
        <f t="shared" ref="F10:F15" si="4">C10/E10</f>
        <v>0.44113162096747222</v>
      </c>
      <c r="G10" s="1877">
        <f t="shared" si="3"/>
        <v>0.55886837903252773</v>
      </c>
      <c r="H10" s="1874">
        <f t="shared" si="1"/>
        <v>1.2668971174789962</v>
      </c>
      <c r="I10" s="1814"/>
      <c r="J10" s="1814"/>
    </row>
    <row r="11" spans="1:17" s="1225" customFormat="1" ht="18.75">
      <c r="A11" s="1225">
        <v>2012</v>
      </c>
      <c r="B11" s="1707" t="s">
        <v>456</v>
      </c>
      <c r="C11" s="1875">
        <v>1178040</v>
      </c>
      <c r="D11" s="1875">
        <v>1125311</v>
      </c>
      <c r="E11" s="1876">
        <f t="shared" si="2"/>
        <v>2303351</v>
      </c>
      <c r="F11" s="1872">
        <f t="shared" si="4"/>
        <v>0.51144614954472856</v>
      </c>
      <c r="G11" s="1877">
        <f t="shared" si="3"/>
        <v>0.4885538504552715</v>
      </c>
      <c r="H11" s="1874">
        <f t="shared" si="1"/>
        <v>0.95524005976027981</v>
      </c>
      <c r="I11" s="1814"/>
      <c r="J11" s="1814"/>
    </row>
    <row r="12" spans="1:17" s="1225" customFormat="1" ht="18.75">
      <c r="A12" s="1225">
        <v>2013</v>
      </c>
      <c r="B12" s="1707" t="s">
        <v>530</v>
      </c>
      <c r="C12" s="1875">
        <v>1568225</v>
      </c>
      <c r="D12" s="1875">
        <v>1183528</v>
      </c>
      <c r="E12" s="1876">
        <f t="shared" si="2"/>
        <v>2751753</v>
      </c>
      <c r="F12" s="1872">
        <f t="shared" si="4"/>
        <v>0.56990035079456625</v>
      </c>
      <c r="G12" s="1877">
        <f>+D12/E12</f>
        <v>0.43009964920543375</v>
      </c>
      <c r="H12" s="1874">
        <f>D12/C12</f>
        <v>0.75469272585247649</v>
      </c>
    </row>
    <row r="13" spans="1:17" s="1225" customFormat="1" ht="18.75">
      <c r="A13" s="1225">
        <v>2014</v>
      </c>
      <c r="B13" s="1707" t="s">
        <v>542</v>
      </c>
      <c r="C13" s="1875">
        <v>1795214</v>
      </c>
      <c r="D13" s="1875">
        <v>1220432</v>
      </c>
      <c r="E13" s="1876">
        <f t="shared" si="2"/>
        <v>3015646</v>
      </c>
      <c r="F13" s="1872">
        <f t="shared" si="4"/>
        <v>0.5952999788436707</v>
      </c>
      <c r="G13" s="1877">
        <f>+D13/E13</f>
        <v>0.40470002115632936</v>
      </c>
      <c r="H13" s="1874">
        <f>D13/C13</f>
        <v>0.67982535786819842</v>
      </c>
    </row>
    <row r="14" spans="1:17" s="1225" customFormat="1" ht="18.75">
      <c r="A14" s="1225">
        <v>2015</v>
      </c>
      <c r="B14" s="1707" t="s">
        <v>953</v>
      </c>
      <c r="C14" s="1878">
        <v>2164705</v>
      </c>
      <c r="D14" s="1878">
        <v>1152700</v>
      </c>
      <c r="E14" s="1879">
        <f t="shared" ref="E14" si="5">C14+D14</f>
        <v>3317405</v>
      </c>
      <c r="F14" s="1872">
        <f t="shared" si="4"/>
        <v>0.65252961275454757</v>
      </c>
      <c r="G14" s="1877">
        <f>+D14/E14</f>
        <v>0.34747038724545237</v>
      </c>
      <c r="H14" s="1874">
        <f>D14/C14</f>
        <v>0.53249749965930693</v>
      </c>
    </row>
    <row r="15" spans="1:17" s="1225" customFormat="1" ht="18.75">
      <c r="A15" s="1225">
        <v>2016</v>
      </c>
      <c r="B15" s="1708" t="s">
        <v>1003</v>
      </c>
      <c r="C15" s="1880">
        <v>2155008</v>
      </c>
      <c r="D15" s="1880">
        <v>1143739</v>
      </c>
      <c r="E15" s="1881">
        <f t="shared" si="2"/>
        <v>3298747</v>
      </c>
      <c r="F15" s="1882">
        <f t="shared" si="4"/>
        <v>0.65328077600373713</v>
      </c>
      <c r="G15" s="1883">
        <f>+D15/E15</f>
        <v>0.34671922399626282</v>
      </c>
      <c r="H15" s="1884">
        <f>D15/C15</f>
        <v>0.5307353847410311</v>
      </c>
      <c r="I15" s="2050"/>
    </row>
    <row r="16" spans="1:17" s="151" customFormat="1" ht="20.25" customHeight="1">
      <c r="B16" s="2098" t="s">
        <v>675</v>
      </c>
      <c r="C16" s="2098"/>
      <c r="D16" s="2098"/>
      <c r="E16" s="2098"/>
      <c r="F16" s="2098"/>
      <c r="G16" s="2098"/>
      <c r="H16" s="2098"/>
    </row>
    <row r="17" spans="2:16">
      <c r="B17" s="1387"/>
    </row>
    <row r="31" spans="2:16">
      <c r="P31" s="77" t="s">
        <v>31</v>
      </c>
    </row>
  </sheetData>
  <mergeCells count="2">
    <mergeCell ref="B1:O1"/>
    <mergeCell ref="B16:H16"/>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70" zoomScaleNormal="70" zoomScaleSheetLayoutView="70" workbookViewId="0">
      <selection activeCell="C16" sqref="C16"/>
    </sheetView>
  </sheetViews>
  <sheetFormatPr baseColWidth="10" defaultColWidth="11.42578125" defaultRowHeight="15"/>
  <cols>
    <col min="1" max="1" width="12" style="77" customWidth="1"/>
    <col min="2" max="2" width="12.7109375" style="1112" customWidth="1"/>
    <col min="3" max="3" width="16.140625" style="1112" customWidth="1"/>
    <col min="4" max="5" width="15.85546875" style="1112" customWidth="1"/>
    <col min="6" max="6" width="11.85546875" style="77" customWidth="1"/>
    <col min="7" max="7" width="14.5703125" style="77" customWidth="1"/>
    <col min="8" max="8" width="13.5703125" style="77" customWidth="1"/>
    <col min="9" max="9" width="15.28515625" style="77" customWidth="1"/>
    <col min="10" max="10" width="12.5703125" style="77" customWidth="1"/>
    <col min="11" max="11" width="11.42578125" style="77" customWidth="1"/>
    <col min="12" max="12" width="17.140625" style="77" customWidth="1"/>
    <col min="13" max="13" width="16" style="77" customWidth="1"/>
    <col min="14" max="14" width="9.85546875" style="77" customWidth="1"/>
    <col min="15" max="15" width="20" style="77" customWidth="1"/>
    <col min="16" max="16384" width="11.42578125" style="77"/>
  </cols>
  <sheetData>
    <row r="1" spans="1:14" s="94" customFormat="1" ht="69.75" customHeight="1">
      <c r="A1" s="2099"/>
      <c r="B1" s="2099"/>
      <c r="C1" s="2099"/>
      <c r="D1" s="2099"/>
      <c r="E1" s="2099"/>
      <c r="F1" s="2099"/>
      <c r="G1" s="2099"/>
      <c r="H1" s="2099"/>
      <c r="I1" s="2099"/>
      <c r="J1" s="2099"/>
      <c r="K1" s="2099"/>
      <c r="L1" s="2099"/>
      <c r="M1" s="2099"/>
      <c r="N1" s="2099"/>
    </row>
    <row r="2" spans="1:14" s="39" customFormat="1" ht="6" customHeight="1">
      <c r="A2" s="188"/>
      <c r="B2" s="188"/>
      <c r="C2" s="188"/>
      <c r="D2" s="188"/>
      <c r="E2" s="188"/>
      <c r="F2" s="188"/>
      <c r="G2" s="188"/>
      <c r="H2" s="188"/>
      <c r="I2" s="188"/>
      <c r="J2" s="188"/>
      <c r="K2" s="188"/>
      <c r="L2" s="188"/>
    </row>
    <row r="3" spans="1:14" ht="39.75" customHeight="1">
      <c r="A3" s="1422" t="s">
        <v>226</v>
      </c>
      <c r="B3" s="340" t="s">
        <v>505</v>
      </c>
      <c r="C3" s="340" t="s">
        <v>506</v>
      </c>
      <c r="D3" s="1422" t="s">
        <v>143</v>
      </c>
      <c r="E3" s="1422" t="s">
        <v>718</v>
      </c>
      <c r="I3" s="151"/>
      <c r="J3" s="151"/>
      <c r="K3" s="879"/>
      <c r="L3" s="879"/>
      <c r="M3" s="879"/>
    </row>
    <row r="4" spans="1:14" ht="15" customHeight="1">
      <c r="A4" s="341" t="s">
        <v>697</v>
      </c>
      <c r="B4" s="1228">
        <v>1811780</v>
      </c>
      <c r="C4" s="1228">
        <v>1221857</v>
      </c>
      <c r="D4" s="1607">
        <f t="shared" ref="D4" si="0">B4+C4</f>
        <v>3033637</v>
      </c>
      <c r="E4" s="1606">
        <f t="shared" ref="E4:E16" si="1">C4/B4</f>
        <v>0.67439589795670551</v>
      </c>
      <c r="G4" s="1228"/>
      <c r="I4" s="879"/>
      <c r="J4" s="879"/>
      <c r="K4" s="879"/>
      <c r="L4" s="879"/>
      <c r="M4" s="879"/>
    </row>
    <row r="5" spans="1:14" ht="15" customHeight="1">
      <c r="A5" s="341" t="s">
        <v>704</v>
      </c>
      <c r="B5" s="1228">
        <v>1806574</v>
      </c>
      <c r="C5" s="1228">
        <v>1211157</v>
      </c>
      <c r="D5" s="1607">
        <f>B5+C5</f>
        <v>3017731</v>
      </c>
      <c r="E5" s="1606">
        <f t="shared" si="1"/>
        <v>0.67041648999708836</v>
      </c>
      <c r="I5" s="879"/>
      <c r="J5" s="879"/>
      <c r="K5" s="879"/>
      <c r="L5" s="879"/>
      <c r="M5" s="879"/>
    </row>
    <row r="6" spans="1:14" ht="15" customHeight="1">
      <c r="A6" s="341" t="s">
        <v>716</v>
      </c>
      <c r="B6" s="1228">
        <v>1832898</v>
      </c>
      <c r="C6" s="1228">
        <v>1210455</v>
      </c>
      <c r="D6" s="1607">
        <f t="shared" ref="D6:D16" si="2">B6+C6</f>
        <v>3043353</v>
      </c>
      <c r="E6" s="1606">
        <f t="shared" si="1"/>
        <v>0.66040499798679464</v>
      </c>
      <c r="I6" s="879"/>
      <c r="J6" s="879"/>
      <c r="K6" s="879"/>
      <c r="L6" s="879"/>
      <c r="M6" s="879"/>
    </row>
    <row r="7" spans="1:14" ht="15" customHeight="1">
      <c r="A7" s="341" t="s">
        <v>725</v>
      </c>
      <c r="B7" s="1228">
        <v>1847595</v>
      </c>
      <c r="C7" s="1228">
        <v>1215547</v>
      </c>
      <c r="D7" s="1607">
        <f t="shared" si="2"/>
        <v>3063142</v>
      </c>
      <c r="E7" s="1606">
        <f t="shared" si="1"/>
        <v>0.65790771245862867</v>
      </c>
      <c r="I7" s="879"/>
      <c r="J7" s="879"/>
      <c r="K7" s="879"/>
      <c r="L7" s="879"/>
      <c r="M7" s="879"/>
    </row>
    <row r="8" spans="1:14" ht="15" customHeight="1">
      <c r="A8" s="341" t="s">
        <v>733</v>
      </c>
      <c r="B8" s="1228">
        <v>1855392</v>
      </c>
      <c r="C8" s="1228">
        <v>1220552</v>
      </c>
      <c r="D8" s="1607">
        <f t="shared" si="2"/>
        <v>3075944</v>
      </c>
      <c r="E8" s="1606">
        <f t="shared" si="1"/>
        <v>0.65784049947396561</v>
      </c>
      <c r="I8" s="879"/>
      <c r="J8" s="879"/>
      <c r="K8" s="879"/>
      <c r="L8" s="879"/>
      <c r="M8" s="879"/>
    </row>
    <row r="9" spans="1:14" ht="15" customHeight="1">
      <c r="A9" s="341" t="s">
        <v>737</v>
      </c>
      <c r="B9" s="1228">
        <v>1966061</v>
      </c>
      <c r="C9" s="1228">
        <v>1109948</v>
      </c>
      <c r="D9" s="1607">
        <f t="shared" si="2"/>
        <v>3076009</v>
      </c>
      <c r="E9" s="1606">
        <f t="shared" si="1"/>
        <v>0.56455420254000255</v>
      </c>
      <c r="I9" s="879"/>
      <c r="J9" s="879"/>
      <c r="K9" s="879"/>
      <c r="L9" s="879"/>
      <c r="M9" s="879"/>
    </row>
    <row r="10" spans="1:14" s="1458" customFormat="1" ht="15" customHeight="1">
      <c r="A10" s="341" t="s">
        <v>923</v>
      </c>
      <c r="B10" s="1228">
        <v>1962747</v>
      </c>
      <c r="C10" s="1228">
        <v>1118089</v>
      </c>
      <c r="D10" s="1607">
        <f t="shared" si="2"/>
        <v>3080836</v>
      </c>
      <c r="E10" s="1606">
        <f t="shared" si="1"/>
        <v>0.569655182252221</v>
      </c>
      <c r="I10" s="879"/>
      <c r="J10" s="879"/>
      <c r="K10" s="879"/>
      <c r="L10" s="879"/>
      <c r="M10" s="879"/>
    </row>
    <row r="11" spans="1:14" s="1458" customFormat="1" ht="15" customHeight="1">
      <c r="A11" s="341" t="s">
        <v>942</v>
      </c>
      <c r="B11" s="1228">
        <v>1993874</v>
      </c>
      <c r="C11" s="1228">
        <v>1113802</v>
      </c>
      <c r="D11" s="1607">
        <f t="shared" si="2"/>
        <v>3107676</v>
      </c>
      <c r="E11" s="1606">
        <f t="shared" si="1"/>
        <v>0.55861202864373571</v>
      </c>
      <c r="I11" s="879"/>
      <c r="J11" s="879"/>
      <c r="K11" s="879"/>
      <c r="L11" s="879"/>
      <c r="M11" s="879"/>
    </row>
    <row r="12" spans="1:14" s="1458" customFormat="1" ht="15" customHeight="1">
      <c r="A12" s="341" t="s">
        <v>952</v>
      </c>
      <c r="B12" s="1228">
        <v>2164705</v>
      </c>
      <c r="C12" s="1228">
        <v>1152700</v>
      </c>
      <c r="D12" s="1607">
        <f t="shared" si="2"/>
        <v>3317405</v>
      </c>
      <c r="E12" s="1606">
        <f t="shared" si="1"/>
        <v>0.53249749965930693</v>
      </c>
    </row>
    <row r="13" spans="1:14" s="1458" customFormat="1" ht="15" customHeight="1">
      <c r="A13" s="341" t="s">
        <v>970</v>
      </c>
      <c r="B13" s="1228">
        <v>2155809</v>
      </c>
      <c r="C13" s="1228">
        <v>1157100</v>
      </c>
      <c r="D13" s="1607">
        <f t="shared" si="2"/>
        <v>3312909</v>
      </c>
      <c r="E13" s="1606">
        <f t="shared" si="1"/>
        <v>0.5367358611082893</v>
      </c>
    </row>
    <row r="14" spans="1:14" ht="15" customHeight="1">
      <c r="A14" s="341" t="s">
        <v>974</v>
      </c>
      <c r="B14" s="1228">
        <v>2129754</v>
      </c>
      <c r="C14" s="1228">
        <v>1142222</v>
      </c>
      <c r="D14" s="1607">
        <v>3271976</v>
      </c>
      <c r="E14" s="1606">
        <f t="shared" si="1"/>
        <v>0.53631640086132015</v>
      </c>
    </row>
    <row r="15" spans="1:14" s="1458" customFormat="1" ht="15" customHeight="1">
      <c r="A15" s="341" t="s">
        <v>987</v>
      </c>
      <c r="B15" s="1228">
        <v>2136638</v>
      </c>
      <c r="C15" s="1228">
        <v>1140371</v>
      </c>
      <c r="D15" s="1607">
        <v>3277009</v>
      </c>
      <c r="E15" s="1606">
        <f t="shared" si="1"/>
        <v>0.53372213730168616</v>
      </c>
    </row>
    <row r="16" spans="1:14" ht="15.75" customHeight="1">
      <c r="A16" s="350" t="s">
        <v>1001</v>
      </c>
      <c r="B16" s="1323">
        <v>2155008</v>
      </c>
      <c r="C16" s="1323">
        <v>1143739</v>
      </c>
      <c r="D16" s="1607">
        <f t="shared" si="2"/>
        <v>3298747</v>
      </c>
      <c r="E16" s="1606">
        <f t="shared" si="1"/>
        <v>0.5307353847410311</v>
      </c>
    </row>
    <row r="17" spans="1:5">
      <c r="A17" s="2100"/>
      <c r="B17" s="2100"/>
      <c r="C17" s="2100"/>
      <c r="D17" s="2100"/>
      <c r="E17" s="2100"/>
    </row>
    <row r="18" spans="1:5">
      <c r="A18" s="2101"/>
      <c r="B18" s="2101"/>
      <c r="C18" s="2101"/>
      <c r="D18" s="2101"/>
      <c r="E18" s="2101"/>
    </row>
    <row r="35" ht="38.25" customHeight="1"/>
    <row r="36" ht="59.25" customHeight="1"/>
  </sheetData>
  <mergeCells count="2">
    <mergeCell ref="A1:N1"/>
    <mergeCell ref="A17:E18"/>
  </mergeCells>
  <printOptions horizontalCentered="1" verticalCentered="1"/>
  <pageMargins left="0.4" right="0.4" top="0.25" bottom="0.25" header="0.31496062992126" footer="0.31496062992126"/>
  <pageSetup scale="67"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8"/>
  <sheetViews>
    <sheetView showGridLines="0" view="pageBreakPreview" zoomScale="70" zoomScaleNormal="100" zoomScaleSheetLayoutView="70" workbookViewId="0">
      <pane ySplit="1" topLeftCell="A2" activePane="bottomLeft" state="frozen"/>
      <selection activeCell="M22" sqref="M22"/>
      <selection pane="bottomLeft" activeCell="H7" sqref="H7"/>
    </sheetView>
  </sheetViews>
  <sheetFormatPr baseColWidth="10" defaultColWidth="11.42578125" defaultRowHeight="15"/>
  <cols>
    <col min="1" max="1" width="14" style="77" customWidth="1"/>
    <col min="2" max="2" width="15.5703125" style="77" customWidth="1"/>
    <col min="3" max="3" width="17" style="77" customWidth="1"/>
    <col min="4" max="4" width="20.140625" style="77" customWidth="1"/>
    <col min="5" max="5" width="18.42578125" style="77" customWidth="1"/>
    <col min="6" max="6" width="12.7109375" style="77" bestFit="1" customWidth="1"/>
    <col min="7" max="7" width="13.7109375" style="77" bestFit="1" customWidth="1"/>
    <col min="8" max="8" width="13.5703125" style="77" bestFit="1" customWidth="1"/>
    <col min="9" max="9" width="13.7109375" style="77" bestFit="1" customWidth="1"/>
    <col min="10" max="10" width="10.28515625" style="77" customWidth="1"/>
    <col min="11" max="11" width="11.140625" style="77" customWidth="1"/>
    <col min="12" max="12" width="17.42578125" style="77" customWidth="1"/>
    <col min="13" max="13" width="20.85546875" style="77" customWidth="1"/>
    <col min="14" max="14" width="25.7109375" style="77" customWidth="1"/>
    <col min="15" max="15" width="14.28515625" style="77" customWidth="1"/>
    <col min="16" max="16384" width="11.42578125" style="77"/>
  </cols>
  <sheetData>
    <row r="1" spans="1:16" ht="71.25" customHeight="1">
      <c r="A1" s="2097"/>
      <c r="B1" s="2097"/>
      <c r="C1" s="2097"/>
      <c r="D1" s="2097"/>
      <c r="E1" s="2097"/>
      <c r="F1" s="2097"/>
      <c r="G1" s="2097"/>
      <c r="H1" s="2097"/>
      <c r="I1" s="2097"/>
      <c r="J1" s="2097"/>
      <c r="K1" s="2097"/>
      <c r="L1" s="2097"/>
      <c r="M1" s="2097"/>
      <c r="N1" s="2097"/>
      <c r="P1" s="802"/>
    </row>
    <row r="2" spans="1:16" s="39" customFormat="1" ht="3" customHeight="1">
      <c r="A2" s="188"/>
      <c r="B2" s="188"/>
      <c r="C2" s="188"/>
      <c r="D2" s="188"/>
      <c r="E2" s="188"/>
      <c r="F2" s="188"/>
      <c r="G2" s="188"/>
      <c r="H2" s="188"/>
      <c r="I2" s="188"/>
      <c r="J2" s="188"/>
      <c r="K2" s="188"/>
      <c r="L2" s="188"/>
      <c r="M2" s="188"/>
      <c r="N2" s="188"/>
      <c r="P2" s="187"/>
    </row>
    <row r="3" spans="1:16" ht="53.25" customHeight="1">
      <c r="A3" s="347" t="s">
        <v>25</v>
      </c>
      <c r="B3" s="831" t="s">
        <v>635</v>
      </c>
      <c r="C3" s="808" t="s">
        <v>636</v>
      </c>
      <c r="D3" s="1922" t="s">
        <v>637</v>
      </c>
      <c r="E3" s="809" t="s">
        <v>717</v>
      </c>
    </row>
    <row r="4" spans="1:16">
      <c r="A4" s="829" t="s">
        <v>26</v>
      </c>
      <c r="B4" s="812">
        <v>0</v>
      </c>
      <c r="C4" s="810">
        <v>0</v>
      </c>
      <c r="D4" s="1923">
        <v>266531</v>
      </c>
      <c r="E4" s="1940"/>
    </row>
    <row r="5" spans="1:16">
      <c r="A5" s="829" t="s">
        <v>27</v>
      </c>
      <c r="B5" s="812">
        <v>254831</v>
      </c>
      <c r="C5" s="810">
        <v>258585</v>
      </c>
      <c r="D5" s="1923">
        <f t="shared" ref="D5:D12" si="0">B5+C5</f>
        <v>513416</v>
      </c>
      <c r="E5" s="1940">
        <f>C5/B5</f>
        <v>1.0147313317453528</v>
      </c>
    </row>
    <row r="6" spans="1:16">
      <c r="A6" s="829" t="s">
        <v>28</v>
      </c>
      <c r="B6" s="812">
        <v>473647</v>
      </c>
      <c r="C6" s="810">
        <v>608289</v>
      </c>
      <c r="D6" s="1923">
        <f t="shared" si="0"/>
        <v>1081936</v>
      </c>
      <c r="E6" s="1940">
        <f t="shared" ref="E6:E12" si="1">C6/B6</f>
        <v>1.2842665529392143</v>
      </c>
    </row>
    <row r="7" spans="1:16">
      <c r="A7" s="829" t="s">
        <v>29</v>
      </c>
      <c r="B7" s="812">
        <v>489949</v>
      </c>
      <c r="C7" s="810">
        <v>734694</v>
      </c>
      <c r="D7" s="1923">
        <f t="shared" si="0"/>
        <v>1224643</v>
      </c>
      <c r="E7" s="1940">
        <f t="shared" si="1"/>
        <v>1.4995315838995487</v>
      </c>
      <c r="O7" s="18"/>
    </row>
    <row r="8" spans="1:16">
      <c r="A8" s="829" t="s">
        <v>30</v>
      </c>
      <c r="B8" s="812">
        <v>575190</v>
      </c>
      <c r="C8" s="810">
        <v>770976</v>
      </c>
      <c r="D8" s="1923">
        <f t="shared" si="0"/>
        <v>1346166</v>
      </c>
      <c r="E8" s="1940">
        <f t="shared" si="1"/>
        <v>1.3403849162885308</v>
      </c>
    </row>
    <row r="9" spans="1:16" ht="15" customHeight="1">
      <c r="A9" s="829" t="s">
        <v>183</v>
      </c>
      <c r="B9" s="812">
        <v>880620</v>
      </c>
      <c r="C9" s="810">
        <v>967213</v>
      </c>
      <c r="D9" s="1923">
        <f t="shared" si="0"/>
        <v>1847833</v>
      </c>
      <c r="E9" s="1940">
        <f t="shared" si="1"/>
        <v>1.098331857100679</v>
      </c>
    </row>
    <row r="10" spans="1:16">
      <c r="A10" s="829" t="s">
        <v>223</v>
      </c>
      <c r="B10" s="812">
        <v>885431</v>
      </c>
      <c r="C10" s="810">
        <v>1110904</v>
      </c>
      <c r="D10" s="1923">
        <f t="shared" si="0"/>
        <v>1996335</v>
      </c>
      <c r="E10" s="1940">
        <f t="shared" si="1"/>
        <v>1.2546477365260533</v>
      </c>
    </row>
    <row r="11" spans="1:16">
      <c r="A11" s="829" t="s">
        <v>456</v>
      </c>
      <c r="B11" s="812">
        <v>1170009</v>
      </c>
      <c r="C11" s="810">
        <v>1124347</v>
      </c>
      <c r="D11" s="1923">
        <f t="shared" si="0"/>
        <v>2294356</v>
      </c>
      <c r="E11" s="1940">
        <f t="shared" si="1"/>
        <v>0.96097294978072823</v>
      </c>
    </row>
    <row r="12" spans="1:16">
      <c r="A12" s="829" t="s">
        <v>530</v>
      </c>
      <c r="B12" s="812">
        <v>1467184</v>
      </c>
      <c r="C12" s="810">
        <v>1179715</v>
      </c>
      <c r="D12" s="1923">
        <f t="shared" si="0"/>
        <v>2646899</v>
      </c>
      <c r="E12" s="1940">
        <f t="shared" si="1"/>
        <v>0.80406751982028157</v>
      </c>
    </row>
    <row r="13" spans="1:16">
      <c r="A13" s="829" t="s">
        <v>542</v>
      </c>
      <c r="B13" s="812">
        <v>1795214</v>
      </c>
      <c r="C13" s="810">
        <v>1220432</v>
      </c>
      <c r="D13" s="1923">
        <f>B13+C13</f>
        <v>3015646</v>
      </c>
      <c r="E13" s="1940">
        <f>C13/B13</f>
        <v>0.67982535786819842</v>
      </c>
    </row>
    <row r="14" spans="1:16" s="1458" customFormat="1">
      <c r="A14" s="829" t="s">
        <v>953</v>
      </c>
      <c r="B14" s="812">
        <v>1993874</v>
      </c>
      <c r="C14" s="810">
        <v>1116683</v>
      </c>
      <c r="D14" s="1923">
        <v>3110557</v>
      </c>
      <c r="E14" s="1940">
        <f>C14/B14</f>
        <v>0.56005695445148485</v>
      </c>
    </row>
    <row r="15" spans="1:16">
      <c r="A15" s="830" t="s">
        <v>1004</v>
      </c>
      <c r="B15" s="813">
        <v>2136638</v>
      </c>
      <c r="C15" s="811">
        <f>1140371+192</f>
        <v>1140563</v>
      </c>
      <c r="D15" s="1924">
        <f>B15+C15</f>
        <v>3277201</v>
      </c>
      <c r="E15" s="1941">
        <f>C15/B15</f>
        <v>0.53381199810169055</v>
      </c>
    </row>
    <row r="16" spans="1:16" ht="16.5" customHeight="1">
      <c r="A16" s="2102" t="s">
        <v>676</v>
      </c>
      <c r="B16" s="2102"/>
      <c r="C16" s="2102"/>
      <c r="D16" s="2102"/>
      <c r="E16" s="2102"/>
    </row>
    <row r="28" spans="15:15">
      <c r="O28" s="77" t="s">
        <v>31</v>
      </c>
    </row>
  </sheetData>
  <mergeCells count="2">
    <mergeCell ref="A1:N1"/>
    <mergeCell ref="A16:E16"/>
  </mergeCells>
  <printOptions horizontalCentered="1" verticalCentered="1"/>
  <pageMargins left="0.39370078740157483" right="0.39370078740157483" top="0.23622047244094491" bottom="0.23622047244094491" header="0.31496062992125984" footer="0.31496062992125984"/>
  <pageSetup scale="58"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7"/>
  <sheetViews>
    <sheetView showGridLines="0" view="pageBreakPreview" zoomScale="70" zoomScaleNormal="70" zoomScaleSheetLayoutView="70" workbookViewId="0">
      <selection activeCell="D16" sqref="D16"/>
    </sheetView>
  </sheetViews>
  <sheetFormatPr baseColWidth="10" defaultColWidth="11.42578125" defaultRowHeight="15"/>
  <cols>
    <col min="1" max="1" width="11.42578125" style="77" customWidth="1"/>
    <col min="2" max="2" width="14.42578125" style="77" customWidth="1"/>
    <col min="3" max="3" width="18.42578125" style="77" customWidth="1"/>
    <col min="4" max="4" width="16.85546875" style="77" customWidth="1"/>
    <col min="5" max="5" width="17.42578125" style="77" customWidth="1"/>
    <col min="6" max="6" width="11.85546875" style="77" customWidth="1"/>
    <col min="7" max="7" width="14.5703125" style="77" customWidth="1"/>
    <col min="8" max="8" width="13.5703125" style="77" customWidth="1"/>
    <col min="9" max="9" width="15.28515625" style="77" customWidth="1"/>
    <col min="10" max="10" width="20" style="77" customWidth="1"/>
    <col min="11" max="11" width="23.85546875" style="77" customWidth="1"/>
    <col min="12" max="12" width="14.140625" style="77" customWidth="1"/>
    <col min="13" max="13" width="11.42578125" style="77"/>
    <col min="14" max="14" width="4.5703125" style="77" customWidth="1"/>
    <col min="15" max="15" width="20" style="77" customWidth="1"/>
    <col min="16" max="16384" width="11.42578125" style="77"/>
  </cols>
  <sheetData>
    <row r="1" spans="1:14" ht="67.5" customHeight="1">
      <c r="A1" s="2099"/>
      <c r="B1" s="2099"/>
      <c r="C1" s="2099"/>
      <c r="D1" s="2099"/>
      <c r="E1" s="2099"/>
      <c r="F1" s="2099"/>
      <c r="G1" s="2099"/>
      <c r="H1" s="2099"/>
      <c r="I1" s="2099"/>
      <c r="J1" s="2099"/>
      <c r="K1" s="2099"/>
      <c r="L1" s="2099"/>
      <c r="M1" s="2099"/>
      <c r="N1" s="2099"/>
    </row>
    <row r="2" spans="1:14" s="39" customFormat="1" ht="3" customHeight="1">
      <c r="A2" s="188"/>
      <c r="B2" s="188"/>
      <c r="C2" s="188"/>
      <c r="D2" s="188"/>
      <c r="E2" s="188"/>
      <c r="F2" s="188"/>
      <c r="G2" s="188"/>
      <c r="H2" s="188"/>
      <c r="I2" s="188"/>
      <c r="J2" s="188"/>
      <c r="K2" s="188"/>
      <c r="L2" s="188"/>
    </row>
    <row r="3" spans="1:14" s="135" customFormat="1" ht="54" customHeight="1">
      <c r="A3" s="1422" t="s">
        <v>226</v>
      </c>
      <c r="B3" s="340" t="s">
        <v>635</v>
      </c>
      <c r="C3" s="340" t="s">
        <v>636</v>
      </c>
      <c r="D3" s="1423" t="s">
        <v>637</v>
      </c>
      <c r="E3" s="1227" t="s">
        <v>717</v>
      </c>
    </row>
    <row r="4" spans="1:14" ht="15" customHeight="1">
      <c r="A4" s="341" t="s">
        <v>697</v>
      </c>
      <c r="B4" s="1228">
        <v>1806581</v>
      </c>
      <c r="C4" s="1228">
        <v>1225984</v>
      </c>
      <c r="D4" s="1709">
        <f t="shared" ref="D4:D15" si="0">+C4+B4</f>
        <v>3032565</v>
      </c>
      <c r="E4" s="1710">
        <f t="shared" ref="E4:E10" si="1">C4/B4</f>
        <v>0.67862110804885034</v>
      </c>
    </row>
    <row r="5" spans="1:14" ht="15" customHeight="1">
      <c r="A5" s="341" t="s">
        <v>704</v>
      </c>
      <c r="B5" s="1228">
        <v>1811780</v>
      </c>
      <c r="C5" s="1228">
        <v>1221857</v>
      </c>
      <c r="D5" s="1709">
        <f t="shared" si="0"/>
        <v>3033637</v>
      </c>
      <c r="E5" s="1710">
        <f t="shared" si="1"/>
        <v>0.67439589795670551</v>
      </c>
    </row>
    <row r="6" spans="1:14" ht="15" customHeight="1">
      <c r="A6" s="341" t="s">
        <v>716</v>
      </c>
      <c r="B6" s="1228">
        <v>1823787</v>
      </c>
      <c r="C6" s="1228">
        <v>1213761</v>
      </c>
      <c r="D6" s="1709">
        <f t="shared" si="0"/>
        <v>3037548</v>
      </c>
      <c r="E6" s="1710">
        <f t="shared" si="1"/>
        <v>0.66551686134400567</v>
      </c>
    </row>
    <row r="7" spans="1:14" ht="15" customHeight="1">
      <c r="A7" s="341" t="s">
        <v>725</v>
      </c>
      <c r="B7" s="1228">
        <v>1832898</v>
      </c>
      <c r="C7" s="1228">
        <v>1211174</v>
      </c>
      <c r="D7" s="1709">
        <f t="shared" si="0"/>
        <v>3044072</v>
      </c>
      <c r="E7" s="1710">
        <f t="shared" si="1"/>
        <v>0.66079727295245017</v>
      </c>
    </row>
    <row r="8" spans="1:14" ht="15" customHeight="1">
      <c r="A8" s="341" t="s">
        <v>733</v>
      </c>
      <c r="B8" s="1228">
        <v>1847595</v>
      </c>
      <c r="C8" s="1228">
        <v>1215547</v>
      </c>
      <c r="D8" s="1709">
        <f t="shared" si="0"/>
        <v>3063142</v>
      </c>
      <c r="E8" s="1710">
        <f t="shared" si="1"/>
        <v>0.65790771245862867</v>
      </c>
    </row>
    <row r="9" spans="1:14" ht="15" customHeight="1">
      <c r="A9" s="341" t="s">
        <v>737</v>
      </c>
      <c r="B9" s="1228">
        <v>1855392</v>
      </c>
      <c r="C9" s="1228">
        <v>1222537</v>
      </c>
      <c r="D9" s="1709">
        <f t="shared" si="0"/>
        <v>3077929</v>
      </c>
      <c r="E9" s="1710">
        <f t="shared" si="1"/>
        <v>0.6589103542539797</v>
      </c>
    </row>
    <row r="10" spans="1:14" s="1458" customFormat="1" ht="15" customHeight="1">
      <c r="A10" s="341" t="s">
        <v>923</v>
      </c>
      <c r="B10" s="1228">
        <v>1966061</v>
      </c>
      <c r="C10" s="1228">
        <v>1109948</v>
      </c>
      <c r="D10" s="1709">
        <f t="shared" si="0"/>
        <v>3076009</v>
      </c>
      <c r="E10" s="1710">
        <f t="shared" si="1"/>
        <v>0.56455420254000255</v>
      </c>
    </row>
    <row r="11" spans="1:14" s="1458" customFormat="1" ht="15" customHeight="1">
      <c r="A11" s="341" t="s">
        <v>942</v>
      </c>
      <c r="B11" s="1228">
        <v>1962747</v>
      </c>
      <c r="C11" s="1228">
        <v>1126925</v>
      </c>
      <c r="D11" s="1709">
        <f t="shared" si="0"/>
        <v>3089672</v>
      </c>
      <c r="E11" s="1710">
        <v>0.57415703603164336</v>
      </c>
    </row>
    <row r="12" spans="1:14" s="1458" customFormat="1" ht="15" customHeight="1">
      <c r="A12" s="341" t="s">
        <v>952</v>
      </c>
      <c r="B12" s="1228">
        <v>1993874</v>
      </c>
      <c r="C12" s="1228">
        <v>1116683</v>
      </c>
      <c r="D12" s="1709">
        <f t="shared" si="0"/>
        <v>3110557</v>
      </c>
      <c r="E12" s="1710">
        <v>0.57415703603164336</v>
      </c>
    </row>
    <row r="13" spans="1:14" ht="15.75">
      <c r="A13" s="341" t="s">
        <v>970</v>
      </c>
      <c r="B13" s="1228">
        <v>2164705</v>
      </c>
      <c r="C13" s="1228">
        <v>1152700</v>
      </c>
      <c r="D13" s="1709">
        <f t="shared" ref="D13" si="2">+C13+B13</f>
        <v>3317405</v>
      </c>
      <c r="E13" s="1710">
        <f>C13/B13</f>
        <v>0.53249749965930693</v>
      </c>
    </row>
    <row r="14" spans="1:14" s="1458" customFormat="1" ht="15.75">
      <c r="A14" s="341" t="s">
        <v>974</v>
      </c>
      <c r="B14" s="1228">
        <v>2155809</v>
      </c>
      <c r="C14" s="1228">
        <v>1159613</v>
      </c>
      <c r="D14" s="1709">
        <v>3315422</v>
      </c>
      <c r="E14" s="1710">
        <f>C14/B14</f>
        <v>0.53790154879212393</v>
      </c>
    </row>
    <row r="15" spans="1:14" ht="15.75">
      <c r="A15" s="341" t="s">
        <v>987</v>
      </c>
      <c r="B15" s="1228">
        <v>2129754</v>
      </c>
      <c r="C15" s="1228">
        <v>1142222</v>
      </c>
      <c r="D15" s="1709">
        <f t="shared" si="0"/>
        <v>3271976</v>
      </c>
      <c r="E15" s="1710">
        <f>C15/B15</f>
        <v>0.53631640086132015</v>
      </c>
    </row>
    <row r="16" spans="1:14" s="1458" customFormat="1" ht="15.75">
      <c r="A16" s="350" t="s">
        <v>1001</v>
      </c>
      <c r="B16" s="1323">
        <v>2136638</v>
      </c>
      <c r="C16" s="1323">
        <f>1140371+192</f>
        <v>1140563</v>
      </c>
      <c r="D16" s="1711">
        <f t="shared" ref="D16" si="3">+C16+B16</f>
        <v>3277201</v>
      </c>
      <c r="E16" s="1712">
        <f>C16/B16</f>
        <v>0.53381199810169055</v>
      </c>
    </row>
    <row r="17" spans="1:1" ht="15.75">
      <c r="A17" s="341" t="s">
        <v>981</v>
      </c>
    </row>
  </sheetData>
  <mergeCells count="1">
    <mergeCell ref="A1:N1"/>
  </mergeCells>
  <printOptions horizontalCentered="1" verticalCentered="1"/>
  <pageMargins left="0.4" right="0.4" top="0.25" bottom="0.25" header="0.31496062992126" footer="0.31496062992126"/>
  <pageSetup scale="6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X74"/>
  <sheetViews>
    <sheetView showGridLines="0" view="pageBreakPreview" topLeftCell="B1" zoomScale="70" zoomScaleNormal="100" zoomScaleSheetLayoutView="70" zoomScalePageLayoutView="62" workbookViewId="0">
      <selection activeCell="J12" sqref="J12"/>
    </sheetView>
  </sheetViews>
  <sheetFormatPr baseColWidth="10" defaultColWidth="11.42578125" defaultRowHeight="21"/>
  <cols>
    <col min="1" max="1" width="0" style="1458" hidden="1" customWidth="1"/>
    <col min="2" max="2" width="14.140625" style="77" customWidth="1"/>
    <col min="3" max="3" width="15" style="77" customWidth="1"/>
    <col min="4" max="4" width="22.28515625" style="77" customWidth="1"/>
    <col min="5" max="5" width="22.5703125" style="77" customWidth="1"/>
    <col min="6" max="6" width="19.140625" style="77" bestFit="1" customWidth="1"/>
    <col min="7" max="7" width="23.140625" style="77" customWidth="1"/>
    <col min="8" max="8" width="22.140625" style="77" customWidth="1"/>
    <col min="9" max="9" width="22.28515625" style="77" bestFit="1" customWidth="1"/>
    <col min="10" max="10" width="14.85546875" style="77" customWidth="1"/>
    <col min="11" max="11" width="16.140625" style="77" customWidth="1"/>
    <col min="12" max="14" width="10.5703125" style="77" customWidth="1"/>
    <col min="15" max="15" width="10.28515625" style="77" customWidth="1"/>
    <col min="16" max="16" width="5.7109375" style="135" customWidth="1"/>
    <col min="17" max="17" width="14" style="932" customWidth="1"/>
    <col min="18" max="20" width="11.42578125" style="932"/>
    <col min="21" max="21" width="9.5703125" style="932" customWidth="1"/>
    <col min="22" max="22" width="11.42578125" style="932"/>
    <col min="23" max="23" width="11.42578125" style="77"/>
    <col min="24" max="24" width="18.7109375" style="77" bestFit="1" customWidth="1"/>
    <col min="25" max="16384" width="11.42578125" style="77"/>
  </cols>
  <sheetData>
    <row r="1" spans="1:22" ht="99.75" customHeight="1">
      <c r="B1" s="2082"/>
      <c r="C1" s="2082"/>
      <c r="D1" s="2082"/>
      <c r="E1" s="2082"/>
      <c r="F1" s="2082"/>
      <c r="G1" s="2082"/>
      <c r="H1" s="2082"/>
      <c r="I1" s="2082"/>
      <c r="J1" s="2082"/>
      <c r="K1" s="2082"/>
      <c r="L1" s="2082"/>
      <c r="M1" s="2082"/>
      <c r="N1" s="2082"/>
      <c r="O1" s="2082"/>
    </row>
    <row r="2" spans="1:22" ht="4.5" customHeight="1">
      <c r="B2" s="816"/>
      <c r="C2" s="816"/>
      <c r="D2" s="816"/>
      <c r="E2" s="816"/>
      <c r="F2" s="816"/>
      <c r="G2" s="816"/>
      <c r="H2" s="816"/>
      <c r="I2" s="816"/>
      <c r="J2" s="816"/>
      <c r="K2" s="816"/>
      <c r="L2" s="816"/>
      <c r="M2" s="1262"/>
      <c r="N2" s="1262"/>
      <c r="O2" s="816"/>
    </row>
    <row r="3" spans="1:22" ht="21.75" customHeight="1">
      <c r="B3" s="2095" t="s">
        <v>38</v>
      </c>
      <c r="C3" s="2104" t="s">
        <v>41</v>
      </c>
      <c r="D3" s="2105"/>
      <c r="E3" s="2093" t="s">
        <v>720</v>
      </c>
      <c r="F3" s="2105" t="s">
        <v>42</v>
      </c>
      <c r="G3" s="2105"/>
      <c r="H3" s="2093" t="s">
        <v>642</v>
      </c>
      <c r="I3" s="2088" t="s">
        <v>677</v>
      </c>
      <c r="J3" s="816"/>
      <c r="K3" s="816"/>
      <c r="L3" s="816"/>
      <c r="M3" s="1262"/>
      <c r="N3" s="1262"/>
      <c r="O3" s="816"/>
      <c r="P3" s="1243"/>
    </row>
    <row r="4" spans="1:22" s="50" customFormat="1" ht="45" customHeight="1">
      <c r="B4" s="2096"/>
      <c r="C4" s="891" t="s">
        <v>638</v>
      </c>
      <c r="D4" s="891" t="s">
        <v>639</v>
      </c>
      <c r="E4" s="2094"/>
      <c r="F4" s="1414" t="s">
        <v>638</v>
      </c>
      <c r="G4" s="1414" t="s">
        <v>639</v>
      </c>
      <c r="H4" s="2094"/>
      <c r="I4" s="2089"/>
      <c r="J4" s="77"/>
      <c r="K4" s="77"/>
      <c r="L4" s="77"/>
      <c r="M4" s="77"/>
      <c r="N4" s="77"/>
      <c r="O4" s="77"/>
      <c r="P4" s="212"/>
      <c r="Q4" s="1544"/>
      <c r="R4" s="1544"/>
      <c r="S4" s="1544"/>
      <c r="T4" s="1544"/>
      <c r="U4" s="1544"/>
      <c r="V4" s="1544"/>
    </row>
    <row r="5" spans="1:22">
      <c r="A5" s="1458">
        <v>2007</v>
      </c>
      <c r="B5" s="819" t="s">
        <v>483</v>
      </c>
      <c r="C5" s="1418">
        <v>169757</v>
      </c>
      <c r="D5" s="1713">
        <v>310064</v>
      </c>
      <c r="E5" s="1257">
        <f>C5+D5</f>
        <v>479821</v>
      </c>
      <c r="F5" s="1418">
        <v>303890</v>
      </c>
      <c r="G5" s="1713">
        <v>298225</v>
      </c>
      <c r="H5" s="1714">
        <f>F5+G5</f>
        <v>602115</v>
      </c>
      <c r="I5" s="1424">
        <f t="shared" ref="I5:I14" si="0">E5+H5</f>
        <v>1081936</v>
      </c>
      <c r="K5" s="156"/>
      <c r="L5" s="156"/>
      <c r="M5" s="156"/>
      <c r="N5" s="156"/>
      <c r="O5" s="156"/>
      <c r="P5" s="1244"/>
      <c r="Q5" s="1251"/>
      <c r="R5" s="1250"/>
    </row>
    <row r="6" spans="1:22">
      <c r="A6" s="1458">
        <v>2008</v>
      </c>
      <c r="B6" s="814" t="s">
        <v>458</v>
      </c>
      <c r="C6" s="1280">
        <v>169198</v>
      </c>
      <c r="D6" s="1420">
        <v>376240</v>
      </c>
      <c r="E6" s="1258">
        <f t="shared" ref="E6:E12" si="1">C6+D6</f>
        <v>545438</v>
      </c>
      <c r="F6" s="1280">
        <v>320751</v>
      </c>
      <c r="G6" s="1420">
        <v>358454</v>
      </c>
      <c r="H6" s="1281">
        <f t="shared" ref="H6:H12" si="2">F6+G6</f>
        <v>679205</v>
      </c>
      <c r="I6" s="1426">
        <f t="shared" si="0"/>
        <v>1224643</v>
      </c>
      <c r="K6" s="156"/>
      <c r="L6" s="156"/>
      <c r="M6" s="156"/>
      <c r="N6" s="156"/>
      <c r="O6" s="156"/>
      <c r="P6" s="1244"/>
      <c r="Q6" s="1251"/>
      <c r="R6" s="1250"/>
    </row>
    <row r="7" spans="1:22">
      <c r="A7" s="1458">
        <v>2009</v>
      </c>
      <c r="B7" s="820" t="s">
        <v>409</v>
      </c>
      <c r="C7" s="1280">
        <v>213701</v>
      </c>
      <c r="D7" s="1420">
        <v>401930</v>
      </c>
      <c r="E7" s="1258">
        <f t="shared" si="1"/>
        <v>615631</v>
      </c>
      <c r="F7" s="1280">
        <v>408348</v>
      </c>
      <c r="G7" s="1420">
        <v>380246</v>
      </c>
      <c r="H7" s="1281">
        <f t="shared" si="2"/>
        <v>788594</v>
      </c>
      <c r="I7" s="1426">
        <f t="shared" si="0"/>
        <v>1404225</v>
      </c>
      <c r="K7" s="156"/>
      <c r="L7" s="156"/>
      <c r="M7" s="156"/>
      <c r="N7" s="156"/>
      <c r="O7" s="156"/>
      <c r="P7" s="1244"/>
      <c r="Q7" s="934"/>
      <c r="R7" s="1250"/>
    </row>
    <row r="8" spans="1:22">
      <c r="A8" s="1458">
        <v>2010</v>
      </c>
      <c r="B8" s="814" t="s">
        <v>410</v>
      </c>
      <c r="C8" s="1280">
        <v>328922</v>
      </c>
      <c r="D8" s="1420">
        <v>575714</v>
      </c>
      <c r="E8" s="1258">
        <f t="shared" si="1"/>
        <v>904636</v>
      </c>
      <c r="F8" s="1280">
        <v>574328</v>
      </c>
      <c r="G8" s="1420">
        <v>534822</v>
      </c>
      <c r="H8" s="1281">
        <f t="shared" si="2"/>
        <v>1109150</v>
      </c>
      <c r="I8" s="1426">
        <f t="shared" si="0"/>
        <v>2013786</v>
      </c>
      <c r="L8" s="156"/>
      <c r="M8" s="156"/>
      <c r="N8" s="156"/>
      <c r="O8" s="156"/>
      <c r="P8" s="1244"/>
      <c r="Q8" s="1973"/>
      <c r="R8" s="1248"/>
      <c r="S8" s="1249"/>
    </row>
    <row r="9" spans="1:22">
      <c r="A9" s="1458">
        <v>2011</v>
      </c>
      <c r="B9" s="820" t="s">
        <v>411</v>
      </c>
      <c r="C9" s="1280">
        <v>319816</v>
      </c>
      <c r="D9" s="1420">
        <v>579358</v>
      </c>
      <c r="E9" s="1258">
        <f t="shared" si="1"/>
        <v>899174</v>
      </c>
      <c r="F9" s="1280">
        <v>563959</v>
      </c>
      <c r="G9" s="1420">
        <v>540294</v>
      </c>
      <c r="H9" s="1281">
        <f t="shared" si="2"/>
        <v>1104253</v>
      </c>
      <c r="I9" s="1426">
        <f t="shared" si="0"/>
        <v>2003427</v>
      </c>
      <c r="L9" s="252"/>
      <c r="M9" s="252"/>
      <c r="N9" s="252"/>
      <c r="O9" s="156"/>
      <c r="P9" s="1244"/>
      <c r="Q9" s="1973"/>
      <c r="R9" s="1248"/>
      <c r="S9" s="1249"/>
    </row>
    <row r="10" spans="1:22">
      <c r="A10" s="1458">
        <v>2012</v>
      </c>
      <c r="B10" s="814" t="s">
        <v>459</v>
      </c>
      <c r="C10" s="1280">
        <v>446880</v>
      </c>
      <c r="D10" s="1420">
        <v>584446</v>
      </c>
      <c r="E10" s="1258">
        <f t="shared" si="1"/>
        <v>1031326</v>
      </c>
      <c r="F10" s="1280">
        <v>731160</v>
      </c>
      <c r="G10" s="1420">
        <v>540865</v>
      </c>
      <c r="H10" s="1281">
        <f t="shared" si="2"/>
        <v>1272025</v>
      </c>
      <c r="I10" s="1426">
        <f t="shared" si="0"/>
        <v>2303351</v>
      </c>
      <c r="K10" s="173"/>
      <c r="L10" s="156"/>
      <c r="M10" s="156"/>
      <c r="N10" s="156"/>
      <c r="O10" s="156"/>
      <c r="P10" s="1244"/>
      <c r="Q10" s="934"/>
      <c r="R10" s="1250"/>
    </row>
    <row r="11" spans="1:22">
      <c r="A11" s="1458">
        <v>2013</v>
      </c>
      <c r="B11" s="820" t="s">
        <v>515</v>
      </c>
      <c r="C11" s="1280">
        <v>625451</v>
      </c>
      <c r="D11" s="1420">
        <v>617980</v>
      </c>
      <c r="E11" s="1258">
        <f t="shared" si="1"/>
        <v>1243431</v>
      </c>
      <c r="F11" s="1280">
        <v>942774</v>
      </c>
      <c r="G11" s="1420">
        <v>565548</v>
      </c>
      <c r="H11" s="1281">
        <f t="shared" si="2"/>
        <v>1508322</v>
      </c>
      <c r="I11" s="1426">
        <f t="shared" si="0"/>
        <v>2751753</v>
      </c>
      <c r="K11" s="173"/>
      <c r="L11" s="156"/>
      <c r="M11" s="156"/>
      <c r="N11" s="156"/>
      <c r="O11" s="156"/>
      <c r="P11" s="1244"/>
      <c r="Q11" s="1544"/>
    </row>
    <row r="12" spans="1:22">
      <c r="A12" s="1458">
        <v>2014</v>
      </c>
      <c r="B12" s="814" t="s">
        <v>546</v>
      </c>
      <c r="C12" s="1280">
        <v>760801</v>
      </c>
      <c r="D12" s="1420">
        <v>639717</v>
      </c>
      <c r="E12" s="1258">
        <f t="shared" si="1"/>
        <v>1400518</v>
      </c>
      <c r="F12" s="1280">
        <v>1034413</v>
      </c>
      <c r="G12" s="1420">
        <v>580715</v>
      </c>
      <c r="H12" s="1281">
        <f t="shared" si="2"/>
        <v>1615128</v>
      </c>
      <c r="I12" s="1426">
        <f t="shared" si="0"/>
        <v>3015646</v>
      </c>
      <c r="J12" s="268"/>
      <c r="K12" s="1007"/>
      <c r="L12" s="1158"/>
      <c r="M12" s="1158"/>
      <c r="N12" s="1158"/>
      <c r="O12" s="156"/>
      <c r="P12" s="1244"/>
      <c r="Q12" s="1251"/>
      <c r="R12" s="1250"/>
    </row>
    <row r="13" spans="1:22">
      <c r="A13" s="1458">
        <v>2015</v>
      </c>
      <c r="B13" s="814" t="s">
        <v>952</v>
      </c>
      <c r="C13" s="1280">
        <v>965980</v>
      </c>
      <c r="D13" s="1420">
        <v>606813</v>
      </c>
      <c r="E13" s="1258">
        <f>C13+D13</f>
        <v>1572793</v>
      </c>
      <c r="F13" s="1280">
        <v>1198725</v>
      </c>
      <c r="G13" s="1420">
        <v>545887</v>
      </c>
      <c r="H13" s="1281">
        <f t="shared" ref="H13" si="3">F13+G13</f>
        <v>1744612</v>
      </c>
      <c r="I13" s="1426">
        <f t="shared" ref="I13" si="4">E13+H13</f>
        <v>3317405</v>
      </c>
      <c r="J13" s="156"/>
      <c r="K13" s="156"/>
      <c r="L13" s="156"/>
      <c r="M13" s="156"/>
      <c r="N13" s="156"/>
      <c r="O13" s="156"/>
      <c r="P13" s="1244"/>
      <c r="Q13" s="1251"/>
      <c r="R13" s="1250"/>
    </row>
    <row r="14" spans="1:22">
      <c r="A14" s="1458">
        <v>2016</v>
      </c>
      <c r="B14" s="821" t="s">
        <v>1001</v>
      </c>
      <c r="C14" s="1815">
        <v>954752</v>
      </c>
      <c r="D14" s="1816">
        <v>600555</v>
      </c>
      <c r="E14" s="1817">
        <f>C14+D14</f>
        <v>1555307</v>
      </c>
      <c r="F14" s="1815">
        <v>1200256</v>
      </c>
      <c r="G14" s="1816">
        <v>543184</v>
      </c>
      <c r="H14" s="1818">
        <f>F14+G14</f>
        <v>1743440</v>
      </c>
      <c r="I14" s="1819">
        <f t="shared" si="0"/>
        <v>3298747</v>
      </c>
      <c r="J14" s="31"/>
      <c r="L14" s="31"/>
      <c r="M14" s="31"/>
      <c r="N14" s="31"/>
      <c r="O14" s="31"/>
    </row>
    <row r="15" spans="1:22" s="1458" customFormat="1" ht="25.5" customHeight="1">
      <c r="B15" s="2106" t="s">
        <v>719</v>
      </c>
      <c r="C15" s="2106"/>
      <c r="D15" s="2106"/>
      <c r="E15" s="2106"/>
      <c r="F15" s="2106"/>
      <c r="G15" s="2106"/>
      <c r="H15" s="2106"/>
      <c r="I15" s="2106"/>
      <c r="J15" s="31"/>
      <c r="K15" s="31"/>
      <c r="L15" s="31"/>
      <c r="M15" s="31"/>
      <c r="N15" s="31"/>
      <c r="O15" s="31"/>
      <c r="P15" s="135"/>
      <c r="Q15" s="932"/>
      <c r="R15" s="932"/>
      <c r="S15" s="932"/>
      <c r="T15" s="932"/>
      <c r="U15" s="932"/>
      <c r="V15" s="932"/>
    </row>
    <row r="16" spans="1:22" ht="25.5" customHeight="1">
      <c r="B16" s="2103"/>
      <c r="C16" s="2103"/>
      <c r="D16" s="2103"/>
      <c r="E16" s="2103"/>
      <c r="F16" s="2103"/>
      <c r="G16" s="2103"/>
      <c r="H16" s="2103"/>
      <c r="I16" s="2103"/>
      <c r="J16" s="31"/>
      <c r="K16" s="31"/>
      <c r="L16" s="31"/>
      <c r="M16" s="31"/>
      <c r="N16" s="31"/>
      <c r="O16" s="31"/>
      <c r="Q16" s="1252"/>
      <c r="R16" s="966"/>
    </row>
    <row r="17" spans="2:24" ht="25.5" customHeight="1">
      <c r="B17" s="1820"/>
      <c r="C17" s="1820"/>
      <c r="D17" s="1820"/>
      <c r="E17" s="1820"/>
      <c r="F17" s="1820"/>
      <c r="G17" s="1820"/>
      <c r="H17" s="1820"/>
      <c r="I17" s="1820"/>
      <c r="J17" s="31"/>
      <c r="K17" s="31"/>
      <c r="L17" s="31"/>
      <c r="M17" s="31"/>
      <c r="N17" s="31"/>
      <c r="O17" s="31"/>
    </row>
    <row r="18" spans="2:24" ht="25.5" customHeight="1">
      <c r="I18" s="31"/>
      <c r="J18" s="31"/>
      <c r="K18" s="31"/>
      <c r="L18" s="31"/>
      <c r="M18" s="31"/>
      <c r="N18" s="31"/>
      <c r="O18" s="31"/>
    </row>
    <row r="19" spans="2:24" ht="25.5" customHeight="1">
      <c r="B19" s="31"/>
      <c r="C19" s="31"/>
      <c r="D19" s="31"/>
      <c r="E19" s="31"/>
      <c r="F19" s="31"/>
      <c r="G19" s="31"/>
      <c r="I19" s="31"/>
      <c r="J19" s="31"/>
      <c r="K19" s="31"/>
      <c r="L19" s="31"/>
      <c r="M19" s="31"/>
      <c r="N19" s="31"/>
      <c r="O19" s="31"/>
      <c r="P19" s="1246"/>
    </row>
    <row r="20" spans="2:24" ht="25.5" customHeight="1">
      <c r="B20" s="31"/>
      <c r="C20" s="31"/>
      <c r="D20" s="31"/>
      <c r="E20" s="31"/>
      <c r="F20" s="31"/>
      <c r="G20" s="31"/>
      <c r="I20" s="31"/>
      <c r="J20" s="31"/>
      <c r="K20" s="31"/>
      <c r="L20" s="31"/>
      <c r="M20" s="31"/>
      <c r="N20" s="31"/>
      <c r="O20" s="31"/>
      <c r="P20" s="1246"/>
    </row>
    <row r="21" spans="2:24" ht="25.5" customHeight="1">
      <c r="B21" s="31"/>
      <c r="C21" s="31"/>
      <c r="D21" s="31"/>
      <c r="E21" s="31"/>
      <c r="F21" s="31"/>
      <c r="G21" s="31"/>
      <c r="H21" s="31"/>
      <c r="I21" s="31"/>
      <c r="J21" s="31"/>
      <c r="K21" s="31"/>
      <c r="L21" s="31"/>
      <c r="M21" s="31"/>
      <c r="N21" s="31"/>
      <c r="O21" s="31"/>
      <c r="P21" s="1246"/>
    </row>
    <row r="22" spans="2:24" ht="25.5" customHeight="1">
      <c r="B22" s="31"/>
      <c r="C22" s="31"/>
      <c r="D22" s="31"/>
      <c r="E22" s="31"/>
      <c r="F22" s="31"/>
      <c r="G22" s="31"/>
      <c r="H22" s="31"/>
      <c r="I22" s="31"/>
      <c r="J22" s="31"/>
      <c r="K22" s="31"/>
      <c r="L22" s="31"/>
      <c r="M22" s="31"/>
      <c r="N22" s="31"/>
      <c r="O22" s="31"/>
      <c r="P22" s="1246"/>
    </row>
    <row r="23" spans="2:24" ht="25.5" customHeight="1">
      <c r="B23" s="31"/>
      <c r="C23" s="31"/>
      <c r="D23" s="31"/>
      <c r="E23" s="31"/>
      <c r="F23" s="31"/>
      <c r="G23" s="31"/>
      <c r="H23" s="31"/>
      <c r="I23" s="31"/>
      <c r="J23" s="31"/>
      <c r="K23" s="31"/>
      <c r="L23" s="31"/>
      <c r="M23" s="31"/>
      <c r="N23" s="31"/>
      <c r="O23" s="31"/>
      <c r="P23" s="1246"/>
    </row>
    <row r="24" spans="2:24" ht="25.5" customHeight="1">
      <c r="B24" s="31"/>
      <c r="C24" s="31"/>
      <c r="D24" s="31"/>
      <c r="E24" s="31"/>
      <c r="F24" s="31"/>
      <c r="G24" s="31"/>
      <c r="H24" s="31"/>
      <c r="I24" s="31"/>
      <c r="J24" s="31"/>
      <c r="K24" s="31"/>
      <c r="L24" s="31"/>
      <c r="M24" s="31"/>
      <c r="N24" s="31"/>
      <c r="O24" s="31"/>
      <c r="P24" s="1246"/>
    </row>
    <row r="25" spans="2:24" ht="25.5" customHeight="1">
      <c r="B25" s="31"/>
      <c r="C25" s="31"/>
      <c r="D25" s="31"/>
      <c r="E25" s="31"/>
      <c r="F25" s="31"/>
      <c r="G25" s="31"/>
      <c r="H25" s="31"/>
      <c r="I25" s="31"/>
      <c r="J25" s="31"/>
      <c r="K25" s="31"/>
      <c r="L25" s="31"/>
      <c r="M25" s="31"/>
      <c r="N25" s="31"/>
      <c r="O25" s="31"/>
    </row>
    <row r="26" spans="2:24" ht="25.5" customHeight="1">
      <c r="B26" s="31"/>
      <c r="C26" s="31"/>
      <c r="D26" s="31"/>
      <c r="E26" s="31"/>
      <c r="F26" s="31"/>
      <c r="G26" s="31"/>
      <c r="H26" s="31"/>
      <c r="I26" s="31"/>
      <c r="J26" s="31"/>
      <c r="K26" s="31"/>
      <c r="L26" s="31"/>
      <c r="M26" s="31"/>
      <c r="N26" s="31"/>
      <c r="O26" s="31"/>
      <c r="P26" s="1246"/>
    </row>
    <row r="27" spans="2:24" ht="25.5" customHeight="1">
      <c r="B27" s="31"/>
      <c r="C27" s="31"/>
      <c r="D27" s="31"/>
      <c r="E27" s="31"/>
      <c r="F27" s="31"/>
      <c r="G27" s="31"/>
      <c r="H27" s="31"/>
      <c r="I27" s="31"/>
      <c r="L27" s="31"/>
      <c r="M27" s="31"/>
      <c r="N27" s="31"/>
      <c r="O27" s="31"/>
      <c r="P27" s="1246"/>
    </row>
    <row r="28" spans="2:24">
      <c r="P28" s="1243"/>
      <c r="Q28" s="966"/>
      <c r="R28" s="966"/>
      <c r="S28" s="966"/>
      <c r="T28" s="966"/>
      <c r="U28" s="966"/>
      <c r="V28" s="966"/>
      <c r="W28" s="96"/>
      <c r="X28" s="96"/>
    </row>
    <row r="29" spans="2:24">
      <c r="P29" s="1247"/>
      <c r="Q29" s="966"/>
      <c r="R29" s="966"/>
      <c r="S29" s="966"/>
      <c r="T29" s="966"/>
      <c r="U29" s="966"/>
      <c r="V29" s="966"/>
      <c r="W29" s="96"/>
      <c r="X29" s="96"/>
    </row>
    <row r="30" spans="2:24">
      <c r="Q30" s="966"/>
      <c r="R30" s="966"/>
      <c r="S30" s="966"/>
      <c r="T30" s="966"/>
      <c r="U30" s="966"/>
      <c r="V30" s="966"/>
      <c r="W30" s="96"/>
      <c r="X30" s="96"/>
    </row>
    <row r="31" spans="2:24">
      <c r="P31" s="1247"/>
      <c r="Q31" s="966"/>
      <c r="R31" s="966"/>
      <c r="S31" s="966"/>
      <c r="T31" s="966"/>
      <c r="U31" s="966"/>
      <c r="V31" s="966"/>
      <c r="W31" s="96"/>
      <c r="X31" s="96"/>
    </row>
    <row r="32" spans="2:24" ht="51" customHeight="1">
      <c r="J32" s="1241"/>
      <c r="K32" s="1241"/>
      <c r="P32" s="1247"/>
      <c r="Q32" s="1350"/>
      <c r="R32" s="1350"/>
      <c r="S32" s="966"/>
      <c r="T32" s="966"/>
      <c r="U32" s="966"/>
      <c r="V32" s="966"/>
      <c r="W32" s="96"/>
      <c r="X32" s="96"/>
    </row>
    <row r="33" spans="2:24" ht="78" customHeight="1">
      <c r="B33" s="1241"/>
      <c r="C33" s="1241"/>
      <c r="D33" s="1241"/>
      <c r="E33" s="1241"/>
      <c r="F33" s="1241"/>
      <c r="G33" s="1241"/>
      <c r="H33" s="1241"/>
      <c r="I33" s="1241"/>
      <c r="L33" s="1241"/>
      <c r="M33" s="1261"/>
      <c r="N33" s="1261"/>
      <c r="O33" s="1241"/>
      <c r="P33" s="1241"/>
      <c r="Q33" s="965"/>
      <c r="R33" s="965"/>
      <c r="S33" s="965"/>
      <c r="T33" s="965"/>
      <c r="U33" s="965"/>
      <c r="V33" s="965"/>
      <c r="W33" s="96"/>
      <c r="X33" s="96"/>
    </row>
    <row r="39" spans="2:24">
      <c r="P39" s="1247"/>
      <c r="Q39" s="966"/>
      <c r="R39" s="966"/>
      <c r="S39" s="966"/>
      <c r="T39" s="966"/>
      <c r="U39" s="966"/>
      <c r="V39" s="966"/>
      <c r="W39" s="96"/>
      <c r="X39" s="96"/>
    </row>
    <row r="40" spans="2:24">
      <c r="P40" s="1247"/>
      <c r="Q40" s="966"/>
      <c r="R40" s="966"/>
      <c r="S40" s="966"/>
      <c r="T40" s="966"/>
      <c r="U40" s="966"/>
      <c r="V40" s="966"/>
      <c r="W40" s="96"/>
      <c r="X40" s="96"/>
    </row>
    <row r="41" spans="2:24">
      <c r="P41" s="1247"/>
      <c r="Q41" s="966"/>
      <c r="R41" s="966"/>
      <c r="S41" s="966"/>
      <c r="T41" s="966"/>
      <c r="U41" s="966"/>
      <c r="V41" s="966"/>
      <c r="W41" s="96"/>
      <c r="X41" s="96"/>
    </row>
    <row r="54" spans="16:21">
      <c r="P54" s="1247"/>
      <c r="Q54" s="966"/>
      <c r="R54" s="966"/>
      <c r="S54" s="966"/>
      <c r="T54" s="966"/>
      <c r="U54" s="966"/>
    </row>
    <row r="55" spans="16:21">
      <c r="P55" s="1247"/>
      <c r="Q55" s="966"/>
      <c r="R55" s="966"/>
      <c r="S55" s="966"/>
      <c r="T55" s="966"/>
      <c r="U55" s="966"/>
    </row>
    <row r="56" spans="16:21">
      <c r="P56" s="1247"/>
      <c r="Q56" s="966"/>
      <c r="R56" s="966"/>
      <c r="S56" s="966"/>
      <c r="T56" s="966"/>
      <c r="U56" s="966"/>
    </row>
    <row r="57" spans="16:21">
      <c r="P57" s="1247"/>
      <c r="Q57" s="966"/>
      <c r="R57" s="966"/>
      <c r="S57" s="966"/>
      <c r="T57" s="966"/>
      <c r="U57" s="966"/>
    </row>
    <row r="58" spans="16:21">
      <c r="P58" s="1247"/>
      <c r="Q58" s="966"/>
      <c r="R58" s="966"/>
      <c r="S58" s="966"/>
      <c r="T58" s="966"/>
      <c r="U58" s="966"/>
    </row>
    <row r="59" spans="16:21">
      <c r="P59" s="1247"/>
      <c r="Q59" s="966"/>
      <c r="R59" s="966"/>
      <c r="S59" s="966"/>
      <c r="T59" s="966"/>
      <c r="U59" s="966"/>
    </row>
    <row r="60" spans="16:21">
      <c r="P60" s="1247"/>
      <c r="Q60" s="966"/>
      <c r="R60" s="966"/>
      <c r="S60" s="966"/>
      <c r="T60" s="966"/>
      <c r="U60" s="966"/>
    </row>
    <row r="61" spans="16:21">
      <c r="P61" s="1247"/>
      <c r="Q61" s="966"/>
      <c r="R61" s="966"/>
      <c r="S61" s="966"/>
      <c r="T61" s="966"/>
      <c r="U61" s="966"/>
    </row>
    <row r="71" spans="16:21">
      <c r="P71" s="1247"/>
      <c r="Q71" s="966"/>
      <c r="R71" s="966"/>
      <c r="S71" s="966"/>
      <c r="T71" s="966"/>
      <c r="U71" s="966"/>
    </row>
    <row r="72" spans="16:21">
      <c r="P72" s="1247"/>
      <c r="Q72" s="966"/>
      <c r="R72" s="966"/>
      <c r="S72" s="966"/>
      <c r="T72" s="966"/>
      <c r="U72" s="966"/>
    </row>
    <row r="73" spans="16:21">
      <c r="P73" s="1247"/>
      <c r="Q73" s="966"/>
      <c r="R73" s="966"/>
      <c r="S73" s="966"/>
      <c r="T73" s="966"/>
      <c r="U73" s="966"/>
    </row>
    <row r="74" spans="16:21">
      <c r="P74" s="1247"/>
      <c r="Q74" s="966"/>
      <c r="R74" s="966"/>
      <c r="S74" s="966"/>
      <c r="T74" s="966"/>
      <c r="U74" s="966"/>
    </row>
  </sheetData>
  <mergeCells count="9">
    <mergeCell ref="B16:I16"/>
    <mergeCell ref="B1:O1"/>
    <mergeCell ref="C3:D3"/>
    <mergeCell ref="E3:E4"/>
    <mergeCell ref="F3:G3"/>
    <mergeCell ref="H3:H4"/>
    <mergeCell ref="I3:I4"/>
    <mergeCell ref="B3:B4"/>
    <mergeCell ref="B15:I15"/>
  </mergeCells>
  <printOptions horizontalCentered="1" verticalCentered="1"/>
  <pageMargins left="0.39370078740157483" right="0.39370078740157483" top="0.23622047244094491" bottom="0.23622047244094491" header="0.31496062992125984" footer="0.31496062992125984"/>
  <pageSetup paperSize="10023" scale="56"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5"/>
  <sheetViews>
    <sheetView showGridLines="0" view="pageBreakPreview" zoomScale="70" zoomScaleNormal="70" zoomScaleSheetLayoutView="70" workbookViewId="0">
      <selection activeCell="H12" sqref="H12"/>
    </sheetView>
  </sheetViews>
  <sheetFormatPr baseColWidth="10" defaultColWidth="11.5703125" defaultRowHeight="15"/>
  <cols>
    <col min="1" max="1" width="15.42578125" customWidth="1"/>
    <col min="2" max="2" width="17" customWidth="1"/>
    <col min="3" max="3" width="29.5703125" style="77" customWidth="1"/>
    <col min="4" max="4" width="18" customWidth="1"/>
    <col min="5" max="5" width="23.5703125" customWidth="1"/>
    <col min="6" max="6" width="19.140625" customWidth="1"/>
    <col min="7" max="7" width="16.28515625" customWidth="1"/>
    <col min="8" max="8" width="23.5703125" customWidth="1"/>
    <col min="9" max="9" width="25" customWidth="1"/>
    <col min="10" max="10" width="29.140625" customWidth="1"/>
    <col min="11" max="11" width="21.5703125" customWidth="1"/>
    <col min="12" max="12" width="18.42578125" customWidth="1"/>
    <col min="13" max="13" width="17" customWidth="1"/>
  </cols>
  <sheetData>
    <row r="1" spans="1:13" ht="78" customHeight="1">
      <c r="A1" s="2107"/>
      <c r="B1" s="2107"/>
      <c r="C1" s="2107"/>
      <c r="D1" s="2107"/>
      <c r="E1" s="2107"/>
      <c r="F1" s="2107"/>
      <c r="G1" s="2107"/>
      <c r="H1" s="2107"/>
      <c r="I1" s="2107"/>
      <c r="J1" s="2107"/>
      <c r="K1" s="2107"/>
    </row>
    <row r="2" spans="1:13" ht="3.75" customHeight="1">
      <c r="A2" s="2108" t="s">
        <v>209</v>
      </c>
      <c r="B2" s="2108"/>
      <c r="C2" s="2108"/>
      <c r="D2" s="2108"/>
      <c r="E2" s="2108"/>
      <c r="F2" s="2108"/>
      <c r="G2" s="2108"/>
      <c r="H2" s="2108"/>
      <c r="I2" s="2108"/>
      <c r="J2" s="2108"/>
      <c r="K2" s="2108"/>
    </row>
    <row r="3" spans="1:13" ht="84" hidden="1" customHeight="1">
      <c r="A3" s="2108"/>
      <c r="B3" s="2108"/>
      <c r="C3" s="2108"/>
      <c r="D3" s="2108"/>
      <c r="E3" s="2108"/>
      <c r="F3" s="2108"/>
      <c r="G3" s="2108"/>
      <c r="H3" s="2108"/>
      <c r="I3" s="2108"/>
      <c r="J3" s="2108"/>
      <c r="K3" s="2108"/>
    </row>
    <row r="4" spans="1:13" ht="70.5" customHeight="1">
      <c r="A4" s="305" t="s">
        <v>25</v>
      </c>
      <c r="B4" s="1292" t="s">
        <v>507</v>
      </c>
      <c r="C4" s="1293" t="s">
        <v>963</v>
      </c>
      <c r="D4" s="1293" t="s">
        <v>558</v>
      </c>
      <c r="E4" s="1293" t="s">
        <v>732</v>
      </c>
      <c r="F4" s="1487" t="s">
        <v>185</v>
      </c>
      <c r="G4" s="122"/>
      <c r="H4" s="122"/>
      <c r="I4" s="122"/>
      <c r="J4" s="122"/>
      <c r="K4" s="123"/>
    </row>
    <row r="5" spans="1:13" ht="18.75">
      <c r="A5" s="348" t="s">
        <v>26</v>
      </c>
      <c r="B5" s="835">
        <f>+'III.3.2. Afil anual SFS RS '!E4</f>
        <v>253374</v>
      </c>
      <c r="C5" s="836">
        <v>0.48499999999999999</v>
      </c>
      <c r="D5" s="837">
        <f>F5*C5</f>
        <v>4374809.6100000003</v>
      </c>
      <c r="E5" s="838">
        <f>+B5/D5</f>
        <v>5.791657753993093E-2</v>
      </c>
      <c r="F5" s="1488">
        <v>9020226</v>
      </c>
      <c r="H5" s="122"/>
      <c r="I5" s="122"/>
      <c r="J5" s="122"/>
      <c r="K5" s="123"/>
    </row>
    <row r="6" spans="1:13" ht="20.25" customHeight="1">
      <c r="A6" s="348" t="s">
        <v>27</v>
      </c>
      <c r="B6" s="839">
        <f>+'III.3.2. Afil anual SFS RS '!E5</f>
        <v>514040</v>
      </c>
      <c r="C6" s="840">
        <v>0.47299999999999998</v>
      </c>
      <c r="D6" s="841">
        <f t="shared" ref="D6:D14" si="0">F6*C6</f>
        <v>4315551.0144999996</v>
      </c>
      <c r="E6" s="842">
        <f t="shared" ref="E6:E13" si="1">B6/D6</f>
        <v>0.11911341061033819</v>
      </c>
      <c r="F6" s="1489">
        <v>9123786.5</v>
      </c>
      <c r="G6" s="1458"/>
      <c r="H6" s="122"/>
      <c r="I6" s="122"/>
      <c r="J6" s="122"/>
      <c r="K6" s="123"/>
      <c r="L6" s="122"/>
      <c r="M6" s="122"/>
    </row>
    <row r="7" spans="1:13" ht="20.25" customHeight="1">
      <c r="A7" s="348" t="s">
        <v>28</v>
      </c>
      <c r="B7" s="839">
        <f>+'III.3.2. Afil anual SFS RS '!E6</f>
        <v>1081936</v>
      </c>
      <c r="C7" s="840">
        <v>0.44500000000000001</v>
      </c>
      <c r="D7" s="841">
        <f t="shared" si="0"/>
        <v>4105669.2349999999</v>
      </c>
      <c r="E7" s="842">
        <f t="shared" si="1"/>
        <v>0.26352244617679244</v>
      </c>
      <c r="F7" s="1489">
        <v>9226223</v>
      </c>
      <c r="G7" s="1458"/>
      <c r="H7" s="122"/>
      <c r="I7" s="122"/>
      <c r="J7" s="122"/>
      <c r="K7" s="123"/>
      <c r="L7" s="122"/>
      <c r="M7" s="122"/>
    </row>
    <row r="8" spans="1:13" ht="20.25" customHeight="1">
      <c r="A8" s="348" t="s">
        <v>29</v>
      </c>
      <c r="B8" s="839">
        <v>1224643</v>
      </c>
      <c r="C8" s="840">
        <v>0.438</v>
      </c>
      <c r="D8" s="841">
        <f t="shared" si="0"/>
        <v>4085584.284</v>
      </c>
      <c r="E8" s="842">
        <f t="shared" si="1"/>
        <v>0.2997473347437617</v>
      </c>
      <c r="F8" s="1489">
        <v>9327818</v>
      </c>
      <c r="G8" s="1458"/>
      <c r="H8" s="122"/>
      <c r="I8" s="122"/>
      <c r="J8" s="122"/>
      <c r="K8" s="123"/>
      <c r="L8" s="122"/>
      <c r="M8" s="122"/>
    </row>
    <row r="9" spans="1:13" ht="18.75" customHeight="1">
      <c r="A9" s="348" t="s">
        <v>30</v>
      </c>
      <c r="B9" s="839">
        <f>+'III.3.2. Afil anual SFS RS '!E8</f>
        <v>1404225</v>
      </c>
      <c r="C9" s="840">
        <v>0.45200000000000001</v>
      </c>
      <c r="D9" s="841">
        <f t="shared" si="0"/>
        <v>4261697.1419999981</v>
      </c>
      <c r="E9" s="842">
        <f t="shared" si="1"/>
        <v>0.32949901253212999</v>
      </c>
      <c r="F9" s="1489">
        <v>9428533.4999999963</v>
      </c>
      <c r="G9" s="1458"/>
      <c r="H9" s="122"/>
      <c r="I9" s="122"/>
      <c r="J9" s="122"/>
      <c r="K9" s="123"/>
    </row>
    <row r="10" spans="1:13" ht="20.25" customHeight="1">
      <c r="A10" s="348" t="s">
        <v>183</v>
      </c>
      <c r="B10" s="839">
        <f>+'III.3.2. Afil anual SFS RS '!E9</f>
        <v>2013786</v>
      </c>
      <c r="C10" s="840">
        <v>0.42499999999999999</v>
      </c>
      <c r="D10" s="841">
        <f t="shared" si="0"/>
        <v>4049951.4375000014</v>
      </c>
      <c r="E10" s="842">
        <f t="shared" si="1"/>
        <v>0.49723707335194417</v>
      </c>
      <c r="F10" s="1489">
        <v>9529297.5000000037</v>
      </c>
      <c r="G10" s="1458"/>
      <c r="H10" s="122"/>
      <c r="I10" s="122"/>
      <c r="J10" s="122"/>
      <c r="K10" s="123"/>
      <c r="L10" s="127"/>
    </row>
    <row r="11" spans="1:13" ht="18.75">
      <c r="A11" s="348" t="s">
        <v>223</v>
      </c>
      <c r="B11" s="839">
        <f>+'III.3.2. Afil anual SFS RS '!E10</f>
        <v>2003427</v>
      </c>
      <c r="C11" s="840">
        <v>0.43</v>
      </c>
      <c r="D11" s="841">
        <f t="shared" si="0"/>
        <v>4141011.1549999998</v>
      </c>
      <c r="E11" s="842">
        <f t="shared" si="1"/>
        <v>0.48380140139950917</v>
      </c>
      <c r="F11" s="1489">
        <v>9630258.5</v>
      </c>
      <c r="G11" s="1458"/>
      <c r="H11" s="122"/>
      <c r="I11" s="122"/>
      <c r="J11" s="23"/>
      <c r="K11" s="23"/>
    </row>
    <row r="12" spans="1:13" s="77" customFormat="1" ht="18.75">
      <c r="A12" s="348" t="s">
        <v>456</v>
      </c>
      <c r="B12" s="839">
        <f>+'III.3.2. Afil anual SFS RS '!E11</f>
        <v>2303351</v>
      </c>
      <c r="C12" s="840">
        <v>0.42199999999999999</v>
      </c>
      <c r="D12" s="841">
        <f t="shared" si="0"/>
        <v>4106329.4469999997</v>
      </c>
      <c r="E12" s="842">
        <f t="shared" si="1"/>
        <v>0.56092698594429169</v>
      </c>
      <c r="F12" s="1489">
        <v>9730638.5</v>
      </c>
      <c r="G12" s="1458"/>
      <c r="H12" s="122"/>
      <c r="I12" s="122"/>
      <c r="J12" s="23"/>
      <c r="K12" s="23"/>
    </row>
    <row r="13" spans="1:13" s="77" customFormat="1" ht="18.75">
      <c r="A13" s="348" t="s">
        <v>530</v>
      </c>
      <c r="B13" s="839">
        <f>+'III.3.2. Afil anual SFS RS '!E12</f>
        <v>2751753</v>
      </c>
      <c r="C13" s="840">
        <v>0.42199999999999999</v>
      </c>
      <c r="D13" s="841">
        <f t="shared" si="0"/>
        <v>4148523.3279999997</v>
      </c>
      <c r="E13" s="842">
        <f t="shared" si="1"/>
        <v>0.6633090337054024</v>
      </c>
      <c r="F13" s="1489">
        <v>9830624</v>
      </c>
      <c r="G13" s="1458"/>
      <c r="H13" s="122"/>
      <c r="I13" s="122"/>
      <c r="J13" s="23"/>
      <c r="K13" s="23"/>
    </row>
    <row r="14" spans="1:13" s="77" customFormat="1" ht="18.75">
      <c r="A14" s="348" t="s">
        <v>542</v>
      </c>
      <c r="B14" s="839">
        <f>+'III.3.2. Afil anual SFS RS '!E13</f>
        <v>3015646</v>
      </c>
      <c r="C14" s="840">
        <v>0.41799999999999998</v>
      </c>
      <c r="D14" s="841">
        <f t="shared" si="0"/>
        <v>4150896.3319999999</v>
      </c>
      <c r="E14" s="842">
        <f>B14/D14</f>
        <v>0.72650477362006061</v>
      </c>
      <c r="F14" s="1489">
        <v>9930374</v>
      </c>
      <c r="G14" s="1458"/>
      <c r="H14" s="122"/>
      <c r="I14" s="23"/>
      <c r="J14" s="23"/>
      <c r="K14" s="23"/>
    </row>
    <row r="15" spans="1:13" ht="18.75">
      <c r="A15" s="348" t="s">
        <v>953</v>
      </c>
      <c r="B15" s="839">
        <f>+'III.3.6.Afil.SFSRSsex tipo '!I13</f>
        <v>3317405</v>
      </c>
      <c r="C15" s="840">
        <v>0.32100000000000001</v>
      </c>
      <c r="D15" s="841">
        <v>3221547.3330000001</v>
      </c>
      <c r="E15" s="842">
        <f t="shared" ref="E15:E16" si="2">B15/D15</f>
        <v>1.0297551633086621</v>
      </c>
      <c r="F15" s="1489">
        <v>10028012</v>
      </c>
      <c r="G15" s="1458"/>
      <c r="H15" s="122"/>
      <c r="I15" s="23"/>
      <c r="J15" s="23"/>
      <c r="K15" s="23"/>
      <c r="L15" s="1458"/>
    </row>
    <row r="16" spans="1:13" ht="18.75">
      <c r="A16" s="349" t="s">
        <v>1004</v>
      </c>
      <c r="B16" s="1822">
        <f>+'III.3.2. Afil anual SFS RS '!E15</f>
        <v>3298747</v>
      </c>
      <c r="C16" s="1324">
        <v>0.32100000000000001</v>
      </c>
      <c r="D16" s="1325">
        <f>F16*C16</f>
        <v>3226658.6159999999</v>
      </c>
      <c r="E16" s="842">
        <f t="shared" si="2"/>
        <v>1.0223414970652724</v>
      </c>
      <c r="F16" s="1490">
        <v>10051896</v>
      </c>
      <c r="G16" s="1458"/>
      <c r="H16" s="122"/>
      <c r="I16" s="23"/>
      <c r="J16" s="23"/>
      <c r="K16" s="23"/>
    </row>
    <row r="17" spans="1:12" ht="37.5" customHeight="1">
      <c r="A17" s="2109" t="s">
        <v>976</v>
      </c>
      <c r="B17" s="2109"/>
      <c r="C17" s="2109"/>
      <c r="D17" s="2109"/>
      <c r="E17" s="2109"/>
      <c r="F17" s="2109"/>
      <c r="G17" s="23"/>
      <c r="H17" s="23"/>
      <c r="I17" s="23"/>
      <c r="J17" s="23"/>
      <c r="K17" s="23"/>
    </row>
    <row r="18" spans="1:12" ht="16.5" customHeight="1">
      <c r="A18" s="1821"/>
      <c r="B18" s="23"/>
      <c r="C18" s="23"/>
      <c r="D18" s="34"/>
      <c r="E18" s="23"/>
      <c r="F18" s="23"/>
      <c r="G18" s="23"/>
      <c r="H18" s="23"/>
      <c r="I18" s="23"/>
      <c r="J18" s="23"/>
      <c r="K18" s="23"/>
      <c r="L18" t="s">
        <v>31</v>
      </c>
    </row>
    <row r="19" spans="1:12" ht="23.25">
      <c r="A19" s="23"/>
      <c r="B19" s="23"/>
      <c r="C19" s="23"/>
      <c r="D19" s="34"/>
      <c r="E19" s="23"/>
      <c r="F19" s="23"/>
      <c r="G19" s="23"/>
      <c r="H19" s="23"/>
      <c r="I19" s="23"/>
      <c r="J19" s="23"/>
      <c r="K19" s="23"/>
    </row>
    <row r="20" spans="1:12" ht="23.25">
      <c r="A20" s="23"/>
      <c r="B20" s="23"/>
      <c r="C20" s="23"/>
      <c r="D20" s="34"/>
      <c r="E20" s="23"/>
      <c r="F20" s="23"/>
      <c r="G20" s="23"/>
      <c r="H20" s="23"/>
      <c r="I20" s="23"/>
      <c r="J20" s="23"/>
      <c r="K20" s="23"/>
    </row>
    <row r="21" spans="1:12" ht="23.25">
      <c r="A21" s="23"/>
      <c r="B21" s="23"/>
      <c r="C21" s="23"/>
      <c r="D21" s="34"/>
      <c r="E21" s="23"/>
      <c r="F21" s="23"/>
      <c r="G21" s="23"/>
      <c r="H21" s="23"/>
      <c r="I21" s="23"/>
      <c r="J21" s="23"/>
      <c r="K21" s="23"/>
    </row>
    <row r="22" spans="1:12" ht="23.25">
      <c r="A22" s="23"/>
      <c r="B22" s="23"/>
      <c r="C22" s="23"/>
      <c r="D22" s="34"/>
      <c r="E22" s="23"/>
      <c r="F22" s="23"/>
      <c r="G22" s="23"/>
      <c r="H22" s="23"/>
      <c r="I22" s="23"/>
      <c r="J22" s="23"/>
      <c r="K22" s="23"/>
    </row>
    <row r="35" spans="1:1">
      <c r="A35" s="47"/>
    </row>
  </sheetData>
  <mergeCells count="3">
    <mergeCell ref="A1:K1"/>
    <mergeCell ref="A2:K3"/>
    <mergeCell ref="A17:F17"/>
  </mergeCells>
  <printOptions horizontalCentered="1" verticalCentered="1"/>
  <pageMargins left="0.4" right="0.4" top="0.25" bottom="0.25" header="0.31496062992126" footer="0.31496062992126"/>
  <pageSetup scale="5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O45" sqref="O45"/>
    </sheetView>
  </sheetViews>
  <sheetFormatPr baseColWidth="10" defaultColWidth="11.42578125" defaultRowHeight="15"/>
  <cols>
    <col min="1" max="6" width="11.42578125" style="77"/>
    <col min="7" max="7" width="15" style="77" customWidth="1"/>
    <col min="8" max="11" width="11.42578125" style="77"/>
    <col min="12" max="12" width="22.85546875" style="77" customWidth="1"/>
    <col min="13" max="16384" width="11.42578125" style="77"/>
  </cols>
  <sheetData/>
  <pageMargins left="0.7" right="0.7" top="0.75" bottom="0.75" header="0.3" footer="0.3"/>
  <pageSetup scale="7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19:P40"/>
  <sheetViews>
    <sheetView showGridLines="0" view="pageBreakPreview" zoomScale="85" zoomScaleNormal="100" zoomScaleSheetLayoutView="85" workbookViewId="0">
      <selection activeCell="H44" sqref="H44"/>
    </sheetView>
  </sheetViews>
  <sheetFormatPr baseColWidth="10" defaultColWidth="11.42578125" defaultRowHeight="15"/>
  <cols>
    <col min="1" max="6" width="11.42578125" style="77"/>
    <col min="7" max="7" width="15" style="77" customWidth="1"/>
    <col min="8" max="16384" width="11.42578125" style="77"/>
  </cols>
  <sheetData>
    <row r="19" spans="16:16">
      <c r="P19" s="173"/>
    </row>
    <row r="20" spans="16:16">
      <c r="P20" s="173"/>
    </row>
    <row r="21" spans="16:16">
      <c r="P21" s="173"/>
    </row>
    <row r="22" spans="16:16">
      <c r="P22" s="173"/>
    </row>
    <row r="33" spans="4:8">
      <c r="E33" s="173"/>
    </row>
    <row r="34" spans="4:8">
      <c r="E34" s="173"/>
    </row>
    <row r="35" spans="4:8">
      <c r="E35" s="173"/>
      <c r="G35" s="156"/>
    </row>
    <row r="36" spans="4:8">
      <c r="D36" s="173"/>
    </row>
    <row r="37" spans="4:8">
      <c r="D37" s="173"/>
      <c r="F37" s="173"/>
    </row>
    <row r="38" spans="4:8">
      <c r="D38" s="173"/>
      <c r="F38" s="173"/>
      <c r="G38" s="173"/>
    </row>
    <row r="39" spans="4:8">
      <c r="D39" s="173"/>
      <c r="F39" s="173"/>
      <c r="G39" s="173"/>
      <c r="H39" s="173"/>
    </row>
    <row r="40" spans="4:8">
      <c r="F40" s="173"/>
      <c r="G40" s="173"/>
    </row>
  </sheetData>
  <pageMargins left="0.7" right="0.7" top="0.75" bottom="0.75" header="0.3" footer="0.3"/>
  <pageSetup scale="8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O15" sqref="O15"/>
    </sheetView>
  </sheetViews>
  <sheetFormatPr baseColWidth="10" defaultColWidth="11.42578125" defaultRowHeight="15"/>
  <cols>
    <col min="1" max="6" width="11.42578125" style="77"/>
    <col min="7" max="7" width="13.42578125" style="77" customWidth="1"/>
    <col min="8" max="9" width="24.140625" style="77" customWidth="1"/>
    <col min="10" max="10" width="11.42578125" style="77"/>
    <col min="11" max="11" width="25.140625" style="77" customWidth="1"/>
    <col min="12" max="12" width="30.85546875" style="77" customWidth="1"/>
    <col min="13" max="13" width="27.85546875" style="77" customWidth="1"/>
    <col min="14" max="16384" width="11.42578125" style="7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N44"/>
  <sheetViews>
    <sheetView showGridLines="0" view="pageBreakPreview" zoomScale="70" zoomScaleNormal="100" zoomScaleSheetLayoutView="70" workbookViewId="0">
      <selection activeCell="M17" sqref="M17"/>
    </sheetView>
  </sheetViews>
  <sheetFormatPr baseColWidth="10" defaultColWidth="11.42578125" defaultRowHeight="15"/>
  <cols>
    <col min="1" max="1" width="12.85546875" style="39" bestFit="1" customWidth="1"/>
    <col min="2" max="2" width="14.140625" style="187" customWidth="1"/>
    <col min="3" max="3" width="16.140625" style="187" customWidth="1"/>
    <col min="4" max="4" width="18.28515625" style="187" customWidth="1"/>
    <col min="5" max="5" width="15.5703125" style="187" customWidth="1"/>
    <col min="6" max="7" width="15.5703125" style="39" customWidth="1"/>
    <col min="8" max="8" width="26.5703125" style="39" customWidth="1"/>
    <col min="9" max="9" width="22" style="39" customWidth="1"/>
    <col min="10" max="10" width="23.5703125" style="39" customWidth="1"/>
    <col min="11" max="11" width="17.5703125" style="39" customWidth="1"/>
    <col min="12" max="12" width="4.42578125" style="39" customWidth="1"/>
    <col min="13" max="16384" width="11.42578125" style="39"/>
  </cols>
  <sheetData>
    <row r="1" spans="1:14" s="77" customFormat="1" ht="78.75" customHeight="1">
      <c r="A1" s="2107"/>
      <c r="B1" s="2107"/>
      <c r="C1" s="2107"/>
      <c r="D1" s="2107"/>
      <c r="E1" s="2107"/>
      <c r="F1" s="2107"/>
      <c r="G1" s="2107"/>
      <c r="H1" s="2107"/>
      <c r="I1" s="2107"/>
      <c r="J1" s="2107"/>
      <c r="K1" s="2107"/>
      <c r="L1" s="1240"/>
    </row>
    <row r="2" spans="1:14" s="77" customFormat="1" ht="8.25" customHeight="1">
      <c r="A2" s="153"/>
      <c r="B2" s="1156"/>
      <c r="C2" s="1156"/>
      <c r="D2" s="1156"/>
      <c r="E2" s="1156"/>
      <c r="F2" s="153"/>
      <c r="G2" s="153"/>
      <c r="H2" s="153"/>
      <c r="I2" s="153"/>
      <c r="J2" s="153"/>
    </row>
    <row r="3" spans="1:14" s="135" customFormat="1" ht="42" customHeight="1">
      <c r="A3" s="1159" t="s">
        <v>38</v>
      </c>
      <c r="B3" s="1160" t="s">
        <v>512</v>
      </c>
      <c r="C3" s="1160" t="s">
        <v>509</v>
      </c>
      <c r="D3" s="1160" t="s">
        <v>510</v>
      </c>
      <c r="E3" s="1161" t="s">
        <v>511</v>
      </c>
      <c r="F3" s="68"/>
      <c r="G3" s="68"/>
      <c r="H3" s="68"/>
      <c r="I3" s="68"/>
      <c r="J3" s="68"/>
      <c r="K3" s="68"/>
      <c r="L3" s="68"/>
      <c r="M3" s="1163"/>
      <c r="N3" s="1163"/>
    </row>
    <row r="4" spans="1:14" s="135" customFormat="1" ht="15.75">
      <c r="A4" s="1164" t="s">
        <v>30</v>
      </c>
      <c r="B4" s="1165">
        <f t="shared" ref="B4:B11" si="0">+C4+D4+E4</f>
        <v>21982</v>
      </c>
      <c r="C4" s="1166">
        <v>12775</v>
      </c>
      <c r="D4" s="1166">
        <v>7188</v>
      </c>
      <c r="E4" s="1167">
        <v>2019</v>
      </c>
      <c r="F4" s="68"/>
      <c r="G4" s="733"/>
      <c r="H4" s="68"/>
      <c r="I4" s="68"/>
      <c r="J4" s="68"/>
      <c r="K4" s="68"/>
      <c r="L4" s="68"/>
      <c r="M4" s="1163"/>
      <c r="N4" s="1163"/>
    </row>
    <row r="5" spans="1:14" s="135" customFormat="1" ht="15.75">
      <c r="A5" s="1164" t="s">
        <v>183</v>
      </c>
      <c r="B5" s="1165">
        <f t="shared" si="0"/>
        <v>27354</v>
      </c>
      <c r="C5" s="1166">
        <v>14927</v>
      </c>
      <c r="D5" s="1166">
        <v>9946</v>
      </c>
      <c r="E5" s="1167">
        <v>2481</v>
      </c>
      <c r="F5" s="1162"/>
      <c r="G5" s="733"/>
      <c r="H5" s="1162"/>
      <c r="I5" s="1162"/>
      <c r="J5" s="1162"/>
      <c r="K5" s="1162"/>
      <c r="L5" s="1162"/>
      <c r="M5" s="1163"/>
    </row>
    <row r="6" spans="1:14" s="135" customFormat="1" ht="15.75">
      <c r="A6" s="1164" t="s">
        <v>223</v>
      </c>
      <c r="B6" s="1165">
        <f t="shared" si="0"/>
        <v>29726</v>
      </c>
      <c r="C6" s="1166">
        <v>16317</v>
      </c>
      <c r="D6" s="1166">
        <v>10524</v>
      </c>
      <c r="E6" s="1167">
        <v>2885</v>
      </c>
      <c r="F6" s="1162"/>
      <c r="G6" s="733"/>
      <c r="H6" s="1162"/>
      <c r="I6" s="1162"/>
      <c r="J6" s="1162"/>
      <c r="K6" s="1162"/>
      <c r="L6" s="1162"/>
      <c r="M6" s="1163"/>
    </row>
    <row r="7" spans="1:14" s="135" customFormat="1" ht="15.75">
      <c r="A7" s="1168" t="s">
        <v>456</v>
      </c>
      <c r="B7" s="1165">
        <f t="shared" si="0"/>
        <v>30703</v>
      </c>
      <c r="C7" s="1166">
        <v>16189</v>
      </c>
      <c r="D7" s="1166">
        <v>10515</v>
      </c>
      <c r="E7" s="1167">
        <v>3999</v>
      </c>
      <c r="F7" s="68"/>
      <c r="G7" s="733"/>
      <c r="H7" s="68"/>
      <c r="I7" s="68"/>
      <c r="J7" s="68"/>
      <c r="K7" s="68"/>
      <c r="L7" s="68"/>
      <c r="M7" s="1163"/>
    </row>
    <row r="8" spans="1:14" s="135" customFormat="1" ht="15.75">
      <c r="A8" s="1168" t="s">
        <v>530</v>
      </c>
      <c r="B8" s="1165">
        <f t="shared" si="0"/>
        <v>27273</v>
      </c>
      <c r="C8" s="1166">
        <v>13249</v>
      </c>
      <c r="D8" s="1166">
        <v>10016</v>
      </c>
      <c r="E8" s="1167">
        <v>4008</v>
      </c>
      <c r="F8" s="68"/>
      <c r="G8" s="733"/>
      <c r="H8" s="68"/>
      <c r="I8" s="68"/>
      <c r="J8" s="68"/>
      <c r="K8" s="68"/>
      <c r="L8" s="68"/>
      <c r="N8" s="733"/>
    </row>
    <row r="9" spans="1:14" s="135" customFormat="1" ht="15.75">
      <c r="A9" s="1168" t="s">
        <v>542</v>
      </c>
      <c r="B9" s="1165">
        <f t="shared" si="0"/>
        <v>30370</v>
      </c>
      <c r="C9" s="1166">
        <v>15039</v>
      </c>
      <c r="D9" s="1166">
        <v>10509</v>
      </c>
      <c r="E9" s="1167">
        <v>4822</v>
      </c>
      <c r="F9" s="68"/>
      <c r="G9" s="733"/>
      <c r="H9" s="68"/>
      <c r="I9" s="68"/>
      <c r="J9" s="68"/>
      <c r="K9" s="68"/>
      <c r="L9" s="68"/>
      <c r="M9" s="1163"/>
    </row>
    <row r="10" spans="1:14" s="135" customFormat="1" ht="15.75">
      <c r="A10" s="1168" t="s">
        <v>953</v>
      </c>
      <c r="B10" s="1165">
        <f t="shared" si="0"/>
        <v>30529</v>
      </c>
      <c r="C10" s="1166">
        <v>15026</v>
      </c>
      <c r="D10" s="1166">
        <v>10482</v>
      </c>
      <c r="E10" s="1167">
        <v>5021</v>
      </c>
      <c r="F10" s="68"/>
      <c r="G10" s="733"/>
      <c r="H10" s="68"/>
      <c r="I10" s="68"/>
      <c r="J10" s="68"/>
      <c r="K10" s="68"/>
      <c r="L10" s="68"/>
      <c r="M10" s="1163"/>
    </row>
    <row r="11" spans="1:14" s="135" customFormat="1" ht="15.75">
      <c r="A11" s="1326" t="s">
        <v>1004</v>
      </c>
      <c r="B11" s="1327">
        <f t="shared" si="0"/>
        <v>29780</v>
      </c>
      <c r="C11" s="1328">
        <v>14657</v>
      </c>
      <c r="D11" s="1328">
        <v>10143</v>
      </c>
      <c r="E11" s="1329">
        <v>4980</v>
      </c>
      <c r="F11" s="68"/>
      <c r="G11" s="68"/>
      <c r="H11" s="68"/>
      <c r="I11" s="68"/>
      <c r="J11" s="68"/>
      <c r="K11" s="68"/>
      <c r="L11" s="68"/>
      <c r="M11" s="1163"/>
    </row>
    <row r="12" spans="1:14" s="77" customFormat="1" ht="15.75">
      <c r="A12" s="135"/>
      <c r="B12" s="1169"/>
      <c r="C12" s="1170"/>
      <c r="D12" s="1170"/>
      <c r="E12" s="1170"/>
      <c r="F12" s="68"/>
      <c r="G12" s="68"/>
      <c r="H12" s="68"/>
      <c r="I12" s="68"/>
      <c r="J12" s="68"/>
      <c r="K12" s="68"/>
      <c r="L12" s="68"/>
      <c r="M12" s="68"/>
      <c r="N12" s="94"/>
    </row>
    <row r="13" spans="1:14" s="77" customFormat="1" ht="15.75">
      <c r="B13" s="1157"/>
      <c r="C13" s="1171"/>
      <c r="D13" s="1171"/>
      <c r="E13" s="1171"/>
      <c r="F13" s="68"/>
      <c r="G13" s="68"/>
      <c r="H13" s="68"/>
      <c r="I13" s="68"/>
      <c r="J13" s="68"/>
      <c r="K13" s="68"/>
      <c r="L13" s="68"/>
      <c r="M13" s="68"/>
      <c r="N13" s="94"/>
    </row>
    <row r="14" spans="1:14" s="77" customFormat="1" ht="15.75">
      <c r="B14" s="1157"/>
      <c r="C14" s="1171"/>
      <c r="D14" s="1171"/>
      <c r="E14" s="1171"/>
      <c r="F14" s="68"/>
      <c r="G14" s="68"/>
      <c r="H14" s="68"/>
      <c r="I14" s="68"/>
      <c r="J14" s="68"/>
      <c r="K14" s="68"/>
      <c r="L14" s="68"/>
      <c r="M14" s="68"/>
      <c r="N14" s="94"/>
    </row>
    <row r="15" spans="1:14" s="77" customFormat="1" ht="15.75">
      <c r="B15" s="1157"/>
      <c r="C15" s="1171"/>
      <c r="D15" s="1171"/>
      <c r="E15" s="1171"/>
      <c r="F15" s="12"/>
      <c r="G15" s="12"/>
      <c r="H15" s="12"/>
      <c r="I15" s="12"/>
      <c r="J15" s="12"/>
      <c r="K15" s="12"/>
      <c r="L15" s="12"/>
      <c r="M15" s="12"/>
    </row>
    <row r="16" spans="1:14" s="77" customFormat="1" ht="15.75">
      <c r="B16" s="1157"/>
      <c r="C16" s="1172"/>
      <c r="D16" s="1172"/>
      <c r="E16" s="1172"/>
      <c r="F16" s="12"/>
      <c r="G16" s="12"/>
      <c r="H16" s="12"/>
      <c r="I16" s="12"/>
      <c r="J16" s="12"/>
      <c r="K16" s="12"/>
      <c r="L16" s="12"/>
      <c r="M16" s="12"/>
    </row>
    <row r="17" spans="2:13" s="77" customFormat="1" ht="15.75">
      <c r="B17" s="1157"/>
      <c r="C17" s="1172"/>
      <c r="D17" s="1172"/>
      <c r="E17" s="1172"/>
      <c r="F17" s="12"/>
      <c r="G17" s="12"/>
      <c r="H17" s="12"/>
      <c r="I17" s="12"/>
      <c r="J17" s="12"/>
      <c r="K17" s="12"/>
      <c r="L17" s="12"/>
      <c r="M17" s="12"/>
    </row>
    <row r="18" spans="2:13" s="77" customFormat="1" ht="15.75">
      <c r="B18" s="1157"/>
      <c r="C18" s="1172"/>
      <c r="D18" s="1172"/>
      <c r="E18" s="1172"/>
      <c r="F18" s="12"/>
      <c r="G18" s="12"/>
      <c r="H18" s="12"/>
      <c r="I18" s="12"/>
      <c r="J18" s="12"/>
      <c r="K18" s="12"/>
      <c r="L18" s="12"/>
      <c r="M18" s="12"/>
    </row>
    <row r="19" spans="2:13" s="77" customFormat="1" ht="15.75">
      <c r="B19" s="1157"/>
      <c r="C19" s="1172"/>
      <c r="D19" s="1172"/>
      <c r="E19" s="1172"/>
      <c r="F19" s="12"/>
      <c r="G19" s="12"/>
      <c r="H19" s="12"/>
      <c r="I19" s="12"/>
      <c r="J19" s="12"/>
      <c r="K19" s="12"/>
      <c r="L19" s="12"/>
      <c r="M19" s="12"/>
    </row>
    <row r="20" spans="2:13" s="77" customFormat="1" ht="15.75">
      <c r="B20" s="1157"/>
      <c r="C20" s="1172"/>
      <c r="D20" s="1172"/>
      <c r="E20" s="1172"/>
      <c r="F20" s="12"/>
      <c r="G20" s="12"/>
      <c r="H20" s="12"/>
      <c r="I20" s="12"/>
      <c r="J20" s="12"/>
      <c r="K20" s="12"/>
      <c r="L20" s="12"/>
      <c r="M20" s="12"/>
    </row>
    <row r="21" spans="2:13" s="77" customFormat="1" ht="15.75">
      <c r="B21" s="1157"/>
      <c r="C21" s="1172"/>
      <c r="D21" s="1172"/>
      <c r="E21" s="1172"/>
      <c r="F21" s="12"/>
      <c r="G21" s="12"/>
      <c r="H21" s="12"/>
      <c r="I21" s="12"/>
      <c r="J21" s="12"/>
      <c r="K21" s="12"/>
      <c r="L21" s="12"/>
      <c r="M21" s="12"/>
    </row>
    <row r="22" spans="2:13" s="77" customFormat="1" ht="15.75">
      <c r="B22" s="1157"/>
      <c r="C22" s="1172"/>
      <c r="D22" s="1172"/>
      <c r="E22" s="1172"/>
    </row>
    <row r="23" spans="2:13" s="77" customFormat="1">
      <c r="B23" s="1157"/>
      <c r="C23" s="1157"/>
      <c r="D23" s="1157"/>
      <c r="E23" s="1157"/>
    </row>
    <row r="24" spans="2:13" s="77" customFormat="1">
      <c r="B24" s="1157"/>
      <c r="C24" s="1157"/>
      <c r="D24" s="1157"/>
      <c r="E24" s="1157"/>
    </row>
    <row r="25" spans="2:13" s="77" customFormat="1">
      <c r="B25" s="1157"/>
      <c r="C25" s="1157"/>
      <c r="D25" s="1157"/>
      <c r="E25" s="1157"/>
    </row>
    <row r="26" spans="2:13" s="77" customFormat="1">
      <c r="B26" s="1157"/>
      <c r="C26" s="1157"/>
      <c r="D26" s="1157"/>
      <c r="E26" s="1157"/>
    </row>
    <row r="27" spans="2:13" s="77" customFormat="1">
      <c r="B27" s="1157"/>
      <c r="C27" s="1157"/>
      <c r="D27" s="1157"/>
      <c r="E27" s="1157"/>
    </row>
    <row r="28" spans="2:13" s="77" customFormat="1">
      <c r="B28" s="1157"/>
      <c r="C28" s="1157"/>
      <c r="D28" s="1157"/>
      <c r="E28" s="1157"/>
    </row>
    <row r="29" spans="2:13" s="77" customFormat="1">
      <c r="B29" s="1157"/>
      <c r="C29" s="1157"/>
      <c r="D29" s="1157"/>
      <c r="E29" s="1157"/>
    </row>
    <row r="30" spans="2:13" s="77" customFormat="1">
      <c r="B30" s="1157"/>
      <c r="C30" s="1157"/>
      <c r="D30" s="1157"/>
      <c r="E30" s="1157"/>
    </row>
    <row r="31" spans="2:13" s="77" customFormat="1">
      <c r="B31" s="1157"/>
      <c r="C31" s="1157"/>
      <c r="D31" s="1157"/>
      <c r="E31" s="1157"/>
    </row>
    <row r="32" spans="2:13" s="77" customFormat="1">
      <c r="B32" s="1157"/>
      <c r="C32" s="1157"/>
      <c r="D32" s="1157"/>
      <c r="E32" s="1157"/>
    </row>
    <row r="33" spans="1:14" s="77" customFormat="1">
      <c r="B33" s="1157"/>
      <c r="C33" s="1157"/>
      <c r="D33" s="1157"/>
      <c r="E33" s="1157"/>
    </row>
    <row r="34" spans="1:14" s="77" customFormat="1">
      <c r="B34" s="1157"/>
      <c r="C34" s="1157"/>
      <c r="D34" s="1157"/>
      <c r="E34" s="1157"/>
    </row>
    <row r="35" spans="1:14" s="77" customFormat="1">
      <c r="B35" s="1157"/>
      <c r="C35" s="1157"/>
      <c r="D35" s="1157"/>
      <c r="E35" s="1157"/>
    </row>
    <row r="36" spans="1:14" s="77" customFormat="1">
      <c r="B36" s="1157"/>
      <c r="C36" s="1157"/>
      <c r="D36" s="1157"/>
      <c r="E36" s="1157"/>
    </row>
    <row r="37" spans="1:14" s="77" customFormat="1">
      <c r="B37" s="1157"/>
      <c r="C37" s="1157"/>
      <c r="D37" s="1157"/>
      <c r="E37" s="1157"/>
    </row>
    <row r="38" spans="1:14" s="77" customFormat="1">
      <c r="B38" s="1157"/>
      <c r="C38" s="1157"/>
      <c r="D38" s="1157"/>
      <c r="E38" s="1157"/>
    </row>
    <row r="39" spans="1:14" s="77" customFormat="1">
      <c r="B39" s="1157"/>
      <c r="C39" s="1157"/>
      <c r="D39" s="1157"/>
      <c r="E39" s="1157"/>
    </row>
    <row r="40" spans="1:14" s="77" customFormat="1">
      <c r="B40" s="1157"/>
      <c r="C40" s="1157"/>
      <c r="D40" s="1157"/>
      <c r="E40" s="1157"/>
    </row>
    <row r="41" spans="1:14" s="77" customFormat="1">
      <c r="B41" s="1157"/>
      <c r="C41" s="1157"/>
      <c r="D41" s="1157"/>
      <c r="E41" s="1157"/>
    </row>
    <row r="42" spans="1:14">
      <c r="A42" s="77"/>
      <c r="B42" s="1157"/>
      <c r="C42" s="1157"/>
      <c r="D42" s="1157"/>
      <c r="E42" s="1157"/>
    </row>
    <row r="43" spans="1:14" ht="29.25" customHeight="1">
      <c r="F43" s="1264"/>
      <c r="G43" s="1264"/>
      <c r="H43" s="1264"/>
      <c r="I43" s="1264"/>
      <c r="J43" s="1264"/>
      <c r="K43" s="1264"/>
      <c r="L43" s="1264"/>
      <c r="M43" s="1264"/>
      <c r="N43" s="1264"/>
    </row>
    <row r="44" spans="1:14">
      <c r="A44" s="1264"/>
      <c r="B44" s="1264"/>
      <c r="C44" s="1264"/>
      <c r="D44" s="1264"/>
      <c r="E44" s="1264"/>
    </row>
  </sheetData>
  <mergeCells count="1">
    <mergeCell ref="A1:K1"/>
  </mergeCells>
  <printOptions horizontalCentered="1" verticalCentered="1"/>
  <pageMargins left="0.4" right="0.4" top="0.25" bottom="0.25" header="0.31496062992126" footer="0.31496062992126"/>
  <pageSetup scale="6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N17"/>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4.7109375" style="39" customWidth="1"/>
    <col min="2" max="2" width="13.42578125" style="39" customWidth="1"/>
    <col min="3" max="3" width="20.140625" style="39" customWidth="1"/>
    <col min="4" max="4" width="19.7109375" style="39" customWidth="1"/>
    <col min="5" max="5" width="17.7109375" style="39" customWidth="1"/>
    <col min="6" max="6" width="13.42578125" style="39" customWidth="1"/>
    <col min="7" max="7" width="18.85546875" style="39" customWidth="1"/>
    <col min="8" max="8" width="15.5703125" style="39" customWidth="1"/>
    <col min="9" max="9" width="17" style="39" customWidth="1"/>
    <col min="10" max="10" width="32" style="39" customWidth="1"/>
    <col min="11" max="11" width="18.5703125" style="39" customWidth="1"/>
    <col min="12" max="12" width="18.42578125" style="39" customWidth="1"/>
    <col min="13" max="13" width="27.28515625" style="39" customWidth="1"/>
    <col min="14" max="16384" width="11.42578125" style="39"/>
  </cols>
  <sheetData>
    <row r="1" spans="1:14" s="77" customFormat="1" ht="78.75" customHeight="1">
      <c r="A1" s="2110"/>
      <c r="B1" s="2110"/>
      <c r="C1" s="2110"/>
      <c r="D1" s="2110"/>
      <c r="E1" s="2110"/>
      <c r="F1" s="2110"/>
      <c r="G1" s="2110"/>
      <c r="H1" s="2110"/>
      <c r="I1" s="2110"/>
      <c r="J1" s="2110"/>
      <c r="K1" s="2110"/>
      <c r="L1" s="2110"/>
    </row>
    <row r="2" spans="1:14" s="77" customFormat="1" ht="13.5" customHeight="1">
      <c r="A2" s="153"/>
      <c r="B2" s="153"/>
      <c r="C2" s="153"/>
      <c r="D2" s="153"/>
      <c r="E2" s="153"/>
      <c r="F2" s="153"/>
      <c r="G2" s="153"/>
      <c r="H2" s="153"/>
    </row>
    <row r="3" spans="1:14" s="77" customFormat="1" ht="42" customHeight="1">
      <c r="A3" s="993" t="s">
        <v>226</v>
      </c>
      <c r="B3" s="994" t="s">
        <v>508</v>
      </c>
      <c r="C3" s="994" t="s">
        <v>509</v>
      </c>
      <c r="D3" s="994" t="s">
        <v>510</v>
      </c>
      <c r="E3" s="995" t="s">
        <v>511</v>
      </c>
      <c r="F3"/>
      <c r="G3"/>
      <c r="H3"/>
      <c r="I3" s="68"/>
      <c r="J3" s="68"/>
      <c r="K3" s="39"/>
      <c r="L3" s="39"/>
      <c r="M3" s="94"/>
      <c r="N3" s="94"/>
    </row>
    <row r="4" spans="1:14" ht="18.75">
      <c r="A4" s="996" t="s">
        <v>697</v>
      </c>
      <c r="B4" s="1078">
        <f t="shared" ref="B4:B16" si="0">+C4+D4+E4</f>
        <v>30512</v>
      </c>
      <c r="C4" s="1079">
        <v>15135</v>
      </c>
      <c r="D4" s="1079">
        <v>10505</v>
      </c>
      <c r="E4" s="1080">
        <v>4872</v>
      </c>
      <c r="F4" s="77"/>
      <c r="G4" s="77"/>
      <c r="H4" s="77"/>
    </row>
    <row r="5" spans="1:14" ht="18.75">
      <c r="A5" s="996" t="s">
        <v>704</v>
      </c>
      <c r="B5" s="1078">
        <f t="shared" si="0"/>
        <v>30543</v>
      </c>
      <c r="C5" s="1079">
        <v>15143</v>
      </c>
      <c r="D5" s="1079">
        <v>10492</v>
      </c>
      <c r="E5" s="1080">
        <v>4908</v>
      </c>
      <c r="F5" s="77"/>
      <c r="G5" s="77"/>
      <c r="H5" s="77"/>
    </row>
    <row r="6" spans="1:14" ht="18.75">
      <c r="A6" s="996" t="s">
        <v>716</v>
      </c>
      <c r="B6" s="1078">
        <f t="shared" si="0"/>
        <v>30582</v>
      </c>
      <c r="C6" s="1079">
        <v>15129</v>
      </c>
      <c r="D6" s="1079">
        <v>10529</v>
      </c>
      <c r="E6" s="1080">
        <v>4924</v>
      </c>
      <c r="F6" s="77"/>
      <c r="G6" s="77"/>
      <c r="H6" s="77"/>
    </row>
    <row r="7" spans="1:14" ht="18.75">
      <c r="A7" s="996" t="s">
        <v>725</v>
      </c>
      <c r="B7" s="1078">
        <f t="shared" si="0"/>
        <v>30486</v>
      </c>
      <c r="C7" s="1079">
        <v>15067</v>
      </c>
      <c r="D7" s="1079">
        <v>10479</v>
      </c>
      <c r="E7" s="1080">
        <v>4940</v>
      </c>
      <c r="F7" s="77"/>
      <c r="G7" s="77"/>
      <c r="H7" s="77"/>
    </row>
    <row r="8" spans="1:14" ht="18.75">
      <c r="A8" s="996" t="s">
        <v>733</v>
      </c>
      <c r="B8" s="1078">
        <f t="shared" si="0"/>
        <v>30545</v>
      </c>
      <c r="C8" s="1079">
        <v>15041</v>
      </c>
      <c r="D8" s="1079">
        <v>10501</v>
      </c>
      <c r="E8" s="1080">
        <v>5003</v>
      </c>
      <c r="F8" s="77"/>
      <c r="G8" s="77"/>
      <c r="H8" s="77"/>
    </row>
    <row r="9" spans="1:14" ht="18.75">
      <c r="A9" s="996" t="s">
        <v>737</v>
      </c>
      <c r="B9" s="1078">
        <f t="shared" si="0"/>
        <v>30468</v>
      </c>
      <c r="C9" s="1079">
        <v>15004</v>
      </c>
      <c r="D9" s="1079">
        <v>10464</v>
      </c>
      <c r="E9" s="1080">
        <v>5000</v>
      </c>
      <c r="F9" s="77"/>
      <c r="G9" s="77"/>
      <c r="H9" s="77"/>
    </row>
    <row r="10" spans="1:14" ht="18.75">
      <c r="A10" s="996" t="s">
        <v>923</v>
      </c>
      <c r="B10" s="1078">
        <f t="shared" si="0"/>
        <v>30413</v>
      </c>
      <c r="C10" s="1079">
        <v>14956</v>
      </c>
      <c r="D10" s="1079">
        <v>10457</v>
      </c>
      <c r="E10" s="1080">
        <v>5000</v>
      </c>
      <c r="F10" s="77"/>
      <c r="G10" s="77"/>
      <c r="H10" s="77"/>
    </row>
    <row r="11" spans="1:14" ht="18.75">
      <c r="A11" s="996" t="s">
        <v>942</v>
      </c>
      <c r="B11" s="1078">
        <f t="shared" si="0"/>
        <v>30479</v>
      </c>
      <c r="C11" s="1079">
        <v>15001</v>
      </c>
      <c r="D11" s="1079">
        <v>10469</v>
      </c>
      <c r="E11" s="1080">
        <v>5009</v>
      </c>
      <c r="F11" s="1458"/>
      <c r="G11" s="1458"/>
      <c r="H11" s="1458"/>
    </row>
    <row r="12" spans="1:14" ht="18.75">
      <c r="A12" s="996" t="s">
        <v>952</v>
      </c>
      <c r="B12" s="1078">
        <f t="shared" si="0"/>
        <v>30529</v>
      </c>
      <c r="C12" s="1079">
        <v>15026</v>
      </c>
      <c r="D12" s="1079">
        <v>10482</v>
      </c>
      <c r="E12" s="1080">
        <v>5021</v>
      </c>
      <c r="F12" s="1458"/>
      <c r="G12" s="1458"/>
      <c r="H12" s="1458"/>
    </row>
    <row r="13" spans="1:14" ht="18.75">
      <c r="A13" s="996" t="s">
        <v>970</v>
      </c>
      <c r="B13" s="1078">
        <f t="shared" si="0"/>
        <v>30514</v>
      </c>
      <c r="C13" s="1079">
        <v>15012</v>
      </c>
      <c r="D13" s="1079">
        <v>10479</v>
      </c>
      <c r="E13" s="1080">
        <v>5023</v>
      </c>
      <c r="F13" s="1458"/>
      <c r="G13" s="1458"/>
      <c r="H13" s="1458"/>
    </row>
    <row r="14" spans="1:14" ht="18.75">
      <c r="A14" s="996" t="s">
        <v>974</v>
      </c>
      <c r="B14" s="1078">
        <f t="shared" si="0"/>
        <v>30536</v>
      </c>
      <c r="C14" s="1079">
        <v>15041</v>
      </c>
      <c r="D14" s="1079">
        <v>10474</v>
      </c>
      <c r="E14" s="1080">
        <v>5021</v>
      </c>
      <c r="F14" s="207"/>
      <c r="G14" s="207"/>
      <c r="H14" s="207"/>
    </row>
    <row r="15" spans="1:14" ht="18.75">
      <c r="A15" s="996" t="s">
        <v>987</v>
      </c>
      <c r="B15" s="1078">
        <f t="shared" si="0"/>
        <v>29872</v>
      </c>
      <c r="C15" s="1079">
        <v>14675</v>
      </c>
      <c r="D15" s="1079">
        <v>10223</v>
      </c>
      <c r="E15" s="1080">
        <v>4974</v>
      </c>
      <c r="F15" s="207"/>
      <c r="G15" s="207"/>
      <c r="H15" s="207"/>
    </row>
    <row r="16" spans="1:14" ht="18.75">
      <c r="A16" s="1303" t="s">
        <v>1001</v>
      </c>
      <c r="B16" s="1078">
        <f t="shared" si="0"/>
        <v>29780</v>
      </c>
      <c r="C16" s="1330">
        <v>14657</v>
      </c>
      <c r="D16" s="1330">
        <v>10143</v>
      </c>
      <c r="E16" s="1331">
        <v>4980</v>
      </c>
    </row>
    <row r="17" spans="1:5" ht="15.75">
      <c r="A17" s="2111" t="s">
        <v>678</v>
      </c>
      <c r="B17" s="2112"/>
      <c r="C17" s="2112"/>
      <c r="D17" s="2112"/>
      <c r="E17" s="2112"/>
    </row>
  </sheetData>
  <mergeCells count="2">
    <mergeCell ref="A1:L1"/>
    <mergeCell ref="A17:E17"/>
  </mergeCells>
  <printOptions horizontalCentered="1" verticalCentered="1"/>
  <pageMargins left="0.4" right="0.4" top="0.25" bottom="0.25" header="0.31496062992126" footer="0.31496062992126"/>
  <pageSetup scale="5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17"/>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3.28515625" style="39" customWidth="1"/>
    <col min="2" max="2" width="18" style="39" customWidth="1"/>
    <col min="3" max="3" width="15.85546875" style="39" customWidth="1"/>
    <col min="4" max="4" width="13.140625" style="39" customWidth="1"/>
    <col min="5" max="5" width="11.28515625" style="39" customWidth="1"/>
    <col min="6" max="6" width="13.5703125" style="39" customWidth="1"/>
    <col min="7" max="7" width="13.140625" style="39" customWidth="1"/>
    <col min="8" max="8" width="22.85546875" style="39" customWidth="1"/>
    <col min="9" max="9" width="19.85546875" style="39" customWidth="1"/>
    <col min="10" max="10" width="13.42578125" style="39" customWidth="1"/>
    <col min="11" max="11" width="14" style="39" customWidth="1"/>
    <col min="12" max="12" width="15.5703125" style="39" customWidth="1"/>
    <col min="13" max="13" width="17" style="39" customWidth="1"/>
    <col min="14" max="14" width="13.140625" style="39" bestFit="1" customWidth="1"/>
    <col min="15" max="15" width="7.140625" style="39" customWidth="1"/>
    <col min="16" max="16" width="18.42578125" style="39" customWidth="1"/>
    <col min="17" max="17" width="27.28515625" style="39" customWidth="1"/>
    <col min="18" max="16384" width="11.42578125" style="39"/>
  </cols>
  <sheetData>
    <row r="1" spans="1:18" s="77" customFormat="1" ht="72" customHeight="1">
      <c r="A1" s="2110"/>
      <c r="B1" s="2110"/>
      <c r="C1" s="2110"/>
      <c r="D1" s="2110"/>
      <c r="E1" s="2110"/>
      <c r="F1" s="2110"/>
      <c r="G1" s="2110"/>
      <c r="H1" s="2110"/>
      <c r="I1" s="2110"/>
      <c r="J1" s="2110"/>
      <c r="K1" s="2110"/>
      <c r="L1" s="2110"/>
      <c r="M1" s="2110"/>
    </row>
    <row r="2" spans="1:18" s="77" customFormat="1" ht="15" customHeight="1">
      <c r="A2" s="153"/>
      <c r="B2" s="153"/>
      <c r="C2" s="153"/>
      <c r="D2" s="153"/>
      <c r="E2" s="153"/>
      <c r="F2" s="153"/>
      <c r="G2" s="153"/>
      <c r="H2" s="153"/>
      <c r="I2" s="153"/>
      <c r="J2" s="153"/>
      <c r="K2" s="153"/>
      <c r="L2" s="153"/>
    </row>
    <row r="3" spans="1:18" s="77" customFormat="1" ht="47.25" customHeight="1">
      <c r="A3" s="993" t="s">
        <v>226</v>
      </c>
      <c r="B3" s="994" t="s">
        <v>702</v>
      </c>
      <c r="C3" s="1942" t="s">
        <v>547</v>
      </c>
      <c r="D3"/>
      <c r="E3"/>
      <c r="F3"/>
      <c r="G3"/>
      <c r="H3"/>
      <c r="I3"/>
      <c r="L3"/>
      <c r="M3" s="68"/>
      <c r="N3" s="68"/>
      <c r="O3" s="39"/>
      <c r="P3" s="39"/>
      <c r="Q3" s="94"/>
      <c r="R3" s="94"/>
    </row>
    <row r="4" spans="1:18" ht="16.5" customHeight="1">
      <c r="A4" s="996" t="s">
        <v>697</v>
      </c>
      <c r="B4" s="1886">
        <v>30950</v>
      </c>
      <c r="C4" s="1113"/>
      <c r="D4" s="77"/>
      <c r="E4" s="77"/>
      <c r="F4" s="77"/>
      <c r="G4" s="77"/>
      <c r="H4" s="77"/>
      <c r="I4" s="77"/>
      <c r="L4" s="77"/>
    </row>
    <row r="5" spans="1:18" ht="16.5" customHeight="1">
      <c r="A5" s="996" t="s">
        <v>704</v>
      </c>
      <c r="B5" s="1886">
        <v>30599</v>
      </c>
      <c r="C5" s="1113">
        <f t="shared" ref="C5:C16" si="0">B5/B4-1</f>
        <v>-1.1340872374798083E-2</v>
      </c>
      <c r="D5" s="77"/>
      <c r="E5" s="77"/>
      <c r="F5" s="77"/>
      <c r="G5" s="77"/>
      <c r="H5" s="77"/>
      <c r="I5" s="77"/>
      <c r="L5" s="77"/>
    </row>
    <row r="6" spans="1:18" ht="16.5" customHeight="1">
      <c r="A6" s="996" t="s">
        <v>716</v>
      </c>
      <c r="B6" s="1886">
        <v>30733</v>
      </c>
      <c r="C6" s="1113">
        <f t="shared" si="0"/>
        <v>4.3792280793490956E-3</v>
      </c>
      <c r="D6" s="77"/>
      <c r="E6" s="77"/>
      <c r="F6" s="77"/>
      <c r="G6" s="77"/>
      <c r="H6" s="77"/>
      <c r="I6" s="77"/>
      <c r="L6" s="77"/>
    </row>
    <row r="7" spans="1:18" ht="16.5" customHeight="1">
      <c r="A7" s="996" t="s">
        <v>725</v>
      </c>
      <c r="B7" s="1886">
        <v>30690</v>
      </c>
      <c r="C7" s="1113">
        <f t="shared" si="0"/>
        <v>-1.3991474961767558E-3</v>
      </c>
      <c r="D7" s="77"/>
      <c r="E7" s="77"/>
      <c r="F7" s="77"/>
      <c r="G7" s="77"/>
      <c r="H7" s="77"/>
      <c r="I7" s="77"/>
      <c r="L7" s="77"/>
    </row>
    <row r="8" spans="1:18" ht="16.5" customHeight="1">
      <c r="A8" s="996" t="s">
        <v>733</v>
      </c>
      <c r="B8" s="1886">
        <v>30597</v>
      </c>
      <c r="C8" s="1113">
        <f t="shared" si="0"/>
        <v>-3.0303030303030498E-3</v>
      </c>
      <c r="D8" s="77"/>
      <c r="E8" s="77"/>
      <c r="F8" s="77"/>
      <c r="G8" s="77"/>
      <c r="H8" s="77"/>
      <c r="I8" s="77"/>
      <c r="L8" s="77"/>
    </row>
    <row r="9" spans="1:18" ht="16.5" customHeight="1">
      <c r="A9" s="996" t="s">
        <v>737</v>
      </c>
      <c r="B9" s="1886">
        <v>30640</v>
      </c>
      <c r="C9" s="1113">
        <f t="shared" si="0"/>
        <v>1.4053665392030901E-3</v>
      </c>
      <c r="D9" s="77"/>
      <c r="E9" s="77"/>
      <c r="F9" s="77"/>
      <c r="G9" s="77"/>
      <c r="H9" s="77"/>
      <c r="I9" s="77"/>
      <c r="L9" s="77"/>
    </row>
    <row r="10" spans="1:18" ht="16.5" customHeight="1">
      <c r="A10" s="996" t="s">
        <v>923</v>
      </c>
      <c r="B10" s="1886">
        <v>30504</v>
      </c>
      <c r="C10" s="1113">
        <f t="shared" si="0"/>
        <v>-4.4386422976501194E-3</v>
      </c>
      <c r="D10" s="1458"/>
      <c r="E10" s="1458"/>
      <c r="F10" s="1458"/>
      <c r="G10" s="1458"/>
      <c r="H10" s="1458"/>
      <c r="I10" s="1458"/>
      <c r="L10" s="1458"/>
    </row>
    <row r="11" spans="1:18" ht="16.5" customHeight="1">
      <c r="A11" s="996" t="s">
        <v>942</v>
      </c>
      <c r="B11" s="1886">
        <v>30522</v>
      </c>
      <c r="C11" s="1113">
        <f t="shared" si="0"/>
        <v>5.90086546026658E-4</v>
      </c>
      <c r="D11" s="1458"/>
      <c r="E11" s="1458"/>
      <c r="F11" s="1458"/>
      <c r="G11" s="1458"/>
      <c r="H11" s="1458"/>
      <c r="I11" s="1458"/>
      <c r="L11" s="1458"/>
    </row>
    <row r="12" spans="1:18" ht="16.5" customHeight="1">
      <c r="A12" s="1715" t="s">
        <v>952</v>
      </c>
      <c r="B12" s="1886">
        <v>30529</v>
      </c>
      <c r="C12" s="1113">
        <f t="shared" si="0"/>
        <v>2.2934276915020924E-4</v>
      </c>
      <c r="D12" s="1458"/>
      <c r="E12" s="1458"/>
      <c r="F12" s="1458"/>
      <c r="G12" s="1458"/>
      <c r="H12" s="1458"/>
      <c r="I12" s="1458"/>
      <c r="L12" s="1458"/>
    </row>
    <row r="13" spans="1:18" ht="16.5" customHeight="1">
      <c r="A13" s="1715" t="s">
        <v>970</v>
      </c>
      <c r="B13" s="1886">
        <v>30564</v>
      </c>
      <c r="C13" s="1113">
        <f t="shared" si="0"/>
        <v>1.1464509155230118E-3</v>
      </c>
      <c r="D13" s="1458"/>
      <c r="E13" s="1458"/>
      <c r="F13" s="1458"/>
      <c r="G13" s="1458"/>
      <c r="H13" s="1458"/>
      <c r="I13" s="1458"/>
      <c r="L13" s="1458"/>
    </row>
    <row r="14" spans="1:18" ht="16.5" customHeight="1">
      <c r="A14" s="1715" t="s">
        <v>974</v>
      </c>
      <c r="B14" s="1886">
        <v>30597</v>
      </c>
      <c r="C14" s="1113">
        <f t="shared" si="0"/>
        <v>1.0797016097370271E-3</v>
      </c>
      <c r="D14" s="1458"/>
      <c r="E14" s="1458"/>
      <c r="F14" s="1458"/>
      <c r="G14" s="1458"/>
      <c r="H14" s="1458"/>
      <c r="I14" s="1458"/>
      <c r="L14" s="1458"/>
    </row>
    <row r="15" spans="1:18" ht="16.5" customHeight="1">
      <c r="A15" s="1715" t="s">
        <v>987</v>
      </c>
      <c r="B15" s="1886">
        <v>30624</v>
      </c>
      <c r="C15" s="1113">
        <f t="shared" si="0"/>
        <v>8.8243945484856035E-4</v>
      </c>
      <c r="D15" s="1458"/>
      <c r="E15" s="1458"/>
      <c r="F15" s="1458"/>
      <c r="G15" s="1458"/>
      <c r="H15" s="1458"/>
      <c r="I15" s="1458"/>
      <c r="L15" s="1458"/>
    </row>
    <row r="16" spans="1:18" ht="16.5" customHeight="1">
      <c r="A16" s="1303" t="s">
        <v>1001</v>
      </c>
      <c r="B16" s="1887">
        <v>29955</v>
      </c>
      <c r="C16" s="1114">
        <f t="shared" si="0"/>
        <v>-2.1845611285266409E-2</v>
      </c>
    </row>
    <row r="17" spans="1:4" ht="15.75">
      <c r="A17" s="2113" t="s">
        <v>679</v>
      </c>
      <c r="B17" s="2113"/>
      <c r="C17" s="2113"/>
      <c r="D17" s="2113"/>
    </row>
  </sheetData>
  <mergeCells count="2">
    <mergeCell ref="A1:M1"/>
    <mergeCell ref="A17:D17"/>
  </mergeCells>
  <printOptions horizontalCentered="1" verticalCentered="1"/>
  <pageMargins left="0.4" right="0.4" top="0.25" bottom="0.25" header="0.31496062992126" footer="0.31496062992126"/>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zoomScale="55" zoomScaleNormal="100" zoomScaleSheetLayoutView="55" workbookViewId="0">
      <selection activeCell="R53" sqref="R53"/>
    </sheetView>
  </sheetViews>
  <sheetFormatPr baseColWidth="10" defaultColWidth="11.42578125" defaultRowHeight="15"/>
  <cols>
    <col min="1" max="6" width="11.42578125" style="77"/>
    <col min="7" max="7" width="35.7109375" style="77" customWidth="1"/>
    <col min="8" max="10" width="11.42578125" style="77"/>
    <col min="11" max="11" width="11.28515625" style="77" customWidth="1"/>
    <col min="12" max="13" width="11.42578125" style="77" hidden="1" customWidth="1"/>
    <col min="14" max="16384" width="11.42578125" style="77"/>
  </cols>
  <sheetData/>
  <pageMargins left="0.7" right="0.7" top="0.75" bottom="0.75" header="0.3" footer="0.3"/>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P26" sqref="P26"/>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row r="26" spans="16:16">
      <c r="P26" s="77" t="s">
        <v>176</v>
      </c>
    </row>
  </sheetData>
  <pageMargins left="0.70866141732283472" right="0.70866141732283472" top="0.74803149606299213" bottom="0.74803149606299213" header="0.31496062992125984" footer="0.31496062992125984"/>
  <pageSetup scale="7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Q45"/>
  <sheetViews>
    <sheetView showGridLines="0" view="pageBreakPreview" zoomScale="85" zoomScaleNormal="100" zoomScaleSheetLayoutView="85" workbookViewId="0">
      <selection activeCell="O30" sqref="O30"/>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42578125" style="77"/>
    <col min="14" max="14" width="7.85546875" style="77" customWidth="1"/>
    <col min="15" max="15" width="8.7109375" style="77" customWidth="1"/>
    <col min="16" max="16" width="29" style="77" customWidth="1"/>
    <col min="17" max="17" width="24.85546875" style="77" customWidth="1"/>
    <col min="18" max="16384" width="11.42578125" style="77"/>
  </cols>
  <sheetData>
    <row r="5" spans="14:17" ht="15" customHeight="1"/>
    <row r="8" spans="14:17" ht="19.5">
      <c r="N8" s="822"/>
    </row>
    <row r="13" spans="14:17">
      <c r="P13" s="50"/>
      <c r="Q13" s="50"/>
    </row>
    <row r="14" spans="14:17">
      <c r="P14" s="50"/>
      <c r="Q14" s="50"/>
    </row>
    <row r="15" spans="14:17">
      <c r="P15" s="50"/>
      <c r="Q15" s="735"/>
    </row>
    <row r="19" spans="14:16">
      <c r="N19" s="173"/>
      <c r="O19" s="173"/>
    </row>
    <row r="20" spans="14:16">
      <c r="N20" s="173"/>
      <c r="O20" s="173"/>
    </row>
    <row r="21" spans="14:16">
      <c r="P21" s="144"/>
    </row>
    <row r="22" spans="14:16">
      <c r="O22" s="144"/>
    </row>
    <row r="23" spans="14:16">
      <c r="O23" s="144"/>
    </row>
    <row r="41" spans="9:12">
      <c r="L41" s="268"/>
    </row>
    <row r="42" spans="9:12">
      <c r="J42" s="144"/>
    </row>
    <row r="43" spans="9:12">
      <c r="I43" s="268"/>
    </row>
    <row r="45" spans="9:12">
      <c r="I45" s="144"/>
    </row>
  </sheetData>
  <pageMargins left="0.70866141732283472" right="0.70866141732283472" top="0.74803149606299213" bottom="0.74803149606299213" header="0.31496062992125984" footer="0.31496062992125984"/>
  <pageSetup scale="77"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U35"/>
  <sheetViews>
    <sheetView showGridLines="0" view="pageBreakPreview" zoomScale="70" zoomScaleNormal="100" zoomScaleSheetLayoutView="70" workbookViewId="0">
      <pane ySplit="1" topLeftCell="A2" activePane="bottomLeft" state="frozen"/>
      <selection pane="bottomLeft" activeCell="A3" sqref="A3"/>
    </sheetView>
  </sheetViews>
  <sheetFormatPr baseColWidth="10" defaultColWidth="11.42578125" defaultRowHeight="15"/>
  <cols>
    <col min="1" max="1" width="16.42578125" style="77" customWidth="1"/>
    <col min="2" max="2" width="17.28515625" style="77" customWidth="1"/>
    <col min="3" max="3" width="16.28515625" style="77" customWidth="1"/>
    <col min="4" max="4" width="18.140625" style="77" customWidth="1"/>
    <col min="5" max="5" width="19.140625" style="77" customWidth="1"/>
    <col min="6" max="6" width="17" style="77" customWidth="1"/>
    <col min="7" max="7" width="12.85546875" style="77" customWidth="1"/>
    <col min="8" max="8" width="17" style="77" customWidth="1"/>
    <col min="9" max="9" width="15" style="77" customWidth="1"/>
    <col min="10" max="10" width="15.7109375" style="77" customWidth="1"/>
    <col min="11" max="11" width="14" style="77" customWidth="1"/>
    <col min="12" max="12" width="14.140625" style="77" customWidth="1"/>
    <col min="13" max="13" width="13" style="77" customWidth="1"/>
    <col min="14" max="14" width="6.85546875" style="77" customWidth="1"/>
    <col min="15" max="15" width="6.7109375" style="77" customWidth="1"/>
    <col min="16" max="16" width="15.28515625" style="77" customWidth="1"/>
    <col min="17" max="17" width="12.7109375" style="77" customWidth="1"/>
    <col min="18" max="16384" width="11.42578125" style="77"/>
  </cols>
  <sheetData>
    <row r="1" spans="1:21" ht="75.75" customHeight="1">
      <c r="A1" s="2114"/>
      <c r="B1" s="2114"/>
      <c r="C1" s="2114"/>
      <c r="D1" s="2114"/>
      <c r="E1" s="2114"/>
      <c r="F1" s="2114"/>
      <c r="G1" s="2114"/>
      <c r="H1" s="2114"/>
      <c r="I1" s="2114"/>
      <c r="J1" s="2114"/>
      <c r="K1" s="2114"/>
      <c r="L1" s="2114"/>
      <c r="M1" s="2114"/>
      <c r="N1" s="2114"/>
    </row>
    <row r="2" spans="1:21" ht="6" customHeight="1">
      <c r="A2" s="2115" t="s">
        <v>589</v>
      </c>
      <c r="B2" s="2115"/>
      <c r="C2" s="2115"/>
      <c r="D2" s="2115"/>
      <c r="E2" s="2115"/>
      <c r="F2" s="2115"/>
      <c r="G2" s="2115"/>
      <c r="H2" s="2115"/>
      <c r="I2" s="2115"/>
      <c r="J2" s="2115"/>
      <c r="K2" s="2115"/>
      <c r="L2" s="2115"/>
      <c r="M2" s="2115"/>
      <c r="N2" s="2115"/>
    </row>
    <row r="3" spans="1:21" ht="37.5" customHeight="1">
      <c r="A3" s="1033" t="s">
        <v>25</v>
      </c>
      <c r="B3" s="857" t="s">
        <v>37</v>
      </c>
      <c r="C3" s="857" t="s">
        <v>501</v>
      </c>
      <c r="D3" s="1034" t="s">
        <v>210</v>
      </c>
      <c r="P3" s="156"/>
      <c r="T3" s="170"/>
      <c r="U3" s="170"/>
    </row>
    <row r="4" spans="1:21" ht="15.75">
      <c r="A4" s="1038" t="s">
        <v>964</v>
      </c>
      <c r="B4" s="734">
        <v>576869</v>
      </c>
      <c r="C4" s="734">
        <v>986538</v>
      </c>
      <c r="D4" s="1035">
        <f t="shared" ref="D4:D16" si="0">B4/C4</f>
        <v>0.58474078038555033</v>
      </c>
      <c r="T4" s="170"/>
      <c r="U4" s="170"/>
    </row>
    <row r="5" spans="1:21" ht="15.75">
      <c r="A5" s="309" t="s">
        <v>965</v>
      </c>
      <c r="B5" s="256">
        <v>593286</v>
      </c>
      <c r="C5" s="256">
        <v>1190202</v>
      </c>
      <c r="D5" s="1036">
        <f t="shared" si="0"/>
        <v>0.49847504877323345</v>
      </c>
      <c r="T5" s="170"/>
      <c r="U5" s="170"/>
    </row>
    <row r="6" spans="1:21" ht="15.75">
      <c r="A6" s="309" t="s">
        <v>26</v>
      </c>
      <c r="B6" s="256">
        <v>626615</v>
      </c>
      <c r="C6" s="257">
        <v>1429521</v>
      </c>
      <c r="D6" s="1036">
        <f t="shared" si="0"/>
        <v>0.43833913597631652</v>
      </c>
      <c r="O6" s="156"/>
      <c r="T6" s="170"/>
      <c r="U6" s="170"/>
    </row>
    <row r="7" spans="1:21" ht="15.75">
      <c r="A7" s="309" t="s">
        <v>27</v>
      </c>
      <c r="B7" s="256">
        <v>808496</v>
      </c>
      <c r="C7" s="256">
        <v>1588621</v>
      </c>
      <c r="D7" s="1036">
        <f t="shared" si="0"/>
        <v>0.50892944257944472</v>
      </c>
      <c r="P7" s="255"/>
      <c r="T7" s="170"/>
      <c r="U7" s="170"/>
    </row>
    <row r="8" spans="1:21" ht="15.75">
      <c r="A8" s="309" t="s">
        <v>28</v>
      </c>
      <c r="B8" s="256">
        <v>913203</v>
      </c>
      <c r="C8" s="256">
        <v>1797027</v>
      </c>
      <c r="D8" s="1036">
        <f t="shared" si="0"/>
        <v>0.5081743346093297</v>
      </c>
      <c r="T8" s="170"/>
      <c r="U8" s="170"/>
    </row>
    <row r="9" spans="1:21" ht="15.75">
      <c r="A9" s="309" t="s">
        <v>29</v>
      </c>
      <c r="B9" s="256">
        <v>929743</v>
      </c>
      <c r="C9" s="256">
        <v>1983720</v>
      </c>
      <c r="D9" s="1036">
        <f t="shared" si="0"/>
        <v>0.46868660899723752</v>
      </c>
      <c r="P9" s="156"/>
      <c r="T9" s="170"/>
      <c r="U9" s="170"/>
    </row>
    <row r="10" spans="1:21" ht="15.75">
      <c r="A10" s="309" t="s">
        <v>30</v>
      </c>
      <c r="B10" s="256">
        <v>1118293</v>
      </c>
      <c r="C10" s="256">
        <v>2193890</v>
      </c>
      <c r="D10" s="1036">
        <f t="shared" si="0"/>
        <v>0.50973066106322562</v>
      </c>
      <c r="O10" s="173"/>
      <c r="P10" s="1354"/>
      <c r="Q10" s="1355"/>
      <c r="T10" s="170"/>
      <c r="U10" s="170"/>
    </row>
    <row r="11" spans="1:21" ht="15.75">
      <c r="A11" s="309" t="s">
        <v>183</v>
      </c>
      <c r="B11" s="256">
        <v>1189601</v>
      </c>
      <c r="C11" s="256">
        <v>2374783</v>
      </c>
      <c r="D11" s="1036">
        <f t="shared" si="0"/>
        <v>0.50093040079872564</v>
      </c>
      <c r="P11" s="1356"/>
      <c r="Q11" s="1357"/>
      <c r="T11" s="170"/>
      <c r="U11" s="170"/>
    </row>
    <row r="12" spans="1:21" ht="15.75">
      <c r="A12" s="309" t="s">
        <v>223</v>
      </c>
      <c r="B12" s="256">
        <v>1242780</v>
      </c>
      <c r="C12" s="256">
        <v>2552974</v>
      </c>
      <c r="D12" s="1036">
        <f t="shared" si="0"/>
        <v>0.4867969669883046</v>
      </c>
      <c r="P12" s="1356"/>
      <c r="Q12" s="1357"/>
      <c r="T12" s="170"/>
      <c r="U12" s="170"/>
    </row>
    <row r="13" spans="1:21" ht="15.75">
      <c r="A13" s="309" t="s">
        <v>456</v>
      </c>
      <c r="B13" s="256">
        <v>1291137</v>
      </c>
      <c r="C13" s="256">
        <v>2714449</v>
      </c>
      <c r="D13" s="1036">
        <f t="shared" si="0"/>
        <v>0.47565343832210516</v>
      </c>
      <c r="O13" s="209"/>
      <c r="P13" s="1356"/>
      <c r="Q13" s="1357"/>
      <c r="T13" s="170"/>
      <c r="U13" s="170"/>
    </row>
    <row r="14" spans="1:21" ht="15.75">
      <c r="A14" s="309" t="s">
        <v>530</v>
      </c>
      <c r="B14" s="256">
        <v>1376966</v>
      </c>
      <c r="C14" s="256">
        <v>2881130</v>
      </c>
      <c r="D14" s="1036">
        <f t="shared" si="0"/>
        <v>0.47792567499557465</v>
      </c>
      <c r="P14" s="1356"/>
      <c r="Q14" s="1357"/>
      <c r="T14" s="170"/>
      <c r="U14" s="170"/>
    </row>
    <row r="15" spans="1:21" ht="15.75">
      <c r="A15" s="309" t="s">
        <v>542</v>
      </c>
      <c r="B15" s="256">
        <v>1508392</v>
      </c>
      <c r="C15" s="256">
        <v>3069900</v>
      </c>
      <c r="D15" s="1036">
        <f t="shared" si="0"/>
        <v>0.49134890387309033</v>
      </c>
      <c r="G15" s="268"/>
      <c r="P15" s="1356"/>
      <c r="Q15" s="1357"/>
      <c r="T15" s="170"/>
      <c r="U15" s="170"/>
    </row>
    <row r="16" spans="1:21" ht="15.75">
      <c r="A16" s="309" t="s">
        <v>953</v>
      </c>
      <c r="B16" s="256">
        <v>1617107</v>
      </c>
      <c r="C16" s="256">
        <v>3269757</v>
      </c>
      <c r="D16" s="1036">
        <f t="shared" si="0"/>
        <v>0.49456488662613152</v>
      </c>
      <c r="E16" s="48"/>
      <c r="F16" s="1191"/>
      <c r="G16" s="14" t="s">
        <v>445</v>
      </c>
      <c r="H16" s="14"/>
      <c r="I16" s="1"/>
      <c r="J16" s="15"/>
      <c r="K16" s="1"/>
      <c r="L16" s="1"/>
      <c r="P16" s="1356"/>
      <c r="Q16" s="1357"/>
      <c r="T16" s="170"/>
      <c r="U16" s="170"/>
    </row>
    <row r="17" spans="1:21" ht="15.75">
      <c r="A17" s="1608" t="s">
        <v>1004</v>
      </c>
      <c r="B17" s="1431">
        <v>1646516</v>
      </c>
      <c r="C17" s="1431">
        <v>3333526</v>
      </c>
      <c r="D17" s="1037">
        <f>B17/C17</f>
        <v>0.49392625106268856</v>
      </c>
      <c r="E17" s="7"/>
      <c r="F17" s="13"/>
      <c r="G17" s="13"/>
      <c r="H17" s="13"/>
      <c r="I17" s="1"/>
      <c r="J17" s="15"/>
      <c r="K17" s="1"/>
      <c r="L17" s="1"/>
      <c r="P17" s="1356"/>
      <c r="Q17" s="1357"/>
      <c r="T17" s="170"/>
      <c r="U17" s="170"/>
    </row>
    <row r="18" spans="1:21" ht="15.75">
      <c r="A18" s="77" t="s">
        <v>924</v>
      </c>
      <c r="B18" s="1"/>
      <c r="C18" s="1"/>
      <c r="D18" s="1"/>
      <c r="E18" s="1"/>
      <c r="F18" s="5"/>
      <c r="G18" s="5"/>
      <c r="H18" s="5"/>
      <c r="I18" s="1"/>
      <c r="J18" s="1"/>
      <c r="K18" s="1"/>
      <c r="L18" s="1"/>
      <c r="P18" s="1356"/>
      <c r="Q18" s="1357"/>
      <c r="T18" s="170"/>
      <c r="U18" s="170"/>
    </row>
    <row r="19" spans="1:21" ht="15.75">
      <c r="B19" s="1"/>
      <c r="C19" s="1"/>
      <c r="D19" s="1"/>
      <c r="E19" s="1"/>
      <c r="F19" s="1"/>
      <c r="G19" s="1"/>
      <c r="H19" s="1"/>
      <c r="I19" s="1"/>
      <c r="J19" s="1"/>
      <c r="K19" s="1"/>
      <c r="L19" s="1"/>
      <c r="P19" s="1356"/>
      <c r="Q19" s="1357"/>
      <c r="T19" s="170"/>
      <c r="U19" s="170"/>
    </row>
    <row r="20" spans="1:21">
      <c r="B20" s="1"/>
      <c r="C20" s="1"/>
      <c r="D20" s="1"/>
      <c r="E20" s="1"/>
      <c r="F20" s="1"/>
      <c r="G20" s="1"/>
      <c r="H20" s="1"/>
      <c r="I20" s="1"/>
      <c r="J20" s="1"/>
      <c r="K20" s="1"/>
      <c r="L20" s="1"/>
      <c r="P20" s="1356"/>
      <c r="Q20" s="1357"/>
    </row>
    <row r="21" spans="1:21">
      <c r="B21" s="1"/>
      <c r="C21" s="1"/>
      <c r="D21" s="1"/>
      <c r="E21" s="1"/>
      <c r="F21" s="1"/>
      <c r="G21" s="1"/>
      <c r="H21" s="1"/>
      <c r="I21" s="1"/>
      <c r="J21" s="1"/>
      <c r="K21" s="1"/>
      <c r="L21" s="1"/>
      <c r="P21" s="1356"/>
      <c r="Q21" s="1357"/>
    </row>
    <row r="22" spans="1:21">
      <c r="B22" s="1"/>
      <c r="C22" s="1"/>
      <c r="D22" s="1"/>
      <c r="E22" s="1"/>
      <c r="F22" s="1"/>
      <c r="G22" s="1"/>
      <c r="H22" s="1"/>
      <c r="I22" s="1"/>
      <c r="J22" s="1"/>
      <c r="K22" s="1"/>
      <c r="L22" s="1"/>
      <c r="P22" s="1356"/>
      <c r="Q22" s="1357"/>
    </row>
    <row r="23" spans="1:21">
      <c r="B23" s="1"/>
      <c r="C23" s="1"/>
      <c r="D23" s="1"/>
      <c r="E23" s="1"/>
      <c r="F23" s="1"/>
      <c r="G23" s="1"/>
      <c r="H23" s="1"/>
      <c r="I23" s="1"/>
      <c r="J23" s="1"/>
      <c r="K23" s="1"/>
      <c r="L23" s="1"/>
      <c r="P23" s="1356"/>
      <c r="Q23" s="1357"/>
    </row>
    <row r="24" spans="1:21">
      <c r="B24" s="1"/>
      <c r="C24" s="1"/>
      <c r="D24" s="1"/>
      <c r="E24" s="1"/>
      <c r="F24" s="1"/>
      <c r="G24" s="1"/>
      <c r="H24" s="1"/>
      <c r="I24" s="1"/>
      <c r="J24" s="1"/>
      <c r="K24" s="1"/>
      <c r="L24" s="1"/>
      <c r="M24" s="77" t="s">
        <v>31</v>
      </c>
    </row>
    <row r="25" spans="1:21">
      <c r="B25" s="1"/>
      <c r="C25" s="1"/>
      <c r="D25" s="1"/>
      <c r="E25" s="1"/>
      <c r="F25" s="1"/>
      <c r="G25" s="1"/>
      <c r="H25" s="1"/>
      <c r="I25" s="1"/>
      <c r="J25" s="1"/>
      <c r="K25" s="1"/>
      <c r="L25" s="1"/>
      <c r="P25" s="1358"/>
      <c r="Q25" s="1358"/>
    </row>
    <row r="26" spans="1:21">
      <c r="B26" s="1"/>
      <c r="C26" s="1"/>
      <c r="D26" s="1"/>
      <c r="E26" s="1"/>
      <c r="F26" s="1"/>
      <c r="G26" s="1"/>
      <c r="H26" s="1"/>
      <c r="I26" s="1"/>
      <c r="J26" s="1"/>
      <c r="K26" s="1"/>
      <c r="L26" s="1"/>
    </row>
    <row r="27" spans="1:21">
      <c r="B27" s="1"/>
      <c r="C27" s="1"/>
      <c r="D27" s="1"/>
      <c r="E27" s="1"/>
      <c r="F27" s="1"/>
      <c r="G27" s="1"/>
      <c r="H27" s="1"/>
      <c r="I27" s="1"/>
      <c r="J27" s="1"/>
      <c r="K27" s="1"/>
      <c r="L27" s="1"/>
      <c r="P27" s="156"/>
    </row>
    <row r="28" spans="1:21">
      <c r="B28" s="1"/>
      <c r="C28" s="1"/>
      <c r="D28" s="1"/>
      <c r="E28" s="1"/>
      <c r="F28" s="1"/>
      <c r="G28" s="1"/>
      <c r="H28" s="1"/>
      <c r="I28" s="1"/>
      <c r="J28" s="1"/>
      <c r="K28" s="1"/>
      <c r="L28" s="1"/>
      <c r="P28" s="156"/>
    </row>
    <row r="29" spans="1:21">
      <c r="B29" s="1"/>
      <c r="C29" s="1"/>
      <c r="D29" s="1"/>
      <c r="E29" s="1"/>
      <c r="F29" s="1"/>
      <c r="G29" s="1"/>
      <c r="H29" s="1"/>
      <c r="I29" s="1"/>
      <c r="J29" s="1"/>
      <c r="K29" s="1"/>
      <c r="L29" s="1"/>
      <c r="P29" s="156"/>
    </row>
    <row r="30" spans="1:21">
      <c r="B30" s="1"/>
      <c r="C30" s="1"/>
      <c r="D30" s="1"/>
      <c r="E30" s="1"/>
      <c r="F30" s="1"/>
      <c r="G30" s="1"/>
      <c r="H30" s="1"/>
      <c r="I30" s="1"/>
      <c r="J30" s="1"/>
      <c r="K30" s="1"/>
      <c r="L30" s="1"/>
    </row>
    <row r="31" spans="1:21">
      <c r="B31" s="1"/>
      <c r="C31" s="1"/>
      <c r="D31" s="1"/>
      <c r="E31" s="1"/>
      <c r="F31" s="1"/>
      <c r="G31" s="1"/>
      <c r="H31" s="1"/>
      <c r="I31" s="1"/>
      <c r="J31" s="1"/>
      <c r="K31" s="1"/>
      <c r="L31" s="1"/>
    </row>
    <row r="32" spans="1:21">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55" zoomScaleNormal="70" zoomScaleSheetLayoutView="55" workbookViewId="0">
      <selection activeCell="M7" sqref="M7"/>
    </sheetView>
  </sheetViews>
  <sheetFormatPr baseColWidth="10" defaultColWidth="11.42578125" defaultRowHeight="15"/>
  <cols>
    <col min="1" max="1" width="15.85546875" style="77" customWidth="1"/>
    <col min="2" max="2" width="21.28515625" style="77" customWidth="1"/>
    <col min="3" max="3" width="18.140625" style="77" customWidth="1"/>
    <col min="4" max="4" width="20.5703125" style="77" customWidth="1"/>
    <col min="5" max="5" width="11.42578125" style="77"/>
    <col min="6" max="6" width="19.140625" style="77" customWidth="1"/>
    <col min="7" max="7" width="15.7109375" style="77" customWidth="1"/>
    <col min="8" max="9" width="11.42578125" style="77"/>
    <col min="10" max="10" width="17.140625" style="77" customWidth="1"/>
    <col min="11" max="11" width="24" style="77" customWidth="1"/>
    <col min="12" max="12" width="22.28515625" style="77" customWidth="1"/>
    <col min="13" max="13" width="21.28515625" style="77" customWidth="1"/>
    <col min="14" max="14" width="21.5703125" style="77" customWidth="1"/>
    <col min="15" max="16384" width="11.42578125" style="77"/>
  </cols>
  <sheetData>
    <row r="1" spans="1:14" ht="73.5" customHeight="1">
      <c r="A1" s="2116"/>
      <c r="B1" s="2116"/>
      <c r="C1" s="2116"/>
      <c r="D1" s="2116"/>
      <c r="E1" s="2116"/>
      <c r="F1" s="2116"/>
      <c r="G1" s="2116"/>
      <c r="H1" s="2116"/>
      <c r="I1" s="2116"/>
      <c r="J1" s="2116"/>
      <c r="K1" s="2116"/>
      <c r="L1" s="2116"/>
      <c r="M1" s="2116"/>
      <c r="N1" s="2116"/>
    </row>
    <row r="2" spans="1:14" ht="28.5" customHeight="1">
      <c r="A2" s="96"/>
      <c r="B2" s="96"/>
      <c r="C2" s="96"/>
      <c r="D2" s="96"/>
      <c r="E2" s="96"/>
      <c r="F2" s="96"/>
      <c r="G2" s="96"/>
      <c r="H2" s="96"/>
      <c r="I2" s="96"/>
      <c r="J2" s="96"/>
      <c r="K2" s="96"/>
      <c r="L2" s="96"/>
    </row>
    <row r="3" spans="1:14" ht="42" customHeight="1">
      <c r="A3" s="2016" t="s">
        <v>39</v>
      </c>
      <c r="B3" s="2017" t="s">
        <v>502</v>
      </c>
      <c r="C3" s="2017" t="s">
        <v>501</v>
      </c>
      <c r="D3" s="2018" t="s">
        <v>210</v>
      </c>
      <c r="F3" s="95"/>
      <c r="G3" s="96"/>
      <c r="H3" s="96"/>
      <c r="I3" s="96"/>
      <c r="J3" s="96"/>
      <c r="K3" s="96"/>
      <c r="L3" s="96"/>
      <c r="M3" s="96"/>
    </row>
    <row r="4" spans="1:14" ht="21">
      <c r="A4" s="2013" t="s">
        <v>697</v>
      </c>
      <c r="B4" s="2014">
        <v>1513581</v>
      </c>
      <c r="C4" s="2014">
        <v>3130659</v>
      </c>
      <c r="D4" s="2015">
        <f t="shared" ref="D4:D16" si="0">B4/C4</f>
        <v>0.4834704130983285</v>
      </c>
    </row>
    <row r="5" spans="1:14" ht="21">
      <c r="A5" s="1029" t="s">
        <v>704</v>
      </c>
      <c r="B5" s="1031">
        <v>1530988</v>
      </c>
      <c r="C5" s="1031">
        <v>3148124</v>
      </c>
      <c r="D5" s="1609">
        <f t="shared" si="0"/>
        <v>0.48631756563591522</v>
      </c>
    </row>
    <row r="6" spans="1:14" ht="21">
      <c r="A6" s="1029" t="s">
        <v>716</v>
      </c>
      <c r="B6" s="1030">
        <v>1553760</v>
      </c>
      <c r="C6" s="1030">
        <v>3164622</v>
      </c>
      <c r="D6" s="1609">
        <f t="shared" si="0"/>
        <v>0.4909780694187173</v>
      </c>
    </row>
    <row r="7" spans="1:14" ht="21">
      <c r="A7" s="1029" t="s">
        <v>725</v>
      </c>
      <c r="B7" s="1030">
        <v>1571146</v>
      </c>
      <c r="C7" s="1030">
        <v>3180386</v>
      </c>
      <c r="D7" s="1609">
        <f t="shared" si="0"/>
        <v>0.4940111043124954</v>
      </c>
    </row>
    <row r="8" spans="1:14" ht="21">
      <c r="A8" s="1029" t="s">
        <v>733</v>
      </c>
      <c r="B8" s="1030">
        <v>1520245</v>
      </c>
      <c r="C8" s="1030">
        <v>3199322</v>
      </c>
      <c r="D8" s="1609">
        <f t="shared" si="0"/>
        <v>0.47517724067786865</v>
      </c>
    </row>
    <row r="9" spans="1:14" ht="21">
      <c r="A9" s="1029" t="s">
        <v>737</v>
      </c>
      <c r="B9" s="1030">
        <v>1562475</v>
      </c>
      <c r="C9" s="1030">
        <v>3215452</v>
      </c>
      <c r="D9" s="1609">
        <f t="shared" si="0"/>
        <v>0.48592701741465899</v>
      </c>
    </row>
    <row r="10" spans="1:14" s="1458" customFormat="1" ht="21">
      <c r="A10" s="1029" t="s">
        <v>923</v>
      </c>
      <c r="B10" s="1030">
        <v>1578120</v>
      </c>
      <c r="C10" s="1030">
        <v>3234981</v>
      </c>
      <c r="D10" s="1609">
        <f t="shared" si="0"/>
        <v>0.48782975850553684</v>
      </c>
    </row>
    <row r="11" spans="1:14" s="1458" customFormat="1" ht="21">
      <c r="A11" s="1029" t="s">
        <v>942</v>
      </c>
      <c r="B11" s="1030">
        <v>1569766</v>
      </c>
      <c r="C11" s="1030">
        <v>3253374</v>
      </c>
      <c r="D11" s="1609">
        <f t="shared" si="0"/>
        <v>0.4825040096834855</v>
      </c>
    </row>
    <row r="12" spans="1:14" ht="21">
      <c r="A12" s="1029" t="s">
        <v>952</v>
      </c>
      <c r="B12" s="1030">
        <v>1617107</v>
      </c>
      <c r="C12" s="1030">
        <v>3269757</v>
      </c>
      <c r="D12" s="1609">
        <f t="shared" si="0"/>
        <v>0.49456488662613152</v>
      </c>
      <c r="E12" s="1458"/>
    </row>
    <row r="13" spans="1:14" ht="21">
      <c r="A13" s="1029" t="s">
        <v>970</v>
      </c>
      <c r="B13" s="1030">
        <v>1501053</v>
      </c>
      <c r="C13" s="1030">
        <v>3283151</v>
      </c>
      <c r="D13" s="1609">
        <f t="shared" si="0"/>
        <v>0.45719889216182868</v>
      </c>
    </row>
    <row r="14" spans="1:14" s="1458" customFormat="1" ht="21">
      <c r="A14" s="1029" t="s">
        <v>974</v>
      </c>
      <c r="B14" s="1030">
        <v>1605919</v>
      </c>
      <c r="C14" s="1030">
        <v>3296822</v>
      </c>
      <c r="D14" s="1609">
        <v>0.48711122408185825</v>
      </c>
    </row>
    <row r="15" spans="1:14" s="1458" customFormat="1" ht="21">
      <c r="A15" s="1029" t="s">
        <v>987</v>
      </c>
      <c r="B15" s="1030">
        <v>1671280</v>
      </c>
      <c r="C15" s="1030">
        <v>3316016</v>
      </c>
      <c r="D15" s="1609">
        <f t="shared" ref="D15" si="1">B15/C15</f>
        <v>0.50400239323332574</v>
      </c>
    </row>
    <row r="16" spans="1:14" ht="21">
      <c r="A16" s="1032" t="s">
        <v>1001</v>
      </c>
      <c r="B16" s="1039">
        <v>1646516</v>
      </c>
      <c r="C16" s="1039">
        <v>3333526</v>
      </c>
      <c r="D16" s="1610">
        <f t="shared" si="0"/>
        <v>0.49392625106268856</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1"/>
  <sheetViews>
    <sheetView showGridLines="0" view="pageBreakPreview" zoomScale="70" zoomScaleNormal="85" zoomScaleSheetLayoutView="70" workbookViewId="0">
      <selection activeCell="A2" sqref="A2"/>
    </sheetView>
  </sheetViews>
  <sheetFormatPr baseColWidth="10" defaultColWidth="11.42578125" defaultRowHeight="15"/>
  <cols>
    <col min="1" max="1" width="17.7109375" style="77" customWidth="1"/>
    <col min="2" max="2" width="14.28515625" style="77" hidden="1" customWidth="1"/>
    <col min="3" max="3" width="17" style="77" customWidth="1"/>
    <col min="4" max="4" width="17.85546875" style="77" customWidth="1"/>
    <col min="5" max="5" width="21.28515625" style="77" customWidth="1"/>
    <col min="6" max="9" width="11.42578125" style="77"/>
    <col min="10" max="11" width="15.85546875" style="77" customWidth="1"/>
    <col min="12" max="16384" width="11.42578125" style="77"/>
  </cols>
  <sheetData>
    <row r="1" spans="1:15" ht="72.75" customHeight="1">
      <c r="A1" s="2107"/>
      <c r="B1" s="2107"/>
      <c r="C1" s="2107"/>
      <c r="D1" s="2107"/>
      <c r="E1" s="2107"/>
      <c r="F1" s="2107"/>
      <c r="G1" s="2107"/>
      <c r="H1" s="2107"/>
      <c r="I1" s="2107"/>
      <c r="J1" s="2107"/>
      <c r="K1" s="2107"/>
      <c r="L1" s="2107"/>
      <c r="M1" s="2107"/>
      <c r="N1" s="2107"/>
      <c r="O1" s="2107"/>
    </row>
    <row r="2" spans="1:15" ht="36.75" customHeight="1">
      <c r="A2" s="366" t="s">
        <v>25</v>
      </c>
      <c r="B2" s="302" t="s">
        <v>496</v>
      </c>
      <c r="C2" s="302" t="s">
        <v>705</v>
      </c>
      <c r="D2" s="302" t="s">
        <v>533</v>
      </c>
      <c r="E2" s="419" t="s">
        <v>195</v>
      </c>
      <c r="F2" s="94"/>
      <c r="G2" s="94"/>
      <c r="H2" s="298"/>
      <c r="I2" s="254"/>
      <c r="J2" s="254"/>
      <c r="K2" s="254"/>
      <c r="L2" s="254"/>
    </row>
    <row r="3" spans="1:15" ht="17.25" hidden="1">
      <c r="A3" s="368" t="s">
        <v>213</v>
      </c>
      <c r="B3" s="258">
        <v>986538</v>
      </c>
      <c r="C3" s="1491">
        <v>576869</v>
      </c>
      <c r="D3" s="1492">
        <v>1420224</v>
      </c>
      <c r="E3" s="1925">
        <f t="shared" ref="E3:E15" si="0">C3/D3</f>
        <v>0.40618170091478528</v>
      </c>
      <c r="F3" s="94"/>
      <c r="G3" s="94"/>
      <c r="H3" s="261"/>
      <c r="I3" s="258"/>
      <c r="J3" s="259"/>
      <c r="K3" s="262"/>
      <c r="L3" s="263"/>
    </row>
    <row r="4" spans="1:15" ht="17.25" hidden="1">
      <c r="A4" s="368">
        <v>2004</v>
      </c>
      <c r="B4" s="259">
        <v>1190202</v>
      </c>
      <c r="C4" s="1491">
        <v>593286</v>
      </c>
      <c r="D4" s="1492">
        <v>1481853.5</v>
      </c>
      <c r="E4" s="1925">
        <f t="shared" si="0"/>
        <v>0.40036751271296389</v>
      </c>
      <c r="F4" s="94"/>
      <c r="G4" s="94"/>
      <c r="H4" s="261"/>
      <c r="I4" s="259"/>
      <c r="J4" s="259"/>
      <c r="K4" s="262"/>
      <c r="L4" s="263"/>
    </row>
    <row r="5" spans="1:15" ht="17.25">
      <c r="A5" s="368" t="s">
        <v>26</v>
      </c>
      <c r="B5" s="260">
        <v>1429521</v>
      </c>
      <c r="C5" s="1491">
        <v>626615</v>
      </c>
      <c r="D5" s="1492">
        <v>1437260</v>
      </c>
      <c r="E5" s="1925">
        <f t="shared" si="0"/>
        <v>0.43597887647328948</v>
      </c>
      <c r="F5" s="94"/>
      <c r="G5" s="94"/>
      <c r="H5" s="261"/>
      <c r="I5" s="260"/>
      <c r="J5" s="259"/>
      <c r="K5" s="262"/>
      <c r="L5" s="263"/>
    </row>
    <row r="6" spans="1:15" ht="17.25">
      <c r="A6" s="368" t="s">
        <v>27</v>
      </c>
      <c r="B6" s="259">
        <v>1588621</v>
      </c>
      <c r="C6" s="1491">
        <v>808496</v>
      </c>
      <c r="D6" s="1492">
        <v>1505582.5</v>
      </c>
      <c r="E6" s="1925">
        <f t="shared" si="0"/>
        <v>0.53699880278895373</v>
      </c>
      <c r="F6" s="94"/>
      <c r="G6" s="94"/>
      <c r="H6" s="261"/>
      <c r="I6" s="259"/>
      <c r="J6" s="259"/>
      <c r="K6" s="262"/>
      <c r="L6" s="263"/>
    </row>
    <row r="7" spans="1:15" ht="17.25">
      <c r="A7" s="368" t="s">
        <v>28</v>
      </c>
      <c r="B7" s="259">
        <v>1797027</v>
      </c>
      <c r="C7" s="1491">
        <v>913203</v>
      </c>
      <c r="D7" s="1492">
        <v>1571911.5</v>
      </c>
      <c r="E7" s="1925">
        <f t="shared" si="0"/>
        <v>0.58095064512219674</v>
      </c>
      <c r="F7" s="94"/>
      <c r="G7" s="94"/>
      <c r="H7" s="261"/>
      <c r="I7" s="259"/>
      <c r="J7" s="259"/>
      <c r="K7" s="262"/>
      <c r="L7" s="263"/>
    </row>
    <row r="8" spans="1:15" ht="17.25">
      <c r="A8" s="368" t="s">
        <v>29</v>
      </c>
      <c r="B8" s="259">
        <v>1983720</v>
      </c>
      <c r="C8" s="1491">
        <v>929743</v>
      </c>
      <c r="D8" s="1492">
        <v>1566047</v>
      </c>
      <c r="E8" s="1925">
        <f t="shared" si="0"/>
        <v>0.59368780119626041</v>
      </c>
      <c r="H8" s="261"/>
      <c r="I8" s="259"/>
      <c r="J8" s="259"/>
      <c r="K8" s="262"/>
      <c r="L8" s="263"/>
    </row>
    <row r="9" spans="1:15" ht="17.25">
      <c r="A9" s="368" t="s">
        <v>30</v>
      </c>
      <c r="B9" s="259">
        <v>2193890</v>
      </c>
      <c r="C9" s="1491">
        <v>1118293</v>
      </c>
      <c r="D9" s="1492">
        <v>1560994</v>
      </c>
      <c r="E9" s="1925">
        <f t="shared" si="0"/>
        <v>0.71639801306090867</v>
      </c>
      <c r="H9" s="261"/>
      <c r="I9" s="259"/>
      <c r="J9" s="259"/>
      <c r="K9" s="262"/>
      <c r="L9" s="263"/>
    </row>
    <row r="10" spans="1:15" ht="17.25">
      <c r="A10" s="368" t="s">
        <v>183</v>
      </c>
      <c r="B10" s="259">
        <v>2374783</v>
      </c>
      <c r="C10" s="1491">
        <v>1189601</v>
      </c>
      <c r="D10" s="1492">
        <v>1631129</v>
      </c>
      <c r="E10" s="1925">
        <f t="shared" si="0"/>
        <v>0.72931141559006063</v>
      </c>
      <c r="H10" s="261"/>
      <c r="I10" s="259"/>
      <c r="J10" s="259"/>
      <c r="K10" s="262"/>
      <c r="L10" s="263"/>
    </row>
    <row r="11" spans="1:15" ht="17.25">
      <c r="A11" s="368" t="s">
        <v>223</v>
      </c>
      <c r="B11" s="259">
        <v>2552974</v>
      </c>
      <c r="C11" s="1491">
        <v>1242780</v>
      </c>
      <c r="D11" s="1492">
        <v>1686216</v>
      </c>
      <c r="E11" s="1925">
        <f t="shared" si="0"/>
        <v>0.73702301484507327</v>
      </c>
      <c r="H11" s="261"/>
      <c r="I11" s="259"/>
      <c r="J11" s="259"/>
      <c r="K11" s="262"/>
      <c r="L11" s="263"/>
    </row>
    <row r="12" spans="1:15" ht="16.5" customHeight="1">
      <c r="A12" s="368" t="s">
        <v>456</v>
      </c>
      <c r="B12" s="259">
        <v>2714449</v>
      </c>
      <c r="C12" s="1491">
        <v>1291137</v>
      </c>
      <c r="D12" s="1492">
        <v>1716228</v>
      </c>
      <c r="E12" s="1925">
        <f t="shared" si="0"/>
        <v>0.75231088177095351</v>
      </c>
      <c r="F12" s="13"/>
      <c r="G12" s="14"/>
      <c r="H12" s="261"/>
      <c r="I12" s="259"/>
      <c r="J12" s="259"/>
      <c r="K12" s="262"/>
      <c r="L12" s="263"/>
    </row>
    <row r="13" spans="1:15" ht="17.25">
      <c r="A13" s="368" t="s">
        <v>530</v>
      </c>
      <c r="B13" s="259">
        <v>2881130</v>
      </c>
      <c r="C13" s="1491">
        <v>1376966</v>
      </c>
      <c r="D13" s="1492">
        <v>1769801</v>
      </c>
      <c r="E13" s="1925">
        <f t="shared" si="0"/>
        <v>0.77803436657567715</v>
      </c>
      <c r="F13" s="14"/>
      <c r="G13" s="14"/>
      <c r="H13" s="261"/>
      <c r="I13" s="259"/>
      <c r="J13" s="259"/>
      <c r="K13" s="262"/>
      <c r="L13" s="263"/>
    </row>
    <row r="14" spans="1:15" ht="17.25">
      <c r="A14" s="368" t="s">
        <v>542</v>
      </c>
      <c r="B14" s="259">
        <v>3032720</v>
      </c>
      <c r="C14" s="1491">
        <v>1508392</v>
      </c>
      <c r="D14" s="1492">
        <v>1865496</v>
      </c>
      <c r="E14" s="1925">
        <f t="shared" si="0"/>
        <v>0.80857423441272458</v>
      </c>
      <c r="F14" s="14"/>
      <c r="G14" s="14"/>
      <c r="H14" s="14"/>
      <c r="I14" s="96"/>
      <c r="J14" s="15"/>
    </row>
    <row r="15" spans="1:15" s="1458" customFormat="1" ht="17.25">
      <c r="A15" s="368" t="s">
        <v>953</v>
      </c>
      <c r="B15" s="259">
        <v>3032720</v>
      </c>
      <c r="C15" s="1491">
        <v>1617107</v>
      </c>
      <c r="D15" s="1492">
        <v>1965498</v>
      </c>
      <c r="E15" s="1925">
        <f t="shared" si="0"/>
        <v>0.82274670338000855</v>
      </c>
      <c r="F15" s="14"/>
      <c r="G15" s="14"/>
      <c r="H15" s="14"/>
      <c r="I15" s="96"/>
      <c r="J15" s="15"/>
    </row>
    <row r="16" spans="1:15" ht="17.25">
      <c r="A16" s="1689" t="s">
        <v>1004</v>
      </c>
      <c r="B16" s="367">
        <v>3032720</v>
      </c>
      <c r="C16" s="1493">
        <v>1646516</v>
      </c>
      <c r="D16" s="1494">
        <v>1965498</v>
      </c>
      <c r="E16" s="1926">
        <f>C16/D16</f>
        <v>0.8377093235403954</v>
      </c>
      <c r="F16" s="1943"/>
      <c r="G16" s="14"/>
      <c r="H16" s="14"/>
      <c r="I16" s="96"/>
      <c r="J16" s="15"/>
    </row>
    <row r="17" spans="1:10" ht="50.25" customHeight="1">
      <c r="A17" s="2117" t="s">
        <v>989</v>
      </c>
      <c r="B17" s="2117"/>
      <c r="C17" s="2117"/>
      <c r="D17" s="2117"/>
      <c r="E17" s="2117"/>
      <c r="F17" s="14"/>
      <c r="G17" s="14"/>
      <c r="H17" s="14"/>
      <c r="I17" s="96"/>
      <c r="J17" s="15"/>
    </row>
    <row r="18" spans="1:10">
      <c r="B18" s="96"/>
      <c r="C18" s="96"/>
      <c r="D18" s="96"/>
      <c r="E18" s="96"/>
      <c r="F18" s="13"/>
      <c r="G18" s="13"/>
      <c r="H18" s="13"/>
      <c r="I18" s="96"/>
      <c r="J18" s="15"/>
    </row>
    <row r="19" spans="1:10">
      <c r="B19" s="96"/>
      <c r="C19" s="96"/>
      <c r="D19" s="96"/>
      <c r="E19" s="96"/>
      <c r="F19" s="111"/>
      <c r="G19" s="111"/>
      <c r="H19" s="111"/>
      <c r="I19" s="96"/>
      <c r="J19" s="96"/>
    </row>
    <row r="20" spans="1:10">
      <c r="B20" s="96"/>
      <c r="C20" s="96"/>
      <c r="D20" s="96"/>
      <c r="E20" s="96"/>
      <c r="F20" s="96"/>
      <c r="G20" s="96"/>
      <c r="H20" s="96"/>
      <c r="I20" s="96"/>
      <c r="J20" s="96"/>
    </row>
    <row r="21" spans="1:10">
      <c r="B21" s="96"/>
      <c r="C21" s="96"/>
      <c r="D21" s="96"/>
      <c r="E21" s="96"/>
      <c r="F21" s="96"/>
      <c r="G21" s="96"/>
      <c r="H21" s="96"/>
      <c r="I21" s="96"/>
      <c r="J21" s="96"/>
    </row>
  </sheetData>
  <mergeCells count="2">
    <mergeCell ref="A1:O1"/>
    <mergeCell ref="A17:E17"/>
  </mergeCells>
  <printOptions horizontalCentered="1" verticalCentered="1"/>
  <pageMargins left="0.4" right="0.4" top="0.25" bottom="0.25" header="0.314" footer="0.31496062992126"/>
  <pageSetup scale="62"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70" zoomScaleNormal="100" zoomScaleSheetLayoutView="70" workbookViewId="0">
      <selection activeCell="G8" sqref="G8"/>
    </sheetView>
  </sheetViews>
  <sheetFormatPr baseColWidth="10" defaultColWidth="11.42578125" defaultRowHeight="23.25" customHeight="1"/>
  <cols>
    <col min="1" max="1" width="18.7109375" style="77" customWidth="1"/>
    <col min="2" max="2" width="21.5703125" style="77" customWidth="1"/>
    <col min="3" max="3" width="17.28515625" style="77" customWidth="1"/>
    <col min="4" max="4" width="14.28515625" style="77" customWidth="1"/>
    <col min="5" max="5" width="16.28515625" style="96" bestFit="1" customWidth="1"/>
    <col min="6" max="6" width="14.28515625" style="77" bestFit="1" customWidth="1"/>
    <col min="7" max="7" width="19.85546875" style="77" customWidth="1"/>
    <col min="8" max="8" width="20.5703125" style="77" customWidth="1"/>
    <col min="9" max="9" width="23.140625" style="77" customWidth="1"/>
    <col min="10" max="10" width="11.140625" style="77" bestFit="1" customWidth="1"/>
    <col min="11" max="11" width="17.42578125" style="77" customWidth="1"/>
    <col min="12" max="12" width="37.28515625" style="77" customWidth="1"/>
    <col min="13" max="13" width="11.5703125" style="77" bestFit="1" customWidth="1"/>
    <col min="14" max="16384" width="11.42578125" style="77"/>
  </cols>
  <sheetData>
    <row r="1" spans="1:13" ht="84.75" customHeight="1">
      <c r="A1" s="2118"/>
      <c r="B1" s="2118"/>
      <c r="C1" s="2118"/>
      <c r="D1" s="2118"/>
      <c r="E1" s="2118"/>
      <c r="F1" s="2118"/>
      <c r="G1" s="2118"/>
      <c r="H1" s="2118"/>
      <c r="I1" s="2118"/>
      <c r="J1" s="2118"/>
      <c r="K1" s="2118"/>
      <c r="L1" s="2118"/>
    </row>
    <row r="2" spans="1:13" s="39" customFormat="1" ht="15" customHeight="1">
      <c r="A2" s="2119"/>
      <c r="B2" s="2119"/>
      <c r="C2" s="2119"/>
      <c r="D2" s="2119"/>
      <c r="E2" s="2119"/>
      <c r="F2" s="2119"/>
      <c r="G2" s="2119"/>
      <c r="H2" s="2119"/>
      <c r="I2" s="2119"/>
      <c r="J2" s="2119"/>
      <c r="K2" s="2119"/>
      <c r="L2" s="2119"/>
    </row>
    <row r="3" spans="1:13" s="313" customFormat="1" ht="29.25" customHeight="1">
      <c r="A3" s="351" t="s">
        <v>175</v>
      </c>
      <c r="B3" s="314" t="s">
        <v>37</v>
      </c>
      <c r="C3" s="351" t="s">
        <v>35</v>
      </c>
      <c r="D3" s="311"/>
      <c r="G3" s="312"/>
      <c r="H3" s="312"/>
      <c r="I3" s="312"/>
      <c r="J3" s="312"/>
      <c r="K3" s="312"/>
      <c r="L3" s="312"/>
      <c r="M3" s="312"/>
    </row>
    <row r="4" spans="1:13" ht="17.25" customHeight="1">
      <c r="A4" s="315" t="s">
        <v>204</v>
      </c>
      <c r="B4" s="1944">
        <v>23108</v>
      </c>
      <c r="C4" s="1717">
        <f>+B4/$B$14</f>
        <v>1.4034482507306337E-2</v>
      </c>
      <c r="D4" s="171"/>
      <c r="E4" s="171"/>
      <c r="F4" s="171"/>
      <c r="G4" s="171"/>
      <c r="H4" s="171"/>
      <c r="I4" s="171"/>
      <c r="J4" s="171"/>
      <c r="K4" s="171"/>
      <c r="L4" s="171"/>
      <c r="M4" s="156"/>
    </row>
    <row r="5" spans="1:13" ht="21">
      <c r="A5" s="316" t="s">
        <v>53</v>
      </c>
      <c r="B5" s="1944">
        <v>205972</v>
      </c>
      <c r="C5" s="1717">
        <f t="shared" ref="C5:C13" si="0">+B5/$B$14</f>
        <v>0.12509565652565782</v>
      </c>
      <c r="D5" s="171"/>
      <c r="F5" s="96"/>
      <c r="G5" s="96"/>
      <c r="H5" s="96"/>
      <c r="I5" s="96"/>
      <c r="J5" s="96"/>
      <c r="K5" s="96"/>
      <c r="L5" s="96"/>
      <c r="M5" s="156"/>
    </row>
    <row r="6" spans="1:13" ht="21">
      <c r="A6" s="316" t="s">
        <v>54</v>
      </c>
      <c r="B6" s="1944">
        <v>263595</v>
      </c>
      <c r="C6" s="1717">
        <f t="shared" si="0"/>
        <v>0.16009258336997637</v>
      </c>
      <c r="D6" s="171"/>
      <c r="F6" s="1458"/>
      <c r="G6" s="124"/>
      <c r="H6" s="124"/>
      <c r="I6" s="1458"/>
      <c r="J6" s="1458"/>
      <c r="K6" s="1458"/>
      <c r="L6" s="1458"/>
      <c r="M6" s="156"/>
    </row>
    <row r="7" spans="1:13" ht="21">
      <c r="A7" s="316" t="s">
        <v>171</v>
      </c>
      <c r="B7" s="1944">
        <v>241639</v>
      </c>
      <c r="C7" s="1717">
        <f t="shared" si="0"/>
        <v>0.14675776002176719</v>
      </c>
      <c r="D7" s="171"/>
      <c r="F7" s="1458"/>
      <c r="G7" s="1458"/>
      <c r="H7" s="1458"/>
      <c r="I7" s="1458"/>
      <c r="J7" s="1458"/>
      <c r="K7" s="1458"/>
      <c r="L7" s="1458"/>
      <c r="M7" s="156"/>
    </row>
    <row r="8" spans="1:13" ht="21">
      <c r="A8" s="316" t="s">
        <v>172</v>
      </c>
      <c r="B8" s="1944">
        <v>224505</v>
      </c>
      <c r="C8" s="1717">
        <f t="shared" si="0"/>
        <v>0.1363515447162372</v>
      </c>
      <c r="D8" s="171"/>
      <c r="E8" s="1458"/>
      <c r="F8" s="1458"/>
      <c r="G8" s="1458"/>
      <c r="H8" s="1458"/>
      <c r="I8" s="1458"/>
      <c r="J8" s="1458"/>
      <c r="K8" s="1458"/>
      <c r="L8" s="1458"/>
      <c r="M8" s="156"/>
    </row>
    <row r="9" spans="1:13" ht="21">
      <c r="A9" s="316" t="s">
        <v>55</v>
      </c>
      <c r="B9" s="1944">
        <v>187734</v>
      </c>
      <c r="C9" s="1717">
        <f t="shared" si="0"/>
        <v>0.11401893452599307</v>
      </c>
      <c r="D9" s="171"/>
      <c r="E9" s="124"/>
      <c r="F9" s="1458"/>
      <c r="G9" s="1458"/>
      <c r="H9" s="1458"/>
      <c r="I9" s="1458"/>
      <c r="J9" s="1458"/>
      <c r="K9" s="1458"/>
      <c r="L9" s="1458"/>
      <c r="M9" s="1458"/>
    </row>
    <row r="10" spans="1:13" ht="21">
      <c r="A10" s="316" t="s">
        <v>56</v>
      </c>
      <c r="B10" s="1944">
        <v>161528</v>
      </c>
      <c r="C10" s="1717">
        <f t="shared" si="0"/>
        <v>9.8102903342573045E-2</v>
      </c>
      <c r="D10" s="171"/>
      <c r="E10" s="124"/>
      <c r="F10" s="1458"/>
      <c r="G10" s="1458"/>
      <c r="H10" s="1458"/>
      <c r="I10" s="1458"/>
      <c r="J10" s="1458"/>
      <c r="K10" s="1458"/>
      <c r="L10" s="1458"/>
      <c r="M10" s="1458"/>
    </row>
    <row r="11" spans="1:13" ht="21">
      <c r="A11" s="316" t="s">
        <v>57</v>
      </c>
      <c r="B11" s="1944">
        <v>127926</v>
      </c>
      <c r="C11" s="1717">
        <f t="shared" si="0"/>
        <v>7.7694963182866131E-2</v>
      </c>
      <c r="D11" s="174"/>
      <c r="E11" s="1458"/>
      <c r="F11" s="1458"/>
      <c r="G11" s="1458"/>
      <c r="H11" s="1458"/>
      <c r="I11" s="1458"/>
      <c r="J11" s="1458"/>
      <c r="K11" s="1458"/>
      <c r="L11" s="1458"/>
      <c r="M11" s="1458"/>
    </row>
    <row r="12" spans="1:13" ht="21">
      <c r="A12" s="316" t="s">
        <v>58</v>
      </c>
      <c r="B12" s="1944">
        <v>89007</v>
      </c>
      <c r="C12" s="1717">
        <f t="shared" si="0"/>
        <v>5.4057780185555439E-2</v>
      </c>
      <c r="D12" s="171"/>
      <c r="E12" s="1458"/>
      <c r="F12" s="1458"/>
      <c r="G12" s="1458"/>
      <c r="H12" s="1458"/>
      <c r="I12" s="1458"/>
      <c r="J12" s="1458"/>
      <c r="K12" s="1458"/>
      <c r="L12" s="1458"/>
      <c r="M12" s="1458"/>
    </row>
    <row r="13" spans="1:13" ht="21">
      <c r="A13" s="316" t="s">
        <v>173</v>
      </c>
      <c r="B13" s="1944">
        <v>121502</v>
      </c>
      <c r="C13" s="1717">
        <f t="shared" si="0"/>
        <v>7.3793391622067439E-2</v>
      </c>
      <c r="D13" s="171"/>
      <c r="E13" s="1458"/>
      <c r="F13" s="1458"/>
      <c r="G13" s="1458"/>
      <c r="H13" s="1458"/>
      <c r="I13" s="1458"/>
      <c r="J13" s="1458"/>
      <c r="K13" s="1458"/>
      <c r="L13" s="1458"/>
      <c r="M13" s="1458"/>
    </row>
    <row r="14" spans="1:13" ht="16.5" customHeight="1">
      <c r="A14" s="317" t="s">
        <v>23</v>
      </c>
      <c r="B14" s="1718">
        <f>SUM(B4:B13)</f>
        <v>1646516</v>
      </c>
      <c r="C14" s="1716">
        <f>SUM(C4:C13)</f>
        <v>1.0000000000000002</v>
      </c>
      <c r="D14" s="171"/>
      <c r="E14" s="1458"/>
      <c r="F14" s="1458"/>
      <c r="G14" s="1458"/>
      <c r="H14" s="1458"/>
      <c r="I14" s="1458"/>
      <c r="J14" s="1458"/>
      <c r="K14" s="1458"/>
      <c r="L14" s="1458"/>
      <c r="M14" s="1458"/>
    </row>
    <row r="15" spans="1:13" ht="23.25" customHeight="1">
      <c r="C15" s="125"/>
      <c r="D15" s="47"/>
      <c r="E15" s="1458"/>
      <c r="F15" s="1458"/>
      <c r="G15" s="1458"/>
      <c r="H15" s="1458"/>
      <c r="I15" s="1458"/>
      <c r="J15" s="1458"/>
      <c r="K15" s="1458"/>
      <c r="L15" s="1458"/>
      <c r="M15" s="1458"/>
    </row>
    <row r="16" spans="1:13" ht="23.25" customHeight="1">
      <c r="B16" s="96"/>
      <c r="C16" s="96"/>
      <c r="D16" s="96"/>
      <c r="E16" s="124"/>
      <c r="F16" s="97"/>
      <c r="G16" s="97"/>
      <c r="H16" s="97"/>
      <c r="I16" s="97"/>
      <c r="J16" s="97"/>
      <c r="K16" s="97"/>
      <c r="L16" s="47"/>
      <c r="M16" s="1458"/>
    </row>
    <row r="17" spans="1:11" ht="23.25" customHeight="1">
      <c r="B17" s="96"/>
      <c r="C17" s="96"/>
      <c r="D17" s="96"/>
      <c r="F17" s="96"/>
      <c r="G17" s="96"/>
      <c r="H17" s="96"/>
      <c r="I17" s="96"/>
      <c r="J17" s="96"/>
      <c r="K17" s="96"/>
    </row>
    <row r="18" spans="1:11" ht="23.25" customHeight="1">
      <c r="B18" s="96"/>
      <c r="C18" s="96"/>
      <c r="D18" s="96"/>
      <c r="F18" s="96"/>
      <c r="G18" s="96"/>
      <c r="H18" s="96"/>
      <c r="I18" s="96"/>
      <c r="J18" s="96"/>
      <c r="K18" s="96"/>
    </row>
    <row r="19" spans="1:11" ht="23.25" customHeight="1">
      <c r="B19" s="96"/>
      <c r="C19" s="96"/>
      <c r="D19" s="96"/>
      <c r="F19" s="96"/>
      <c r="G19" s="96"/>
      <c r="H19" s="96"/>
      <c r="I19" s="96"/>
      <c r="J19" s="96"/>
      <c r="K19" s="96"/>
    </row>
    <row r="20" spans="1:11" ht="23.25" customHeight="1">
      <c r="B20" s="96"/>
      <c r="C20" s="96"/>
      <c r="D20" s="96"/>
      <c r="F20" s="96"/>
      <c r="G20" s="96"/>
      <c r="H20" s="96"/>
      <c r="I20" s="96"/>
      <c r="J20" s="96"/>
      <c r="K20" s="96"/>
    </row>
    <row r="21" spans="1:11" ht="23.25" customHeight="1">
      <c r="B21" s="96"/>
      <c r="C21" s="96"/>
      <c r="D21" s="96"/>
      <c r="F21" s="96"/>
      <c r="G21" s="96"/>
      <c r="H21" s="96"/>
      <c r="I21" s="96"/>
      <c r="J21" s="96"/>
      <c r="K21" s="96"/>
    </row>
    <row r="22" spans="1:11" ht="23.25" customHeight="1">
      <c r="B22" s="96"/>
      <c r="C22" s="96"/>
      <c r="D22" s="96"/>
      <c r="F22" s="96"/>
      <c r="G22" s="96"/>
      <c r="H22" s="96"/>
      <c r="I22" s="96"/>
      <c r="J22" s="96"/>
      <c r="K22" s="96"/>
    </row>
    <row r="23" spans="1:11" ht="23.25" customHeight="1">
      <c r="B23" s="96"/>
      <c r="C23" s="96"/>
      <c r="D23" s="96"/>
      <c r="F23" s="96"/>
      <c r="G23" s="96"/>
      <c r="H23" s="96"/>
      <c r="I23" s="96"/>
      <c r="J23" s="96"/>
      <c r="K23" s="96"/>
    </row>
    <row r="24" spans="1:11" ht="23.25" customHeight="1">
      <c r="B24" s="96"/>
      <c r="C24" s="96"/>
      <c r="D24" s="96"/>
      <c r="F24" s="96"/>
      <c r="G24" s="96"/>
      <c r="H24" s="96"/>
      <c r="I24" s="96"/>
      <c r="J24" s="96"/>
      <c r="K24" s="96"/>
    </row>
    <row r="25" spans="1:11" ht="23.25" customHeight="1">
      <c r="A25" s="70"/>
      <c r="B25" s="100"/>
      <c r="C25" s="100"/>
      <c r="D25" s="100"/>
      <c r="E25" s="100"/>
      <c r="F25" s="100"/>
      <c r="G25" s="100"/>
      <c r="H25" s="100"/>
      <c r="I25" s="100"/>
      <c r="J25" s="100"/>
      <c r="K25" s="100"/>
    </row>
    <row r="26" spans="1:11" ht="23.25" customHeight="1">
      <c r="A26" s="70"/>
      <c r="B26" s="100"/>
      <c r="C26" s="100"/>
      <c r="D26" s="100"/>
      <c r="E26" s="100"/>
      <c r="F26" s="100"/>
      <c r="G26" s="100"/>
      <c r="H26" s="100"/>
      <c r="I26" s="100"/>
      <c r="J26" s="100"/>
      <c r="K26" s="100"/>
    </row>
    <row r="27" spans="1:11" ht="23.25" customHeight="1">
      <c r="A27" s="70"/>
      <c r="B27" s="100"/>
      <c r="C27" s="100"/>
      <c r="D27" s="100"/>
      <c r="E27" s="100"/>
      <c r="F27" s="100"/>
      <c r="G27" s="100"/>
      <c r="H27" s="100"/>
      <c r="I27" s="100"/>
      <c r="J27" s="100"/>
      <c r="K27" s="100"/>
    </row>
    <row r="28" spans="1:11" ht="23.25" customHeight="1">
      <c r="A28" s="70"/>
      <c r="B28" s="100"/>
      <c r="C28" s="100"/>
      <c r="D28" s="100"/>
      <c r="E28" s="100"/>
      <c r="F28" s="100"/>
      <c r="G28" s="100"/>
      <c r="H28" s="100"/>
      <c r="I28" s="100"/>
      <c r="J28" s="100"/>
      <c r="K28" s="100"/>
    </row>
    <row r="29" spans="1:11" ht="23.25" customHeight="1">
      <c r="A29" s="70"/>
      <c r="B29" s="100"/>
      <c r="C29" s="100"/>
      <c r="D29" s="100"/>
      <c r="E29" s="100"/>
      <c r="F29" s="100"/>
      <c r="G29" s="100"/>
      <c r="H29" s="100"/>
      <c r="I29" s="100"/>
      <c r="J29" s="100"/>
      <c r="K29" s="100"/>
    </row>
    <row r="30" spans="1:11" ht="23.25" customHeight="1">
      <c r="A30" s="70"/>
      <c r="B30" s="100"/>
      <c r="C30" s="100"/>
      <c r="D30" s="100"/>
      <c r="E30" s="100"/>
      <c r="F30" s="100"/>
      <c r="G30" s="100"/>
      <c r="H30" s="100"/>
      <c r="I30" s="100"/>
      <c r="J30" s="100"/>
      <c r="K30" s="100"/>
    </row>
    <row r="31" spans="1:11" ht="23.25" customHeight="1">
      <c r="A31" s="70"/>
      <c r="B31" s="100"/>
      <c r="C31" s="100"/>
      <c r="D31" s="100"/>
      <c r="E31" s="100"/>
      <c r="F31" s="100"/>
      <c r="G31" s="100"/>
      <c r="H31" s="100"/>
      <c r="I31" s="100"/>
      <c r="J31" s="100"/>
      <c r="K31" s="100"/>
    </row>
    <row r="32" spans="1:11" ht="23.25" customHeight="1">
      <c r="A32" s="70"/>
      <c r="B32" s="100"/>
      <c r="C32" s="100"/>
      <c r="D32" s="100"/>
      <c r="E32" s="100"/>
      <c r="F32" s="100"/>
      <c r="G32" s="100"/>
      <c r="H32" s="100"/>
      <c r="I32" s="100"/>
      <c r="J32" s="100"/>
      <c r="K32" s="100"/>
    </row>
    <row r="33" spans="1:11" ht="23.25" customHeight="1">
      <c r="A33" s="70"/>
      <c r="B33" s="100"/>
      <c r="C33" s="100"/>
      <c r="D33" s="100"/>
      <c r="E33" s="100"/>
      <c r="F33" s="100"/>
      <c r="G33" s="100"/>
      <c r="H33" s="100"/>
      <c r="I33" s="100"/>
      <c r="J33" s="100"/>
      <c r="K33" s="100"/>
    </row>
    <row r="34" spans="1:11" ht="23.25" customHeight="1">
      <c r="A34" s="70"/>
      <c r="B34" s="100"/>
      <c r="C34" s="100"/>
      <c r="D34" s="100"/>
      <c r="E34" s="100"/>
      <c r="F34" s="100"/>
      <c r="G34" s="100"/>
      <c r="H34" s="100"/>
      <c r="I34" s="100"/>
      <c r="J34" s="100"/>
      <c r="K34" s="100"/>
    </row>
    <row r="35" spans="1:11" ht="23.25" customHeight="1">
      <c r="A35" s="70"/>
      <c r="B35" s="100"/>
      <c r="C35" s="100"/>
      <c r="D35" s="100"/>
      <c r="E35" s="100"/>
      <c r="F35" s="100"/>
      <c r="G35" s="100"/>
      <c r="H35" s="100"/>
      <c r="I35" s="100"/>
      <c r="J35" s="100"/>
      <c r="K35" s="100"/>
    </row>
    <row r="36" spans="1:11" ht="23.25" customHeight="1">
      <c r="A36" s="70"/>
      <c r="B36" s="100"/>
      <c r="C36" s="100"/>
      <c r="D36" s="100"/>
      <c r="E36" s="100"/>
      <c r="F36" s="100"/>
      <c r="G36" s="100"/>
      <c r="H36" s="100"/>
      <c r="I36" s="100"/>
      <c r="J36" s="100"/>
      <c r="K36" s="100"/>
    </row>
    <row r="37" spans="1:11" ht="23.25" customHeight="1">
      <c r="A37" s="70"/>
      <c r="B37" s="100"/>
      <c r="C37" s="100"/>
      <c r="D37" s="100"/>
      <c r="E37" s="100"/>
      <c r="F37" s="100"/>
      <c r="G37" s="100"/>
      <c r="H37" s="100"/>
      <c r="I37" s="100"/>
      <c r="J37" s="100"/>
      <c r="K37" s="100"/>
    </row>
    <row r="38" spans="1:11" ht="23.25" customHeight="1">
      <c r="A38" s="70"/>
      <c r="B38" s="100"/>
      <c r="C38" s="100"/>
      <c r="D38" s="100"/>
      <c r="E38" s="100"/>
      <c r="F38" s="100"/>
      <c r="G38" s="100"/>
      <c r="H38" s="100"/>
      <c r="I38" s="100"/>
      <c r="J38" s="100"/>
      <c r="K38" s="100"/>
    </row>
    <row r="39" spans="1:11" ht="23.25" customHeight="1">
      <c r="A39" s="70"/>
      <c r="B39" s="100"/>
      <c r="C39" s="100"/>
      <c r="D39" s="100"/>
      <c r="E39" s="100"/>
      <c r="F39" s="100"/>
      <c r="G39" s="100"/>
      <c r="H39" s="100"/>
      <c r="I39" s="100"/>
      <c r="J39" s="100"/>
      <c r="K39" s="100"/>
    </row>
    <row r="40" spans="1:11" ht="23.25" customHeight="1">
      <c r="A40" s="100"/>
      <c r="C40" s="100"/>
      <c r="D40" s="100"/>
      <c r="E40" s="100"/>
      <c r="F40" s="100"/>
      <c r="G40" s="100"/>
      <c r="H40" s="100"/>
      <c r="I40" s="100"/>
      <c r="J40" s="100"/>
      <c r="K40" s="100"/>
    </row>
    <row r="41" spans="1:11" ht="23.25" customHeight="1">
      <c r="A41" s="70"/>
      <c r="B41" s="100"/>
      <c r="C41" s="100"/>
      <c r="D41" s="100"/>
      <c r="E41" s="100"/>
      <c r="F41" s="100"/>
      <c r="G41" s="100"/>
      <c r="H41" s="100"/>
      <c r="I41" s="100"/>
      <c r="J41" s="100"/>
      <c r="K41" s="100"/>
    </row>
    <row r="42" spans="1:11" ht="23.25" customHeight="1">
      <c r="A42" s="70"/>
      <c r="B42" s="100"/>
      <c r="C42" s="100"/>
      <c r="D42" s="100"/>
      <c r="E42" s="100"/>
      <c r="F42" s="100"/>
      <c r="G42" s="100"/>
      <c r="H42" s="100"/>
      <c r="I42" s="100"/>
      <c r="J42" s="100"/>
      <c r="K42" s="100"/>
    </row>
    <row r="43" spans="1:11" ht="23.25" customHeight="1">
      <c r="A43" s="70"/>
      <c r="B43" s="100"/>
      <c r="C43" s="100"/>
      <c r="D43" s="100"/>
      <c r="E43" s="100"/>
      <c r="F43" s="100"/>
      <c r="G43" s="100"/>
      <c r="H43" s="100"/>
      <c r="I43" s="100"/>
      <c r="J43" s="100"/>
      <c r="K43" s="100"/>
    </row>
    <row r="44" spans="1:11" ht="23.25" customHeight="1">
      <c r="A44" s="73"/>
      <c r="B44" s="100"/>
      <c r="C44" s="100"/>
      <c r="D44" s="100"/>
      <c r="E44" s="100"/>
      <c r="F44" s="100"/>
      <c r="G44" s="100"/>
      <c r="H44" s="100"/>
      <c r="I44" s="100"/>
      <c r="J44" s="100"/>
      <c r="K44" s="100"/>
    </row>
    <row r="45" spans="1:11" ht="23.25" customHeight="1">
      <c r="A45" s="70"/>
      <c r="B45" s="100"/>
      <c r="C45" s="100"/>
      <c r="D45" s="100"/>
      <c r="E45" s="100"/>
      <c r="F45" s="100"/>
      <c r="G45" s="100"/>
      <c r="H45" s="100"/>
      <c r="I45" s="100"/>
      <c r="J45" s="100"/>
      <c r="K45" s="100"/>
    </row>
  </sheetData>
  <mergeCells count="2">
    <mergeCell ref="A1:L1"/>
    <mergeCell ref="A2:L2"/>
  </mergeCells>
  <printOptions horizontalCentered="1" verticalCentered="1"/>
  <pageMargins left="0.4" right="0.4" top="0.25" bottom="0.25" header="0.31496062992126" footer="0.31496062992126"/>
  <pageSetup scale="5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V42" sqref="V42"/>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A4" sqref="A4"/>
    </sheetView>
  </sheetViews>
  <sheetFormatPr baseColWidth="10" defaultColWidth="11.42578125" defaultRowHeight="23.25" customHeight="1"/>
  <cols>
    <col min="1" max="1" width="25.28515625" style="77" customWidth="1"/>
    <col min="2" max="2" width="17" style="77" customWidth="1"/>
    <col min="3" max="3" width="14.5703125" style="77" customWidth="1"/>
    <col min="4" max="4" width="14.28515625" style="77" customWidth="1"/>
    <col min="5" max="6" width="11.7109375" style="77" bestFit="1" customWidth="1"/>
    <col min="7" max="7" width="19.28515625" style="77" customWidth="1"/>
    <col min="8" max="8" width="18.5703125" style="77" customWidth="1"/>
    <col min="9" max="9" width="19.85546875" style="77" customWidth="1"/>
    <col min="10" max="10" width="21.140625" style="77" customWidth="1"/>
    <col min="11" max="11" width="20.7109375" style="77" customWidth="1"/>
    <col min="12" max="12" width="20.140625" style="77" customWidth="1"/>
    <col min="13" max="19" width="11.140625" style="77" customWidth="1"/>
    <col min="20" max="16384" width="11.42578125" style="77"/>
  </cols>
  <sheetData>
    <row r="1" spans="1:19" ht="87" customHeight="1">
      <c r="A1" s="2120"/>
      <c r="B1" s="2120"/>
      <c r="C1" s="2120"/>
      <c r="D1" s="2120"/>
      <c r="E1" s="2120"/>
      <c r="F1" s="2120"/>
      <c r="G1" s="2120"/>
      <c r="H1" s="2120"/>
      <c r="I1" s="2120"/>
      <c r="J1" s="2120"/>
      <c r="K1" s="2120"/>
      <c r="L1" s="2120"/>
      <c r="M1" s="120"/>
      <c r="N1" s="120"/>
      <c r="O1" s="120"/>
      <c r="P1" s="120"/>
      <c r="Q1" s="120"/>
      <c r="R1" s="120"/>
      <c r="S1" s="120"/>
    </row>
    <row r="2" spans="1:19" s="94" customFormat="1" ht="12" customHeight="1">
      <c r="A2" s="175"/>
      <c r="B2" s="175"/>
      <c r="C2" s="175"/>
      <c r="D2" s="77"/>
      <c r="E2" s="77"/>
      <c r="F2" s="77"/>
      <c r="G2" s="74"/>
      <c r="H2" s="175"/>
      <c r="I2" s="175"/>
      <c r="J2" s="175"/>
      <c r="K2" s="175"/>
      <c r="L2" s="175"/>
      <c r="M2" s="120"/>
      <c r="N2" s="120"/>
      <c r="O2" s="120"/>
      <c r="P2" s="120"/>
      <c r="Q2" s="120"/>
      <c r="R2" s="120"/>
      <c r="S2" s="120"/>
    </row>
    <row r="3" spans="1:19" ht="42" customHeight="1">
      <c r="A3" s="2121" t="s">
        <v>170</v>
      </c>
      <c r="B3" s="2122"/>
      <c r="C3" s="2123"/>
      <c r="F3" s="1458"/>
      <c r="G3" s="1458"/>
      <c r="H3" s="1458"/>
      <c r="I3" s="1458"/>
      <c r="J3" s="1458"/>
      <c r="K3" s="1458"/>
      <c r="L3" s="1458"/>
      <c r="M3" s="1458"/>
      <c r="N3" s="1458"/>
      <c r="O3" s="1458"/>
      <c r="P3" s="1458"/>
      <c r="Q3" s="1458"/>
      <c r="R3" s="1458"/>
      <c r="S3" s="1458"/>
    </row>
    <row r="4" spans="1:19" ht="44.25" customHeight="1">
      <c r="A4" s="1611" t="s">
        <v>52</v>
      </c>
      <c r="B4" s="370" t="s">
        <v>37</v>
      </c>
      <c r="C4" s="1719" t="s">
        <v>35</v>
      </c>
      <c r="E4" s="1458"/>
      <c r="F4" s="1458"/>
      <c r="G4" s="1458"/>
      <c r="H4" s="1458"/>
      <c r="I4" s="1458"/>
      <c r="J4" s="1458"/>
      <c r="K4" s="1458"/>
      <c r="L4" s="1458"/>
      <c r="M4" s="173"/>
      <c r="N4" s="1458"/>
      <c r="O4" s="1458"/>
      <c r="P4" s="1458"/>
      <c r="Q4" s="1458"/>
      <c r="R4" s="1458"/>
      <c r="S4" s="1458"/>
    </row>
    <row r="5" spans="1:19" ht="19.5" customHeight="1">
      <c r="A5" s="373" t="s">
        <v>59</v>
      </c>
      <c r="B5" s="369">
        <v>589558</v>
      </c>
      <c r="C5" s="1720">
        <f>+B5/$B$14</f>
        <v>0.35806393621440669</v>
      </c>
      <c r="E5" s="1458"/>
      <c r="F5" s="1458"/>
      <c r="G5" s="1458"/>
      <c r="H5" s="1458"/>
      <c r="I5" s="1458"/>
      <c r="J5" s="1458"/>
      <c r="K5" s="1458"/>
      <c r="L5" s="1458"/>
      <c r="M5" s="173"/>
      <c r="N5" s="1458"/>
      <c r="O5" s="1458"/>
      <c r="P5" s="1458"/>
      <c r="Q5" s="1458"/>
      <c r="R5" s="1458"/>
      <c r="S5" s="1458"/>
    </row>
    <row r="6" spans="1:19" ht="19.5" customHeight="1">
      <c r="A6" s="374" t="s">
        <v>60</v>
      </c>
      <c r="B6" s="369">
        <v>581510</v>
      </c>
      <c r="C6" s="1720">
        <f t="shared" ref="C6:C13" si="0">+B6/$B$14</f>
        <v>0.35317603958904742</v>
      </c>
      <c r="E6" s="1458"/>
      <c r="F6" s="1458"/>
      <c r="G6" s="1458"/>
      <c r="H6" s="1458"/>
      <c r="I6" s="1458"/>
      <c r="J6" s="1458"/>
      <c r="K6" s="1458"/>
      <c r="L6" s="1458"/>
      <c r="M6" s="173"/>
      <c r="N6" s="1458"/>
      <c r="O6" s="1458"/>
      <c r="P6" s="1458"/>
      <c r="Q6" s="1458"/>
      <c r="R6" s="1458"/>
      <c r="S6" s="1458"/>
    </row>
    <row r="7" spans="1:19" ht="19.5" customHeight="1">
      <c r="A7" s="374" t="s">
        <v>61</v>
      </c>
      <c r="B7" s="369">
        <v>163761</v>
      </c>
      <c r="C7" s="1720">
        <f t="shared" si="0"/>
        <v>9.945910030634382E-2</v>
      </c>
      <c r="E7" s="1458"/>
      <c r="F7" s="1458"/>
      <c r="G7" s="1458"/>
      <c r="H7" s="1458"/>
      <c r="I7" s="1458"/>
      <c r="J7" s="1458"/>
      <c r="K7" s="1458"/>
      <c r="L7" s="1458"/>
      <c r="M7" s="1458"/>
      <c r="N7" s="1458"/>
      <c r="O7" s="1458"/>
      <c r="P7" s="1458"/>
      <c r="Q7" s="1458"/>
      <c r="R7" s="1458"/>
      <c r="S7" s="1458"/>
    </row>
    <row r="8" spans="1:19" ht="19.5" customHeight="1">
      <c r="A8" s="374" t="s">
        <v>62</v>
      </c>
      <c r="B8" s="369">
        <v>110883</v>
      </c>
      <c r="C8" s="1720">
        <f t="shared" si="0"/>
        <v>6.7344016092160661E-2</v>
      </c>
      <c r="E8" s="1458"/>
      <c r="F8" s="1458"/>
      <c r="G8" s="1458"/>
      <c r="H8" s="1458"/>
      <c r="I8" s="1458"/>
      <c r="J8" s="1458"/>
      <c r="K8" s="1458"/>
      <c r="L8" s="1458"/>
      <c r="M8" s="1458"/>
      <c r="N8" s="1458"/>
      <c r="O8" s="1458"/>
      <c r="P8" s="1458"/>
      <c r="Q8" s="1458"/>
      <c r="R8" s="1458"/>
      <c r="S8" s="1458"/>
    </row>
    <row r="9" spans="1:19" ht="19.5" customHeight="1">
      <c r="A9" s="374" t="s">
        <v>63</v>
      </c>
      <c r="B9" s="369">
        <v>117798</v>
      </c>
      <c r="C9" s="1720">
        <f t="shared" si="0"/>
        <v>7.1543793075803691E-2</v>
      </c>
      <c r="E9" s="1458"/>
      <c r="F9" s="1458"/>
      <c r="G9" s="1458"/>
      <c r="H9" s="1458"/>
      <c r="I9" s="1458"/>
      <c r="J9" s="1458"/>
      <c r="K9" s="1458"/>
      <c r="L9" s="1458"/>
      <c r="M9" s="1458"/>
      <c r="N9" s="1458"/>
      <c r="O9" s="1458"/>
      <c r="P9" s="1458"/>
      <c r="Q9" s="1458"/>
      <c r="R9" s="1458"/>
      <c r="S9" s="1458"/>
    </row>
    <row r="10" spans="1:19" ht="19.5" customHeight="1">
      <c r="A10" s="374" t="s">
        <v>64</v>
      </c>
      <c r="B10" s="369">
        <v>36393</v>
      </c>
      <c r="C10" s="1720">
        <f t="shared" si="0"/>
        <v>2.2103034528665376E-2</v>
      </c>
      <c r="E10" s="1458"/>
      <c r="F10" s="1458"/>
      <c r="G10" s="1458"/>
      <c r="H10" s="1458"/>
      <c r="I10" s="1458"/>
      <c r="J10" s="1458"/>
      <c r="K10" s="1458"/>
      <c r="L10" s="1458"/>
      <c r="M10" s="1458"/>
      <c r="N10" s="1458"/>
      <c r="O10" s="1458"/>
      <c r="P10" s="1458"/>
      <c r="Q10" s="1458"/>
      <c r="R10" s="1458"/>
      <c r="S10" s="1458"/>
    </row>
    <row r="11" spans="1:19" ht="19.5" customHeight="1">
      <c r="A11" s="374" t="s">
        <v>65</v>
      </c>
      <c r="B11" s="369">
        <v>17206</v>
      </c>
      <c r="C11" s="1720">
        <f t="shared" si="0"/>
        <v>1.0449944002973551E-2</v>
      </c>
      <c r="E11" s="1458"/>
      <c r="F11" s="1458"/>
      <c r="G11" s="1458"/>
      <c r="H11" s="1458"/>
      <c r="I11" s="1458"/>
      <c r="J11" s="1458"/>
      <c r="K11" s="1458"/>
      <c r="L11" s="1458"/>
      <c r="M11" s="1458"/>
      <c r="N11" s="1458"/>
      <c r="O11" s="1458"/>
      <c r="P11" s="1458"/>
      <c r="Q11" s="1458"/>
      <c r="R11" s="1458"/>
      <c r="S11" s="1458"/>
    </row>
    <row r="12" spans="1:19" ht="19.5" customHeight="1">
      <c r="A12" s="374" t="s">
        <v>66</v>
      </c>
      <c r="B12" s="369">
        <v>16277</v>
      </c>
      <c r="C12" s="1720">
        <f t="shared" si="0"/>
        <v>9.8857223373474655E-3</v>
      </c>
      <c r="E12" s="1458"/>
      <c r="F12" s="1458"/>
      <c r="G12" s="1458"/>
      <c r="H12" s="1458"/>
      <c r="I12" s="1458"/>
      <c r="J12" s="1458"/>
      <c r="K12" s="1458"/>
      <c r="L12" s="1458"/>
      <c r="M12" s="1458"/>
      <c r="N12" s="1458"/>
      <c r="O12" s="1458"/>
      <c r="P12" s="1458"/>
      <c r="Q12" s="1458"/>
      <c r="R12" s="1458"/>
      <c r="S12" s="1458"/>
    </row>
    <row r="13" spans="1:19" ht="19.5" customHeight="1">
      <c r="A13" s="374" t="s">
        <v>67</v>
      </c>
      <c r="B13" s="369">
        <v>13130</v>
      </c>
      <c r="C13" s="1720">
        <f t="shared" si="0"/>
        <v>7.9744138532513494E-3</v>
      </c>
      <c r="D13" s="173"/>
      <c r="E13" s="173"/>
      <c r="F13" s="173"/>
      <c r="G13" s="173"/>
      <c r="H13" s="173"/>
      <c r="I13" s="173"/>
      <c r="J13" s="173"/>
      <c r="K13" s="173"/>
      <c r="L13" s="173"/>
      <c r="M13" s="173"/>
      <c r="N13" s="173"/>
      <c r="O13" s="173"/>
      <c r="P13" s="173"/>
      <c r="Q13" s="173"/>
      <c r="R13" s="1458"/>
      <c r="S13" s="1458"/>
    </row>
    <row r="14" spans="1:19" ht="18.75">
      <c r="A14" s="372" t="s">
        <v>23</v>
      </c>
      <c r="B14" s="371">
        <f>SUM(B5:B13)</f>
        <v>1646516</v>
      </c>
      <c r="C14" s="1721">
        <f>SUM(C5:C13)</f>
        <v>1</v>
      </c>
      <c r="E14" s="1458"/>
      <c r="F14" s="1458"/>
      <c r="G14" s="1458"/>
      <c r="H14" s="1458"/>
      <c r="I14" s="1458"/>
      <c r="J14" s="1458"/>
      <c r="K14" s="1458"/>
      <c r="L14" s="1458"/>
      <c r="M14" s="1458"/>
      <c r="N14" s="1458"/>
      <c r="O14" s="1458"/>
      <c r="P14" s="1458"/>
      <c r="Q14" s="1458"/>
      <c r="R14" s="1458"/>
      <c r="S14" s="1458"/>
    </row>
    <row r="15" spans="1:19" ht="23.25" customHeight="1">
      <c r="C15" s="93"/>
      <c r="D15" s="93"/>
      <c r="F15" s="74"/>
      <c r="G15" s="96"/>
      <c r="H15" s="96"/>
      <c r="I15" s="96"/>
      <c r="J15" s="96"/>
      <c r="K15" s="96"/>
      <c r="L15" s="96"/>
      <c r="M15" s="96"/>
      <c r="N15" s="96"/>
      <c r="O15" s="96"/>
      <c r="P15" s="96"/>
      <c r="Q15" s="96"/>
      <c r="R15" s="96"/>
      <c r="S15" s="96"/>
    </row>
    <row r="16" spans="1:19" ht="23.25" customHeight="1">
      <c r="B16" s="96"/>
      <c r="C16" s="96"/>
      <c r="D16" s="96"/>
      <c r="E16" s="96"/>
      <c r="F16" s="96"/>
      <c r="G16" s="96"/>
      <c r="H16" s="96"/>
      <c r="I16" s="96"/>
      <c r="J16" s="96"/>
      <c r="K16" s="96"/>
      <c r="L16" s="96"/>
      <c r="M16" s="96"/>
      <c r="N16" s="96"/>
      <c r="O16" s="96"/>
      <c r="P16" s="96"/>
      <c r="Q16" s="96"/>
      <c r="R16" s="96"/>
      <c r="S16" s="96"/>
    </row>
    <row r="17" spans="1:19" ht="23.25" customHeight="1">
      <c r="B17" s="96"/>
      <c r="C17" s="96"/>
      <c r="D17" s="96"/>
      <c r="E17" s="96"/>
      <c r="F17" s="96"/>
      <c r="G17" s="96"/>
      <c r="H17" s="96"/>
      <c r="I17" s="96"/>
      <c r="J17" s="96"/>
      <c r="K17" s="96"/>
      <c r="L17" s="96"/>
      <c r="M17" s="96"/>
      <c r="N17" s="96"/>
      <c r="O17" s="96"/>
      <c r="P17" s="96"/>
      <c r="Q17" s="96"/>
      <c r="R17" s="96"/>
      <c r="S17" s="96"/>
    </row>
    <row r="18" spans="1:19" ht="23.25" customHeight="1">
      <c r="B18" s="96"/>
      <c r="C18" s="96"/>
      <c r="D18" s="96"/>
      <c r="E18" s="96"/>
      <c r="F18" s="96"/>
      <c r="G18" s="96"/>
      <c r="H18" s="96"/>
      <c r="I18" s="96"/>
      <c r="J18" s="96"/>
      <c r="K18" s="96"/>
      <c r="L18" s="96"/>
      <c r="M18" s="96"/>
      <c r="N18" s="96"/>
      <c r="O18" s="96"/>
      <c r="P18" s="96"/>
      <c r="Q18" s="96"/>
      <c r="R18" s="96"/>
      <c r="S18" s="96"/>
    </row>
    <row r="19" spans="1:19" ht="23.25" customHeight="1">
      <c r="B19" s="96"/>
      <c r="C19" s="96"/>
      <c r="D19" s="96"/>
      <c r="E19" s="96"/>
      <c r="F19" s="96"/>
      <c r="G19" s="96"/>
      <c r="H19" s="96"/>
      <c r="I19" s="96"/>
      <c r="J19" s="96"/>
      <c r="K19" s="96"/>
      <c r="L19" s="96"/>
      <c r="M19" s="96"/>
      <c r="N19" s="96"/>
      <c r="O19" s="96"/>
      <c r="P19" s="96"/>
      <c r="Q19" s="96"/>
      <c r="R19" s="96"/>
      <c r="S19" s="96"/>
    </row>
    <row r="20" spans="1:19" ht="23.25" customHeight="1">
      <c r="B20" s="96"/>
      <c r="C20" s="96"/>
      <c r="D20" s="96"/>
      <c r="E20" s="96"/>
      <c r="F20" s="96"/>
      <c r="G20" s="96"/>
      <c r="H20" s="96"/>
      <c r="I20" s="96"/>
      <c r="J20" s="96"/>
      <c r="K20" s="96"/>
      <c r="L20" s="96"/>
      <c r="M20" s="96"/>
      <c r="N20" s="96"/>
      <c r="O20" s="96"/>
      <c r="P20" s="96"/>
      <c r="Q20" s="96"/>
      <c r="R20" s="96"/>
      <c r="S20" s="96"/>
    </row>
    <row r="21" spans="1:19" ht="23.25" customHeight="1">
      <c r="B21" s="96"/>
      <c r="C21" s="96"/>
      <c r="D21" s="96"/>
      <c r="E21" s="100"/>
      <c r="F21" s="100"/>
      <c r="G21" s="100"/>
      <c r="H21" s="100"/>
      <c r="I21" s="100"/>
      <c r="J21" s="100"/>
      <c r="K21" s="100"/>
      <c r="L21" s="100"/>
      <c r="M21" s="100"/>
      <c r="N21" s="100"/>
      <c r="O21" s="100"/>
      <c r="P21" s="100"/>
      <c r="Q21" s="100"/>
      <c r="R21" s="100"/>
      <c r="S21" s="100"/>
    </row>
    <row r="22" spans="1:19" ht="23.25" customHeight="1">
      <c r="B22" s="96"/>
      <c r="C22" s="96"/>
      <c r="D22" s="96"/>
      <c r="E22" s="100"/>
      <c r="F22" s="100"/>
      <c r="G22" s="100"/>
      <c r="H22" s="100"/>
      <c r="I22" s="100"/>
      <c r="J22" s="100"/>
      <c r="K22" s="100"/>
      <c r="L22" s="100"/>
      <c r="M22" s="100"/>
      <c r="N22" s="100"/>
      <c r="O22" s="100"/>
      <c r="P22" s="100"/>
      <c r="Q22" s="100"/>
      <c r="R22" s="100"/>
      <c r="S22" s="100"/>
    </row>
    <row r="23" spans="1:19" ht="23.25" customHeight="1">
      <c r="B23" s="96"/>
      <c r="C23" s="96"/>
      <c r="D23" s="96"/>
      <c r="E23" s="100"/>
      <c r="F23" s="100"/>
      <c r="G23" s="100"/>
      <c r="H23" s="100"/>
      <c r="I23" s="100"/>
      <c r="J23" s="100"/>
      <c r="K23" s="100"/>
      <c r="L23" s="100"/>
      <c r="M23" s="100"/>
      <c r="N23" s="100"/>
      <c r="O23" s="100"/>
      <c r="P23" s="100"/>
      <c r="Q23" s="100"/>
      <c r="R23" s="100"/>
      <c r="S23" s="100"/>
    </row>
    <row r="24" spans="1:19" ht="23.25" customHeight="1">
      <c r="B24" s="96"/>
      <c r="C24" s="96"/>
      <c r="D24" s="96"/>
      <c r="E24" s="100"/>
      <c r="F24" s="100"/>
      <c r="G24" s="100"/>
      <c r="H24" s="100"/>
      <c r="I24" s="100"/>
      <c r="J24" s="100"/>
      <c r="K24" s="100"/>
      <c r="L24" s="100"/>
      <c r="M24" s="100"/>
      <c r="N24" s="100"/>
      <c r="O24" s="100"/>
      <c r="P24" s="100"/>
      <c r="Q24" s="100"/>
      <c r="R24" s="100"/>
      <c r="S24" s="100"/>
    </row>
    <row r="25" spans="1:19" ht="23.25" customHeight="1">
      <c r="A25" s="70"/>
      <c r="B25" s="100"/>
      <c r="C25" s="100"/>
      <c r="D25" s="100"/>
      <c r="E25" s="100"/>
      <c r="F25" s="100"/>
      <c r="G25" s="100"/>
      <c r="H25" s="100"/>
      <c r="I25" s="100"/>
      <c r="J25" s="100"/>
      <c r="K25" s="100"/>
      <c r="L25" s="100"/>
      <c r="M25" s="100"/>
      <c r="N25" s="100"/>
      <c r="O25" s="100"/>
      <c r="P25" s="100"/>
      <c r="Q25" s="100"/>
      <c r="R25" s="100"/>
      <c r="S25" s="100"/>
    </row>
    <row r="26" spans="1:19" ht="23.25" customHeight="1">
      <c r="A26" s="70"/>
      <c r="B26" s="100"/>
      <c r="C26" s="100"/>
      <c r="D26" s="100"/>
      <c r="E26" s="100"/>
      <c r="F26" s="100"/>
      <c r="G26" s="100"/>
      <c r="H26" s="100"/>
      <c r="I26" s="100"/>
      <c r="J26" s="100"/>
      <c r="K26" s="100"/>
      <c r="L26" s="100"/>
      <c r="M26" s="100"/>
      <c r="N26" s="100"/>
      <c r="O26" s="100"/>
      <c r="P26" s="100"/>
      <c r="Q26" s="100"/>
      <c r="R26" s="100"/>
      <c r="S26" s="100"/>
    </row>
    <row r="27" spans="1:19" ht="23.25" customHeight="1">
      <c r="A27" s="70"/>
      <c r="B27" s="100"/>
      <c r="C27" s="100"/>
      <c r="D27" s="100"/>
      <c r="E27" s="100"/>
      <c r="F27" s="100"/>
      <c r="G27" s="100"/>
      <c r="H27" s="100"/>
      <c r="I27" s="100"/>
      <c r="J27" s="100"/>
      <c r="K27" s="100"/>
      <c r="L27" s="100"/>
      <c r="M27" s="100"/>
      <c r="N27" s="100"/>
      <c r="O27" s="100"/>
      <c r="P27" s="100"/>
      <c r="Q27" s="100"/>
      <c r="R27" s="100"/>
      <c r="S27" s="100"/>
    </row>
    <row r="28" spans="1:19" ht="23.25" customHeight="1">
      <c r="A28" s="70"/>
      <c r="B28" s="100"/>
      <c r="C28" s="100"/>
      <c r="D28" s="100"/>
      <c r="E28" s="100"/>
      <c r="F28" s="100"/>
      <c r="G28" s="100"/>
      <c r="H28" s="100"/>
      <c r="I28" s="100"/>
      <c r="J28" s="100"/>
      <c r="K28" s="100"/>
      <c r="L28" s="100"/>
      <c r="M28" s="100"/>
      <c r="N28" s="100"/>
      <c r="O28" s="100"/>
      <c r="P28" s="100"/>
      <c r="Q28" s="100"/>
      <c r="R28" s="100"/>
      <c r="S28" s="100"/>
    </row>
    <row r="29" spans="1:19" ht="23.25" customHeight="1">
      <c r="A29" s="70"/>
      <c r="B29" s="100"/>
      <c r="C29" s="100"/>
      <c r="D29" s="100"/>
      <c r="E29" s="100"/>
      <c r="F29" s="100"/>
      <c r="G29" s="100"/>
      <c r="H29" s="100"/>
      <c r="I29" s="100"/>
      <c r="J29" s="100"/>
      <c r="K29" s="100"/>
      <c r="L29" s="100"/>
      <c r="M29" s="100"/>
      <c r="N29" s="100"/>
      <c r="O29" s="100" t="s">
        <v>176</v>
      </c>
      <c r="P29" s="100"/>
      <c r="Q29" s="100"/>
      <c r="R29" s="100"/>
      <c r="S29" s="100"/>
    </row>
    <row r="30" spans="1:19" ht="23.25" customHeight="1">
      <c r="A30" s="70"/>
      <c r="B30" s="100"/>
      <c r="C30" s="100"/>
      <c r="D30" s="100"/>
      <c r="E30" s="100"/>
      <c r="F30" s="100"/>
      <c r="G30" s="100"/>
      <c r="H30" s="100"/>
      <c r="I30" s="100"/>
      <c r="J30" s="100"/>
      <c r="K30" s="100"/>
      <c r="L30" s="100"/>
      <c r="M30" s="100"/>
      <c r="N30" s="100"/>
      <c r="O30" s="100"/>
      <c r="P30" s="100"/>
      <c r="Q30" s="100"/>
      <c r="R30" s="100"/>
      <c r="S30" s="100"/>
    </row>
    <row r="31" spans="1:19" ht="23.25" customHeight="1">
      <c r="A31" s="70"/>
      <c r="B31" s="100"/>
      <c r="C31" s="100"/>
      <c r="D31" s="100"/>
      <c r="E31" s="100"/>
      <c r="F31" s="100"/>
      <c r="G31" s="100"/>
      <c r="H31" s="100"/>
      <c r="I31" s="100"/>
      <c r="J31" s="100"/>
      <c r="K31" s="100"/>
      <c r="L31" s="100"/>
      <c r="M31" s="100"/>
      <c r="N31" s="100"/>
      <c r="O31" s="100"/>
      <c r="P31" s="100"/>
      <c r="Q31" s="100"/>
      <c r="R31" s="100"/>
      <c r="S31" s="100"/>
    </row>
    <row r="32" spans="1:19" ht="23.25" customHeight="1">
      <c r="A32" s="70"/>
      <c r="B32" s="100"/>
      <c r="C32" s="100"/>
      <c r="D32" s="100"/>
      <c r="E32" s="100"/>
      <c r="F32" s="100"/>
      <c r="G32" s="100"/>
      <c r="H32" s="100"/>
      <c r="I32" s="100"/>
      <c r="J32" s="100"/>
      <c r="K32" s="100"/>
      <c r="L32" s="100"/>
      <c r="M32" s="100"/>
      <c r="N32" s="100"/>
      <c r="O32" s="100"/>
      <c r="P32" s="100"/>
      <c r="Q32" s="100"/>
      <c r="R32" s="100"/>
      <c r="S32" s="100"/>
    </row>
    <row r="33" spans="1:19" ht="23.25" customHeight="1">
      <c r="A33" s="70"/>
      <c r="B33" s="100"/>
      <c r="C33" s="100"/>
      <c r="D33" s="100"/>
      <c r="E33" s="100"/>
      <c r="F33" s="100"/>
      <c r="G33" s="100"/>
      <c r="H33" s="100"/>
      <c r="I33" s="100"/>
      <c r="J33" s="100"/>
      <c r="K33" s="100"/>
      <c r="L33" s="100"/>
      <c r="M33" s="100"/>
      <c r="N33" s="100"/>
      <c r="O33" s="100"/>
      <c r="P33" s="100"/>
      <c r="Q33" s="100"/>
      <c r="R33" s="100"/>
      <c r="S33" s="100"/>
    </row>
    <row r="34" spans="1:19" ht="23.25" customHeight="1">
      <c r="A34" s="70"/>
      <c r="B34" s="100"/>
      <c r="C34" s="100"/>
      <c r="D34" s="100"/>
      <c r="E34" s="100"/>
      <c r="F34" s="100"/>
      <c r="G34" s="100"/>
      <c r="H34" s="100"/>
      <c r="I34" s="100"/>
      <c r="J34" s="100"/>
      <c r="K34" s="100"/>
      <c r="L34" s="100"/>
      <c r="M34" s="100"/>
      <c r="N34" s="100"/>
      <c r="O34" s="100"/>
      <c r="P34" s="100"/>
      <c r="Q34" s="100"/>
      <c r="R34" s="100"/>
      <c r="S34" s="100"/>
    </row>
    <row r="35" spans="1:19" ht="23.25" customHeight="1">
      <c r="A35" s="70"/>
      <c r="B35" s="100"/>
      <c r="C35" s="100"/>
      <c r="D35" s="100"/>
      <c r="E35" s="100"/>
      <c r="F35" s="100"/>
      <c r="G35" s="100"/>
      <c r="H35" s="100"/>
      <c r="I35" s="100"/>
      <c r="J35" s="100"/>
      <c r="K35" s="100"/>
      <c r="L35" s="100"/>
      <c r="M35" s="100"/>
      <c r="N35" s="100"/>
      <c r="O35" s="100"/>
      <c r="P35" s="100"/>
      <c r="Q35" s="100"/>
      <c r="R35" s="100"/>
      <c r="S35" s="100"/>
    </row>
    <row r="36" spans="1:19" ht="23.25" customHeight="1">
      <c r="A36" s="70"/>
      <c r="B36" s="100"/>
      <c r="C36" s="100"/>
      <c r="D36" s="100"/>
      <c r="E36" s="100"/>
      <c r="F36" s="100"/>
      <c r="G36" s="100"/>
      <c r="H36" s="100"/>
      <c r="I36" s="100"/>
      <c r="J36" s="100"/>
      <c r="K36" s="100"/>
      <c r="L36" s="100"/>
      <c r="M36" s="100"/>
      <c r="N36" s="100"/>
      <c r="O36" s="100"/>
      <c r="P36" s="100"/>
      <c r="Q36" s="100"/>
      <c r="R36" s="100"/>
      <c r="S36" s="100"/>
    </row>
    <row r="37" spans="1:19" ht="23.25" customHeight="1">
      <c r="A37" s="70"/>
      <c r="B37" s="100"/>
      <c r="C37" s="100"/>
      <c r="D37" s="100"/>
      <c r="E37" s="100"/>
      <c r="F37" s="100"/>
      <c r="G37" s="100"/>
      <c r="H37" s="100"/>
      <c r="I37" s="100"/>
      <c r="J37" s="100"/>
      <c r="K37" s="100"/>
      <c r="L37" s="100"/>
      <c r="M37" s="100"/>
      <c r="N37" s="100"/>
      <c r="O37" s="100"/>
      <c r="P37" s="100"/>
      <c r="Q37" s="100"/>
      <c r="R37" s="100"/>
      <c r="S37" s="100"/>
    </row>
    <row r="38" spans="1:19" ht="23.25" customHeight="1">
      <c r="A38" s="70"/>
      <c r="B38" s="100"/>
      <c r="C38" s="100"/>
      <c r="D38" s="100"/>
      <c r="E38" s="100"/>
      <c r="F38" s="100"/>
      <c r="G38" s="100"/>
      <c r="H38" s="100"/>
      <c r="I38" s="100"/>
      <c r="J38" s="100"/>
      <c r="K38" s="100"/>
      <c r="L38" s="100"/>
      <c r="M38" s="100"/>
      <c r="N38" s="100"/>
      <c r="O38" s="100"/>
      <c r="P38" s="100"/>
      <c r="Q38" s="100"/>
      <c r="R38" s="100"/>
      <c r="S38" s="100"/>
    </row>
    <row r="39" spans="1:19" ht="23.25" customHeight="1">
      <c r="A39" s="70"/>
      <c r="B39" s="100"/>
      <c r="C39" s="100"/>
      <c r="D39" s="100"/>
      <c r="E39" s="100"/>
      <c r="F39" s="100"/>
      <c r="G39" s="100"/>
      <c r="H39" s="100"/>
      <c r="I39" s="100"/>
      <c r="J39" s="100"/>
      <c r="K39" s="100"/>
      <c r="L39" s="100"/>
      <c r="M39" s="100"/>
      <c r="N39" s="100"/>
      <c r="O39" s="100"/>
      <c r="P39" s="100"/>
      <c r="Q39" s="100"/>
      <c r="R39" s="100"/>
      <c r="S39" s="100"/>
    </row>
    <row r="40" spans="1:19" ht="23.25" customHeight="1">
      <c r="A40" s="70"/>
      <c r="B40" s="100"/>
      <c r="C40" s="100"/>
      <c r="D40" s="100"/>
      <c r="E40" s="100"/>
      <c r="F40" s="100"/>
      <c r="G40" s="100"/>
      <c r="H40" s="100"/>
      <c r="I40" s="100"/>
      <c r="J40" s="100"/>
      <c r="K40" s="100"/>
      <c r="L40" s="100"/>
      <c r="M40" s="100"/>
      <c r="N40" s="100"/>
      <c r="O40" s="100"/>
      <c r="P40" s="100"/>
      <c r="Q40" s="100"/>
      <c r="R40" s="100"/>
      <c r="S40" s="100"/>
    </row>
    <row r="41" spans="1:19" ht="23.25" customHeight="1">
      <c r="A41" s="70"/>
      <c r="B41" s="100"/>
      <c r="C41" s="100"/>
      <c r="D41" s="100"/>
      <c r="E41" s="100"/>
      <c r="F41" s="100"/>
      <c r="G41" s="100"/>
      <c r="H41" s="100"/>
      <c r="I41" s="100"/>
      <c r="J41" s="100"/>
      <c r="K41" s="100"/>
      <c r="L41" s="100"/>
      <c r="M41" s="100"/>
      <c r="N41" s="100"/>
      <c r="O41" s="100"/>
      <c r="P41" s="100"/>
      <c r="Q41" s="100"/>
      <c r="R41" s="100"/>
      <c r="S41" s="100"/>
    </row>
    <row r="42" spans="1:19" ht="23.25" customHeight="1">
      <c r="A42" s="70"/>
      <c r="B42" s="100"/>
      <c r="C42" s="100"/>
      <c r="D42" s="100"/>
    </row>
    <row r="43" spans="1:19" ht="23.25" customHeight="1">
      <c r="A43" s="70"/>
      <c r="B43" s="100"/>
      <c r="C43" s="100"/>
      <c r="D43" s="100"/>
    </row>
    <row r="44" spans="1:19" ht="23.25" customHeight="1">
      <c r="A44" s="73"/>
      <c r="B44" s="100"/>
      <c r="C44" s="100"/>
      <c r="D44" s="100"/>
    </row>
    <row r="45" spans="1:19" ht="23.25" customHeight="1">
      <c r="A45" s="70"/>
      <c r="B45" s="100"/>
      <c r="C45" s="100"/>
      <c r="D45" s="100"/>
    </row>
  </sheetData>
  <mergeCells count="2">
    <mergeCell ref="A1:L1"/>
    <mergeCell ref="A3:C3"/>
  </mergeCells>
  <printOptions horizontalCentered="1" verticalCentered="1"/>
  <pageMargins left="0.4" right="0.4" top="0.25" bottom="0.25" header="0.31496062992126" footer="0.31496062992126"/>
  <pageSetup scale="61"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O42"/>
  <sheetViews>
    <sheetView showGridLines="0" view="pageBreakPreview" zoomScale="70" zoomScaleNormal="100" zoomScaleSheetLayoutView="70" workbookViewId="0">
      <selection activeCell="N8" sqref="N8"/>
    </sheetView>
  </sheetViews>
  <sheetFormatPr baseColWidth="10" defaultColWidth="11.42578125" defaultRowHeight="15"/>
  <cols>
    <col min="1" max="1" width="12.7109375" style="77" customWidth="1"/>
    <col min="2" max="2" width="12.28515625" style="77" bestFit="1" customWidth="1"/>
    <col min="3" max="3" width="14.7109375" style="77" bestFit="1" customWidth="1"/>
    <col min="4" max="4" width="12.5703125" style="77" customWidth="1"/>
    <col min="5" max="5" width="17.5703125" style="77" customWidth="1"/>
    <col min="6" max="6" width="15.5703125" style="77" customWidth="1"/>
    <col min="7" max="7" width="22.42578125" style="77" customWidth="1"/>
    <col min="8" max="8" width="16.140625" style="77" customWidth="1"/>
    <col min="9" max="9" width="19.28515625" style="77" customWidth="1"/>
    <col min="10" max="10" width="16.28515625" style="77" customWidth="1"/>
    <col min="11" max="11" width="16" style="77" customWidth="1"/>
    <col min="12" max="12" width="16.42578125" style="77" customWidth="1"/>
    <col min="13" max="13" width="17.42578125" style="77" customWidth="1"/>
    <col min="14" max="14" width="22" style="77" customWidth="1"/>
    <col min="15" max="17" width="11.42578125" style="77"/>
    <col min="18" max="18" width="17" style="77" customWidth="1"/>
    <col min="19" max="16384" width="11.42578125" style="77"/>
  </cols>
  <sheetData>
    <row r="1" spans="1:15" ht="82.5" customHeight="1">
      <c r="A1" s="2107"/>
      <c r="B1" s="2107"/>
      <c r="C1" s="2107"/>
      <c r="D1" s="2107"/>
      <c r="E1" s="2107"/>
      <c r="F1" s="2107"/>
      <c r="G1" s="2107"/>
      <c r="H1" s="2107"/>
      <c r="I1" s="2107"/>
      <c r="J1" s="2107"/>
      <c r="K1" s="2107"/>
      <c r="L1" s="2107"/>
      <c r="M1" s="126"/>
      <c r="N1" s="126"/>
    </row>
    <row r="2" spans="1:15" ht="15" customHeight="1">
      <c r="A2" s="2124"/>
      <c r="B2" s="2125"/>
      <c r="C2" s="2125"/>
      <c r="D2" s="2125"/>
      <c r="E2" s="2125"/>
      <c r="F2" s="2125"/>
      <c r="G2" s="2125"/>
      <c r="H2" s="2125"/>
      <c r="I2" s="2125"/>
      <c r="J2" s="2125"/>
      <c r="K2" s="2125"/>
      <c r="L2" s="2125"/>
      <c r="M2" s="168"/>
      <c r="N2" s="168"/>
    </row>
    <row r="3" spans="1:15" s="134" customFormat="1" ht="49.5" customHeight="1">
      <c r="A3" s="379" t="s">
        <v>144</v>
      </c>
      <c r="B3" s="375" t="s">
        <v>92</v>
      </c>
      <c r="C3" s="376" t="s">
        <v>93</v>
      </c>
      <c r="D3" s="376" t="s">
        <v>83</v>
      </c>
      <c r="E3" s="376" t="s">
        <v>84</v>
      </c>
      <c r="F3" s="376" t="s">
        <v>85</v>
      </c>
      <c r="G3" s="375" t="s">
        <v>174</v>
      </c>
      <c r="H3" s="377" t="s">
        <v>145</v>
      </c>
      <c r="I3" s="377" t="s">
        <v>432</v>
      </c>
      <c r="J3" s="2051" t="s">
        <v>23</v>
      </c>
      <c r="K3" s="163"/>
      <c r="L3" s="199"/>
      <c r="M3" s="162"/>
      <c r="N3" s="200"/>
    </row>
    <row r="4" spans="1:15" ht="18.75" customHeight="1">
      <c r="A4" s="1613" t="s">
        <v>1001</v>
      </c>
      <c r="B4" s="1200">
        <v>481473</v>
      </c>
      <c r="C4" s="1200">
        <v>228286</v>
      </c>
      <c r="D4" s="1200">
        <v>12666</v>
      </c>
      <c r="E4" s="1200">
        <v>461556</v>
      </c>
      <c r="F4" s="1200">
        <v>300519</v>
      </c>
      <c r="G4" s="1200">
        <v>93531</v>
      </c>
      <c r="H4" s="1200">
        <v>40252</v>
      </c>
      <c r="I4" s="1200">
        <v>28233</v>
      </c>
      <c r="J4" s="1201">
        <f>+B4+C4+D4+E4+F4+G4+H4+I4</f>
        <v>1646516</v>
      </c>
      <c r="L4" s="94"/>
      <c r="M4" s="162"/>
      <c r="N4" s="162"/>
    </row>
    <row r="5" spans="1:15" ht="17.25" customHeight="1">
      <c r="A5" s="378" t="s">
        <v>35</v>
      </c>
      <c r="B5" s="1578">
        <f>B4/$J$4</f>
        <v>0.29241926589234479</v>
      </c>
      <c r="C5" s="1578">
        <f t="shared" ref="C5:H5" si="0">C4/$J$4</f>
        <v>0.13864790867504476</v>
      </c>
      <c r="D5" s="1578">
        <f t="shared" si="0"/>
        <v>7.6926066919483322E-3</v>
      </c>
      <c r="E5" s="1578">
        <f t="shared" si="0"/>
        <v>0.28032281496201678</v>
      </c>
      <c r="F5" s="1578">
        <f t="shared" si="0"/>
        <v>0.18251811704228807</v>
      </c>
      <c r="G5" s="1578">
        <f t="shared" si="0"/>
        <v>5.6805400008259864E-2</v>
      </c>
      <c r="H5" s="1578">
        <f t="shared" si="0"/>
        <v>2.4446771243036812E-2</v>
      </c>
      <c r="I5" s="1578">
        <f>I4/$J$4</f>
        <v>1.7147115485060576E-2</v>
      </c>
      <c r="J5" s="2052">
        <f>SUM(B5:I5)</f>
        <v>0.99999999999999989</v>
      </c>
      <c r="K5" s="94"/>
      <c r="L5" s="20"/>
      <c r="M5" s="18"/>
      <c r="N5" s="162"/>
    </row>
    <row r="6" spans="1:15">
      <c r="A6" s="97"/>
      <c r="B6" s="266"/>
      <c r="C6" s="266"/>
      <c r="D6" s="266"/>
      <c r="E6" s="265"/>
      <c r="F6" s="265"/>
      <c r="G6" s="266"/>
      <c r="H6" s="266"/>
      <c r="I6" s="97"/>
      <c r="J6" s="97"/>
      <c r="K6" s="94"/>
      <c r="L6" s="94"/>
      <c r="M6" s="173"/>
      <c r="N6" s="162"/>
    </row>
    <row r="7" spans="1:15">
      <c r="E7" s="9"/>
      <c r="F7" s="9"/>
      <c r="G7" s="94"/>
      <c r="H7" s="94"/>
      <c r="I7" s="94"/>
      <c r="J7" s="94"/>
      <c r="K7" s="94"/>
      <c r="L7" s="94"/>
      <c r="M7" s="162"/>
      <c r="N7" s="173"/>
    </row>
    <row r="8" spans="1:15">
      <c r="E8" s="9"/>
      <c r="F8" s="9"/>
      <c r="G8" s="94"/>
      <c r="H8" s="94"/>
      <c r="I8" s="94"/>
      <c r="J8" s="94"/>
      <c r="K8" s="94"/>
      <c r="L8" s="94"/>
      <c r="M8" s="1453"/>
    </row>
    <row r="9" spans="1:15" ht="18.75">
      <c r="E9" s="8"/>
      <c r="F9" s="9"/>
      <c r="G9" s="94"/>
      <c r="H9" s="94"/>
      <c r="I9" s="94"/>
      <c r="J9" s="94"/>
      <c r="K9" s="94"/>
      <c r="L9" s="94"/>
      <c r="M9" s="1040"/>
      <c r="N9" s="201"/>
      <c r="O9" s="119"/>
    </row>
    <row r="10" spans="1:15">
      <c r="E10" s="8"/>
      <c r="F10" s="8"/>
      <c r="G10" s="94"/>
      <c r="H10" s="94"/>
      <c r="I10" s="94"/>
      <c r="J10" s="94"/>
      <c r="K10" s="94"/>
      <c r="L10" s="94"/>
      <c r="M10" s="20"/>
      <c r="N10" s="94"/>
      <c r="O10" s="18"/>
    </row>
    <row r="11" spans="1:15" ht="18.75">
      <c r="G11" s="2"/>
      <c r="H11" s="2"/>
      <c r="I11" s="4"/>
      <c r="J11" s="4"/>
      <c r="K11" s="1"/>
      <c r="L11" s="1"/>
      <c r="M11" s="1"/>
      <c r="N11" s="1"/>
    </row>
    <row r="12" spans="1:15">
      <c r="B12" s="1"/>
      <c r="C12" s="1"/>
      <c r="D12" s="1"/>
      <c r="E12" s="1"/>
      <c r="F12" s="1"/>
      <c r="G12" s="1"/>
      <c r="H12" s="1"/>
      <c r="I12" s="3"/>
      <c r="J12" s="3"/>
      <c r="K12" s="1"/>
      <c r="L12" s="1"/>
      <c r="M12" s="1"/>
      <c r="N12" s="1"/>
    </row>
    <row r="13" spans="1:15">
      <c r="B13" s="1"/>
      <c r="C13" s="1"/>
      <c r="D13" s="1"/>
      <c r="E13" s="1"/>
      <c r="F13" s="6"/>
      <c r="G13" s="1"/>
      <c r="H13" s="1"/>
      <c r="I13" s="1"/>
      <c r="J13" s="1"/>
      <c r="K13" s="1"/>
      <c r="L13" s="4"/>
      <c r="M13" s="4"/>
      <c r="N13" s="4"/>
      <c r="O13" s="18"/>
    </row>
    <row r="14" spans="1:15">
      <c r="B14" s="1"/>
      <c r="C14" s="1"/>
      <c r="D14" s="1"/>
      <c r="E14" s="1"/>
      <c r="F14" s="1"/>
      <c r="G14" s="1"/>
      <c r="H14" s="1"/>
      <c r="I14" s="1"/>
      <c r="J14" s="1"/>
      <c r="K14" s="1"/>
      <c r="L14" s="1"/>
      <c r="M14" s="1"/>
      <c r="N14" s="1"/>
    </row>
    <row r="15" spans="1:15">
      <c r="B15" s="1"/>
      <c r="C15" s="1"/>
      <c r="D15" s="1"/>
      <c r="E15" s="1"/>
      <c r="F15" s="1"/>
      <c r="G15" s="1"/>
      <c r="H15" s="1"/>
      <c r="I15" s="1"/>
      <c r="J15" s="1"/>
      <c r="K15" s="1"/>
      <c r="L15" s="1"/>
      <c r="M15" s="1"/>
      <c r="N15" s="1"/>
    </row>
    <row r="16" spans="1:15">
      <c r="B16" s="1"/>
      <c r="C16" s="1"/>
      <c r="D16" s="1"/>
      <c r="E16" s="1"/>
      <c r="F16" s="1"/>
      <c r="G16" s="1"/>
      <c r="H16" s="1"/>
      <c r="I16" s="1"/>
      <c r="J16" s="1"/>
      <c r="K16" s="1"/>
      <c r="L16" s="1"/>
      <c r="M16" s="1"/>
      <c r="N16" s="1"/>
    </row>
    <row r="17" spans="2:14">
      <c r="B17" s="1"/>
      <c r="C17" s="1"/>
      <c r="D17" s="1"/>
      <c r="E17" s="1"/>
      <c r="F17" s="1"/>
      <c r="G17" s="1"/>
      <c r="H17" s="1"/>
      <c r="I17" s="1"/>
      <c r="J17" s="1"/>
      <c r="K17" s="1"/>
      <c r="L17" s="1"/>
      <c r="M17" s="1"/>
      <c r="N17" s="1"/>
    </row>
    <row r="18" spans="2:14">
      <c r="B18" s="1"/>
      <c r="C18" s="1"/>
      <c r="D18" s="1"/>
      <c r="E18" s="1"/>
      <c r="F18" s="1"/>
      <c r="G18" s="1"/>
      <c r="H18" s="1"/>
      <c r="I18" s="1"/>
      <c r="J18" s="1"/>
      <c r="K18" s="1"/>
      <c r="L18" s="1"/>
      <c r="M18" s="1"/>
      <c r="N18" s="1"/>
    </row>
    <row r="19" spans="2:14">
      <c r="B19" s="1"/>
      <c r="C19" s="1"/>
      <c r="D19" s="1"/>
      <c r="E19" s="1"/>
      <c r="F19" s="1"/>
      <c r="G19" s="1"/>
      <c r="H19" s="1"/>
      <c r="I19" s="1"/>
      <c r="J19" s="1"/>
      <c r="K19" s="1"/>
      <c r="L19" s="1"/>
      <c r="M19" s="1"/>
      <c r="N19" s="1"/>
    </row>
    <row r="20" spans="2:14">
      <c r="B20" s="1"/>
      <c r="C20" s="1"/>
      <c r="D20" s="1"/>
      <c r="E20" s="1"/>
      <c r="F20" s="1"/>
      <c r="G20" s="1"/>
      <c r="H20" s="1"/>
      <c r="I20" s="1"/>
      <c r="J20" s="1"/>
      <c r="K20" s="1"/>
      <c r="L20" s="1"/>
      <c r="M20" s="1"/>
      <c r="N20" s="1"/>
    </row>
    <row r="21" spans="2:14">
      <c r="B21" s="1"/>
      <c r="C21" s="1"/>
      <c r="D21" s="1"/>
      <c r="E21" s="1"/>
      <c r="F21" s="1"/>
      <c r="G21" s="1"/>
      <c r="H21" s="1"/>
      <c r="I21" s="1"/>
      <c r="J21" s="1"/>
      <c r="K21" s="1"/>
      <c r="L21" s="1"/>
      <c r="M21" s="1"/>
      <c r="N21" s="1"/>
    </row>
    <row r="22" spans="2:14">
      <c r="B22" s="1"/>
      <c r="C22" s="1"/>
      <c r="D22" s="1"/>
      <c r="E22" s="1"/>
      <c r="F22" s="1"/>
      <c r="G22" s="1"/>
      <c r="H22" s="1"/>
      <c r="I22" s="1"/>
      <c r="J22" s="1"/>
      <c r="K22" s="1"/>
      <c r="L22" s="1"/>
      <c r="M22" s="1"/>
      <c r="N22" s="1"/>
    </row>
    <row r="23" spans="2:14">
      <c r="B23" s="1"/>
      <c r="C23" s="1"/>
      <c r="D23" s="1"/>
      <c r="E23" s="1"/>
      <c r="F23" s="1"/>
      <c r="G23" s="1"/>
      <c r="H23" s="1"/>
      <c r="I23" s="1"/>
      <c r="J23" s="1"/>
      <c r="K23" s="1"/>
      <c r="L23" s="1"/>
      <c r="M23" s="1"/>
      <c r="N23" s="1"/>
    </row>
    <row r="24" spans="2:14">
      <c r="B24" s="1"/>
      <c r="C24" s="1"/>
      <c r="D24" s="1"/>
      <c r="E24" s="1"/>
      <c r="F24" s="1"/>
      <c r="G24" s="1"/>
      <c r="H24" s="1"/>
      <c r="I24" s="1"/>
      <c r="J24" s="1"/>
      <c r="K24" s="1"/>
      <c r="L24" s="1"/>
      <c r="M24" s="1"/>
      <c r="N24" s="1"/>
    </row>
    <row r="25" spans="2:14" ht="18.75">
      <c r="B25" s="1"/>
      <c r="C25" s="1"/>
      <c r="D25" s="1"/>
      <c r="E25" s="1"/>
      <c r="F25" s="1"/>
      <c r="G25" s="1"/>
      <c r="H25" s="1"/>
      <c r="I25" s="1"/>
      <c r="J25" s="1"/>
      <c r="K25" s="1"/>
      <c r="L25" s="1"/>
      <c r="M25" s="892"/>
      <c r="N25" s="1"/>
    </row>
    <row r="26" spans="2:14">
      <c r="B26" s="1"/>
      <c r="C26" s="1"/>
      <c r="D26" s="1"/>
      <c r="E26" s="1"/>
      <c r="F26" s="1"/>
      <c r="G26" s="1"/>
      <c r="H26" s="1"/>
      <c r="I26" s="1"/>
      <c r="J26" s="1"/>
      <c r="K26" s="1"/>
      <c r="L26" s="1"/>
      <c r="M26" s="1"/>
      <c r="N26" s="1"/>
    </row>
    <row r="27" spans="2:14">
      <c r="B27" s="1"/>
      <c r="C27" s="1"/>
      <c r="D27" s="1"/>
      <c r="E27" s="1"/>
      <c r="F27" s="1"/>
      <c r="G27" s="1"/>
      <c r="H27" s="1"/>
      <c r="I27" s="1"/>
      <c r="J27" s="1"/>
      <c r="K27" s="1"/>
      <c r="L27" s="1"/>
      <c r="M27" s="1"/>
      <c r="N27" s="1"/>
    </row>
    <row r="28" spans="2:14">
      <c r="B28" s="1"/>
      <c r="C28" s="1"/>
      <c r="D28" s="1"/>
      <c r="E28" s="1"/>
      <c r="F28" s="1"/>
      <c r="G28" s="1"/>
      <c r="H28" s="1"/>
      <c r="I28" s="1"/>
      <c r="J28" s="1"/>
      <c r="K28" s="1"/>
      <c r="L28" s="1"/>
      <c r="M28" s="1"/>
      <c r="N28" s="1"/>
    </row>
    <row r="29" spans="2:14">
      <c r="B29" s="1"/>
      <c r="C29" s="1"/>
      <c r="D29" s="1"/>
      <c r="E29" s="1"/>
      <c r="F29" s="1"/>
      <c r="G29" s="1"/>
      <c r="H29" s="1"/>
      <c r="I29" s="1"/>
      <c r="J29" s="1"/>
      <c r="K29" s="1"/>
      <c r="L29" s="1"/>
      <c r="M29" s="1"/>
      <c r="N29" s="1"/>
    </row>
    <row r="30" spans="2:14">
      <c r="B30" s="1"/>
      <c r="C30" s="1"/>
      <c r="D30" s="1"/>
      <c r="E30" s="1"/>
      <c r="F30" s="1"/>
      <c r="G30" s="1"/>
      <c r="H30" s="1"/>
      <c r="I30" s="1"/>
      <c r="J30" s="1"/>
      <c r="K30" s="1"/>
      <c r="L30" s="1"/>
      <c r="M30" s="1"/>
      <c r="N30" s="1"/>
    </row>
    <row r="31" spans="2:14">
      <c r="B31" s="1"/>
      <c r="C31" s="1"/>
      <c r="D31" s="1"/>
      <c r="E31" s="1"/>
      <c r="F31" s="1"/>
      <c r="G31" s="1"/>
      <c r="H31" s="1"/>
      <c r="I31" s="1"/>
      <c r="J31" s="1"/>
      <c r="K31" s="1"/>
      <c r="L31" s="1"/>
      <c r="M31" s="1"/>
      <c r="N31" s="1"/>
    </row>
    <row r="32" spans="2:14">
      <c r="B32" s="1"/>
      <c r="C32" s="1"/>
      <c r="D32" s="1"/>
      <c r="E32" s="1"/>
      <c r="F32" s="1"/>
      <c r="G32" s="1"/>
      <c r="H32" s="1"/>
      <c r="I32" s="1"/>
      <c r="J32" s="1"/>
      <c r="K32" s="1"/>
      <c r="L32" s="1"/>
      <c r="M32" s="1"/>
      <c r="N32" s="1"/>
    </row>
    <row r="33" spans="2:14">
      <c r="B33" s="1"/>
      <c r="C33" s="1"/>
      <c r="D33" s="1"/>
      <c r="E33" s="1"/>
      <c r="F33" s="1"/>
      <c r="G33" s="1"/>
      <c r="H33" s="1"/>
      <c r="I33" s="1"/>
      <c r="J33" s="1"/>
      <c r="K33" s="1"/>
      <c r="L33" s="1"/>
      <c r="M33" s="1"/>
      <c r="N33" s="1"/>
    </row>
    <row r="34" spans="2:14">
      <c r="B34" s="1"/>
      <c r="C34" s="1"/>
      <c r="D34" s="1"/>
      <c r="E34" s="1"/>
      <c r="F34" s="1"/>
      <c r="G34" s="1"/>
      <c r="H34" s="1"/>
      <c r="I34" s="1"/>
      <c r="J34" s="1"/>
      <c r="K34" s="1"/>
      <c r="L34" s="1"/>
      <c r="M34" s="1"/>
      <c r="N34" s="1"/>
    </row>
    <row r="35" spans="2:14">
      <c r="B35" s="1"/>
      <c r="C35" s="1"/>
      <c r="D35" s="1"/>
      <c r="E35" s="1"/>
      <c r="F35" s="1"/>
      <c r="G35" s="1"/>
      <c r="H35" s="1"/>
      <c r="I35" s="1"/>
      <c r="J35" s="1"/>
      <c r="K35" s="1"/>
      <c r="L35" s="1"/>
      <c r="M35" s="1"/>
      <c r="N35" s="1"/>
    </row>
    <row r="36" spans="2:14">
      <c r="B36" s="1"/>
      <c r="C36" s="1"/>
      <c r="D36" s="1"/>
      <c r="E36" s="1"/>
      <c r="F36" s="1"/>
      <c r="G36" s="1"/>
      <c r="H36" s="1"/>
      <c r="I36" s="1"/>
      <c r="J36" s="1"/>
      <c r="K36" s="1"/>
      <c r="L36" s="1"/>
      <c r="M36" s="1"/>
      <c r="N36" s="1"/>
    </row>
    <row r="37" spans="2:14">
      <c r="B37" s="1"/>
      <c r="C37" s="1"/>
      <c r="D37" s="1"/>
      <c r="E37" s="1"/>
      <c r="F37" s="1"/>
      <c r="G37" s="1"/>
      <c r="H37" s="1"/>
      <c r="I37" s="1"/>
      <c r="J37" s="1"/>
      <c r="K37" s="1"/>
      <c r="L37" s="1"/>
      <c r="M37" s="1"/>
      <c r="N37" s="1"/>
    </row>
    <row r="38" spans="2:14">
      <c r="B38" s="1"/>
      <c r="C38" s="1"/>
      <c r="D38" s="1"/>
      <c r="E38" s="1"/>
      <c r="F38" s="1"/>
      <c r="G38" s="1"/>
      <c r="H38" s="1"/>
      <c r="I38" s="1"/>
      <c r="J38" s="1"/>
      <c r="K38" s="1"/>
      <c r="L38" s="1"/>
      <c r="M38" s="1"/>
      <c r="N38" s="1"/>
    </row>
    <row r="39" spans="2:14">
      <c r="B39" s="1"/>
      <c r="C39" s="1"/>
      <c r="D39" s="1"/>
      <c r="E39" s="1"/>
      <c r="F39" s="1"/>
      <c r="G39" s="1"/>
      <c r="H39" s="1"/>
      <c r="I39" s="1"/>
      <c r="J39" s="1"/>
      <c r="K39" s="1"/>
      <c r="L39" s="1"/>
      <c r="M39" s="1"/>
      <c r="N39" s="1"/>
    </row>
    <row r="40" spans="2:14">
      <c r="B40" s="1"/>
      <c r="C40" s="1"/>
      <c r="D40" s="1"/>
      <c r="E40" s="1"/>
      <c r="F40" s="1"/>
      <c r="G40" s="1"/>
      <c r="H40" s="1"/>
      <c r="I40" s="1"/>
      <c r="J40" s="1"/>
      <c r="K40" s="1"/>
      <c r="L40" s="1"/>
      <c r="M40" s="1"/>
      <c r="N40" s="1"/>
    </row>
    <row r="41" spans="2:14">
      <c r="B41" s="1"/>
      <c r="C41" s="1"/>
      <c r="D41" s="1"/>
      <c r="E41" s="1"/>
      <c r="F41" s="1"/>
      <c r="G41" s="1"/>
      <c r="H41" s="1"/>
      <c r="I41" s="1"/>
      <c r="J41" s="1"/>
      <c r="K41" s="1"/>
      <c r="L41" s="1"/>
      <c r="M41" s="1"/>
      <c r="N41" s="1"/>
    </row>
    <row r="42" spans="2:14">
      <c r="B42" s="1"/>
      <c r="C42" s="1"/>
      <c r="D42" s="1"/>
      <c r="E42" s="1"/>
      <c r="F42" s="1"/>
      <c r="G42" s="1"/>
      <c r="H42" s="1"/>
      <c r="I42" s="1"/>
      <c r="J42" s="1"/>
      <c r="K42" s="1"/>
      <c r="L42" s="1"/>
      <c r="M42" s="1"/>
      <c r="N42" s="1"/>
    </row>
  </sheetData>
  <mergeCells count="2">
    <mergeCell ref="A1:L1"/>
    <mergeCell ref="A2:L2"/>
  </mergeCells>
  <printOptions horizontalCentered="1" verticalCentered="1"/>
  <pageMargins left="0.4" right="0.4" top="0.25" bottom="0.25" header="0.31496062992126" footer="0.31496062992126"/>
  <pageSetup scale="6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6"/>
  <sheetViews>
    <sheetView showGridLines="0" view="pageBreakPreview" zoomScaleNormal="100" zoomScaleSheetLayoutView="100" workbookViewId="0">
      <pane xSplit="1" ySplit="5" topLeftCell="B6" activePane="bottomRight" state="frozen"/>
      <selection pane="topRight" activeCell="B1" sqref="B1"/>
      <selection pane="bottomLeft" activeCell="A6" sqref="A6"/>
      <selection pane="bottomRight" activeCell="O30" sqref="O30"/>
    </sheetView>
  </sheetViews>
  <sheetFormatPr baseColWidth="10" defaultColWidth="11.42578125" defaultRowHeight="11.25"/>
  <cols>
    <col min="1" max="1" width="8.42578125" style="205" customWidth="1"/>
    <col min="2" max="2" width="12.85546875" style="205" customWidth="1"/>
    <col min="3" max="3" width="12.28515625" style="205" customWidth="1"/>
    <col min="4" max="4" width="12" style="205" customWidth="1"/>
    <col min="5" max="5" width="11.28515625" style="205" customWidth="1"/>
    <col min="6" max="6" width="11.5703125" style="205" customWidth="1"/>
    <col min="7" max="7" width="15" style="205" customWidth="1"/>
    <col min="8" max="8" width="9.28515625" style="205" customWidth="1"/>
    <col min="9" max="9" width="11.140625" style="205" customWidth="1"/>
    <col min="10" max="10" width="8.7109375" style="205" customWidth="1"/>
    <col min="11" max="11" width="8.5703125" style="205" customWidth="1"/>
    <col min="12" max="12" width="9.140625" style="205" customWidth="1"/>
    <col min="13" max="13" width="10.28515625" style="205" customWidth="1"/>
    <col min="14" max="14" width="11.42578125" style="205"/>
    <col min="15" max="15" width="13.5703125" style="205" bestFit="1" customWidth="1"/>
    <col min="16" max="16384" width="11.42578125" style="205"/>
  </cols>
  <sheetData>
    <row r="1" spans="1:15" ht="66" customHeight="1">
      <c r="A1" s="2126"/>
      <c r="B1" s="2126"/>
      <c r="C1" s="2126"/>
      <c r="D1" s="2126"/>
      <c r="E1" s="2126"/>
      <c r="F1" s="2126"/>
      <c r="G1" s="2126"/>
      <c r="H1" s="2126"/>
      <c r="I1" s="2126"/>
      <c r="J1" s="2126"/>
      <c r="K1" s="2126"/>
      <c r="L1" s="2126"/>
      <c r="M1" s="2126"/>
      <c r="N1" s="2126"/>
    </row>
    <row r="2" spans="1:15" ht="3" customHeight="1"/>
    <row r="3" spans="1:15" ht="46.5" customHeight="1">
      <c r="A3" s="381" t="s">
        <v>25</v>
      </c>
      <c r="B3" s="387" t="s">
        <v>455</v>
      </c>
      <c r="C3" s="387" t="s">
        <v>446</v>
      </c>
      <c r="D3" s="387" t="s">
        <v>447</v>
      </c>
      <c r="E3" s="397" t="s">
        <v>448</v>
      </c>
      <c r="F3" s="388" t="s">
        <v>449</v>
      </c>
      <c r="G3" s="397" t="s">
        <v>450</v>
      </c>
      <c r="H3" s="397" t="s">
        <v>451</v>
      </c>
      <c r="I3" s="387" t="s">
        <v>452</v>
      </c>
      <c r="J3" s="397" t="s">
        <v>453</v>
      </c>
      <c r="K3" s="387" t="s">
        <v>454</v>
      </c>
      <c r="L3" s="387" t="s">
        <v>560</v>
      </c>
      <c r="M3" s="388" t="s">
        <v>561</v>
      </c>
    </row>
    <row r="4" spans="1:15" hidden="1">
      <c r="A4" s="389">
        <v>2003</v>
      </c>
      <c r="B4" s="382">
        <f>SUM(C4:D4)</f>
        <v>3693897</v>
      </c>
      <c r="C4" s="383">
        <v>2273368</v>
      </c>
      <c r="D4" s="383">
        <v>1420529</v>
      </c>
      <c r="E4" s="1538">
        <f>C4/B4</f>
        <v>0.61543892534090694</v>
      </c>
      <c r="F4" s="1539">
        <f>D4/B4</f>
        <v>0.38456107465909312</v>
      </c>
      <c r="G4" s="398">
        <v>576869</v>
      </c>
      <c r="H4" s="399">
        <v>350832</v>
      </c>
      <c r="I4" s="384">
        <v>226037</v>
      </c>
      <c r="J4" s="1536">
        <f>H4/G4</f>
        <v>0.60816580540816023</v>
      </c>
      <c r="K4" s="385">
        <f>I4/G4</f>
        <v>0.39183419459183977</v>
      </c>
      <c r="L4" s="386">
        <f>H4/C4</f>
        <v>0.15432257338011268</v>
      </c>
      <c r="M4" s="390">
        <f>I4/D4</f>
        <v>0.15912170747658091</v>
      </c>
    </row>
    <row r="5" spans="1:15" hidden="1">
      <c r="A5" s="389">
        <v>2004</v>
      </c>
      <c r="B5" s="382">
        <f t="shared" ref="B5:B11" si="0">SUM(C5:D5)</f>
        <v>3830703</v>
      </c>
      <c r="C5" s="383">
        <v>2363072</v>
      </c>
      <c r="D5" s="383">
        <v>1467631</v>
      </c>
      <c r="E5" s="1538">
        <f t="shared" ref="E5:E13" si="1">C5/B5</f>
        <v>0.61687685001943504</v>
      </c>
      <c r="F5" s="1539">
        <f t="shared" ref="F5:F13" si="2">D5/B5</f>
        <v>0.3831231499805649</v>
      </c>
      <c r="G5" s="398">
        <v>593286</v>
      </c>
      <c r="H5" s="399">
        <v>356770</v>
      </c>
      <c r="I5" s="384">
        <v>236516</v>
      </c>
      <c r="J5" s="1536">
        <f t="shared" ref="J5:J13" si="3">H5/G5</f>
        <v>0.60134572533314457</v>
      </c>
      <c r="K5" s="385">
        <f t="shared" ref="K5:K13" si="4">I5/G5</f>
        <v>0.39865427466685543</v>
      </c>
      <c r="L5" s="386">
        <f t="shared" ref="L5:M13" si="5">H5/C5</f>
        <v>0.15097720255667199</v>
      </c>
      <c r="M5" s="390">
        <f t="shared" si="5"/>
        <v>0.16115494971147379</v>
      </c>
    </row>
    <row r="6" spans="1:15">
      <c r="A6" s="389" t="s">
        <v>26</v>
      </c>
      <c r="B6" s="382">
        <f t="shared" si="0"/>
        <v>3992338</v>
      </c>
      <c r="C6" s="383">
        <v>2426609</v>
      </c>
      <c r="D6" s="383">
        <v>1565729</v>
      </c>
      <c r="E6" s="1538">
        <f t="shared" si="1"/>
        <v>0.60781652254894247</v>
      </c>
      <c r="F6" s="1539">
        <f t="shared" si="2"/>
        <v>0.39218347745105753</v>
      </c>
      <c r="G6" s="398">
        <v>626615</v>
      </c>
      <c r="H6" s="399">
        <v>386054</v>
      </c>
      <c r="I6" s="384">
        <v>240561</v>
      </c>
      <c r="J6" s="1536">
        <f t="shared" si="3"/>
        <v>0.6160944120392905</v>
      </c>
      <c r="K6" s="385">
        <f t="shared" si="4"/>
        <v>0.3839055879607095</v>
      </c>
      <c r="L6" s="386">
        <f t="shared" si="5"/>
        <v>0.15909196743274256</v>
      </c>
      <c r="M6" s="390">
        <f t="shared" si="5"/>
        <v>0.1536415305586088</v>
      </c>
    </row>
    <row r="7" spans="1:15">
      <c r="A7" s="389" t="s">
        <v>27</v>
      </c>
      <c r="B7" s="382">
        <f t="shared" si="0"/>
        <v>4073427</v>
      </c>
      <c r="C7" s="383">
        <v>2470897</v>
      </c>
      <c r="D7" s="383">
        <v>1602530</v>
      </c>
      <c r="E7" s="1538">
        <f t="shared" si="1"/>
        <v>0.60658924291511795</v>
      </c>
      <c r="F7" s="1539">
        <f t="shared" si="2"/>
        <v>0.3934107570848821</v>
      </c>
      <c r="G7" s="398">
        <v>808496</v>
      </c>
      <c r="H7" s="399">
        <v>486327</v>
      </c>
      <c r="I7" s="384">
        <v>322169</v>
      </c>
      <c r="J7" s="1536">
        <f t="shared" si="3"/>
        <v>0.60152060121509565</v>
      </c>
      <c r="K7" s="385">
        <f t="shared" si="4"/>
        <v>0.39847939878490429</v>
      </c>
      <c r="L7" s="386">
        <f t="shared" si="5"/>
        <v>0.19682204478778353</v>
      </c>
      <c r="M7" s="390">
        <f t="shared" si="5"/>
        <v>0.20103773408298128</v>
      </c>
    </row>
    <row r="8" spans="1:15">
      <c r="A8" s="389" t="s">
        <v>28</v>
      </c>
      <c r="B8" s="382">
        <f t="shared" si="0"/>
        <v>4176861</v>
      </c>
      <c r="C8" s="383">
        <v>2565530</v>
      </c>
      <c r="D8" s="383">
        <v>1611331</v>
      </c>
      <c r="E8" s="1538">
        <f t="shared" si="1"/>
        <v>0.61422441397978056</v>
      </c>
      <c r="F8" s="1539">
        <f t="shared" si="2"/>
        <v>0.3857755860202195</v>
      </c>
      <c r="G8" s="398">
        <v>913203</v>
      </c>
      <c r="H8" s="399">
        <v>549737</v>
      </c>
      <c r="I8" s="384">
        <v>363466</v>
      </c>
      <c r="J8" s="1536">
        <f t="shared" si="3"/>
        <v>0.60198772890584018</v>
      </c>
      <c r="K8" s="385">
        <f t="shared" si="4"/>
        <v>0.39801227109415976</v>
      </c>
      <c r="L8" s="386">
        <f t="shared" si="5"/>
        <v>0.2142781413587056</v>
      </c>
      <c r="M8" s="390">
        <f t="shared" si="5"/>
        <v>0.22556879995481996</v>
      </c>
    </row>
    <row r="9" spans="1:15">
      <c r="A9" s="389" t="s">
        <v>29</v>
      </c>
      <c r="B9" s="382">
        <f t="shared" si="0"/>
        <v>4246171</v>
      </c>
      <c r="C9" s="383">
        <v>2547846</v>
      </c>
      <c r="D9" s="383">
        <v>1698325</v>
      </c>
      <c r="E9" s="1538">
        <f t="shared" si="1"/>
        <v>0.60003377160269811</v>
      </c>
      <c r="F9" s="1539">
        <f t="shared" si="2"/>
        <v>0.39996622839730195</v>
      </c>
      <c r="G9" s="398">
        <v>929743</v>
      </c>
      <c r="H9" s="399">
        <v>552570</v>
      </c>
      <c r="I9" s="384">
        <v>377173</v>
      </c>
      <c r="J9" s="1536">
        <f t="shared" si="3"/>
        <v>0.59432552866759958</v>
      </c>
      <c r="K9" s="385">
        <f t="shared" si="4"/>
        <v>0.40567447133240048</v>
      </c>
      <c r="L9" s="386">
        <f t="shared" si="5"/>
        <v>0.21687731519094952</v>
      </c>
      <c r="M9" s="390">
        <f t="shared" si="5"/>
        <v>0.22208528991800744</v>
      </c>
    </row>
    <row r="10" spans="1:15">
      <c r="A10" s="389" t="s">
        <v>30</v>
      </c>
      <c r="B10" s="382">
        <f t="shared" si="0"/>
        <v>4201485</v>
      </c>
      <c r="C10" s="383">
        <v>2624690</v>
      </c>
      <c r="D10" s="383">
        <v>1576795</v>
      </c>
      <c r="E10" s="1538">
        <f t="shared" si="1"/>
        <v>0.62470531252640438</v>
      </c>
      <c r="F10" s="1539">
        <f t="shared" si="2"/>
        <v>0.37529468747359562</v>
      </c>
      <c r="G10" s="398">
        <v>1118293</v>
      </c>
      <c r="H10" s="399">
        <v>634008</v>
      </c>
      <c r="I10" s="384">
        <v>484285</v>
      </c>
      <c r="J10" s="1536">
        <f t="shared" si="3"/>
        <v>0.56694265277525657</v>
      </c>
      <c r="K10" s="385">
        <f t="shared" si="4"/>
        <v>0.43305734722474343</v>
      </c>
      <c r="L10" s="386">
        <f t="shared" si="5"/>
        <v>0.24155538368340643</v>
      </c>
      <c r="M10" s="390">
        <f t="shared" si="5"/>
        <v>0.30713250612793674</v>
      </c>
    </row>
    <row r="11" spans="1:15">
      <c r="A11" s="389" t="s">
        <v>183</v>
      </c>
      <c r="B11" s="382">
        <f t="shared" si="0"/>
        <v>4368912</v>
      </c>
      <c r="C11" s="383">
        <v>2686681</v>
      </c>
      <c r="D11" s="383">
        <v>1682231</v>
      </c>
      <c r="E11" s="1538">
        <f t="shared" si="1"/>
        <v>0.61495424947904653</v>
      </c>
      <c r="F11" s="1539">
        <f t="shared" si="2"/>
        <v>0.38504575052095352</v>
      </c>
      <c r="G11" s="398">
        <v>1189601</v>
      </c>
      <c r="H11" s="399">
        <v>675015</v>
      </c>
      <c r="I11" s="384">
        <v>514586</v>
      </c>
      <c r="J11" s="1536">
        <f t="shared" si="3"/>
        <v>0.56742975165622755</v>
      </c>
      <c r="K11" s="385">
        <f t="shared" si="4"/>
        <v>0.43257024834377239</v>
      </c>
      <c r="L11" s="386">
        <f t="shared" si="5"/>
        <v>0.25124493752700822</v>
      </c>
      <c r="M11" s="390">
        <f t="shared" si="5"/>
        <v>0.305894969240253</v>
      </c>
    </row>
    <row r="12" spans="1:15">
      <c r="A12" s="389" t="s">
        <v>223</v>
      </c>
      <c r="B12" s="382">
        <f>SUM(C12:D12)</f>
        <v>4601758</v>
      </c>
      <c r="C12" s="383">
        <v>2782416</v>
      </c>
      <c r="D12" s="383">
        <v>1819342</v>
      </c>
      <c r="E12" s="1538">
        <f t="shared" si="1"/>
        <v>0.60464196509247115</v>
      </c>
      <c r="F12" s="1539">
        <f t="shared" si="2"/>
        <v>0.3953580349075288</v>
      </c>
      <c r="G12" s="398">
        <f>+H12+I12</f>
        <v>1242780</v>
      </c>
      <c r="H12" s="399">
        <v>702422</v>
      </c>
      <c r="I12" s="384">
        <v>540358</v>
      </c>
      <c r="J12" s="1536">
        <f t="shared" si="3"/>
        <v>0.56520220795313736</v>
      </c>
      <c r="K12" s="385">
        <f t="shared" si="4"/>
        <v>0.4347977920468627</v>
      </c>
      <c r="L12" s="386">
        <f t="shared" si="5"/>
        <v>0.25245038843939943</v>
      </c>
      <c r="M12" s="390">
        <f t="shared" si="5"/>
        <v>0.29700737959108292</v>
      </c>
    </row>
    <row r="13" spans="1:15">
      <c r="A13" s="389" t="s">
        <v>456</v>
      </c>
      <c r="B13" s="382">
        <f>SUM(C13:D13)</f>
        <v>4689622</v>
      </c>
      <c r="C13" s="383">
        <v>2791393</v>
      </c>
      <c r="D13" s="383">
        <v>1898229</v>
      </c>
      <c r="E13" s="1538">
        <f t="shared" si="1"/>
        <v>0.59522771771370908</v>
      </c>
      <c r="F13" s="1539">
        <f t="shared" si="2"/>
        <v>0.40477228228629086</v>
      </c>
      <c r="G13" s="398">
        <f>+H13+I13</f>
        <v>1291137</v>
      </c>
      <c r="H13" s="399">
        <v>726141</v>
      </c>
      <c r="I13" s="384">
        <v>564996</v>
      </c>
      <c r="J13" s="1536">
        <f t="shared" si="3"/>
        <v>0.56240429946628434</v>
      </c>
      <c r="K13" s="385">
        <f t="shared" si="4"/>
        <v>0.43759570053371566</v>
      </c>
      <c r="L13" s="386">
        <f t="shared" si="5"/>
        <v>0.26013571002005093</v>
      </c>
      <c r="M13" s="390">
        <f t="shared" si="5"/>
        <v>0.29764375109641672</v>
      </c>
      <c r="O13" s="971"/>
    </row>
    <row r="14" spans="1:15">
      <c r="A14" s="389" t="s">
        <v>530</v>
      </c>
      <c r="B14" s="382">
        <f>SUM(C14:D14)</f>
        <v>4728655</v>
      </c>
      <c r="C14" s="383">
        <v>2845650</v>
      </c>
      <c r="D14" s="383">
        <v>1883005</v>
      </c>
      <c r="E14" s="1538">
        <f>C14/B14</f>
        <v>0.60178845781728629</v>
      </c>
      <c r="F14" s="1539">
        <f>D14/B14</f>
        <v>0.39821154218271371</v>
      </c>
      <c r="G14" s="398">
        <f>+H14+I14</f>
        <v>1376966</v>
      </c>
      <c r="H14" s="399">
        <v>770060</v>
      </c>
      <c r="I14" s="384">
        <v>606906</v>
      </c>
      <c r="J14" s="1536">
        <f>H14/G14</f>
        <v>0.55924401909705834</v>
      </c>
      <c r="K14" s="385">
        <f>I14/G14</f>
        <v>0.44075598090294166</v>
      </c>
      <c r="L14" s="386">
        <f>H14/C14</f>
        <v>0.27060952682164002</v>
      </c>
      <c r="M14" s="390">
        <f>I14/D14</f>
        <v>0.3223071632842186</v>
      </c>
      <c r="N14" s="380"/>
      <c r="O14" s="1927"/>
    </row>
    <row r="15" spans="1:15">
      <c r="A15" s="389" t="s">
        <v>542</v>
      </c>
      <c r="B15" s="382">
        <v>4486359</v>
      </c>
      <c r="C15" s="383">
        <v>2802258</v>
      </c>
      <c r="D15" s="383">
        <v>1684101</v>
      </c>
      <c r="E15" s="1538">
        <v>0.6246174236167904</v>
      </c>
      <c r="F15" s="1539">
        <v>0.37538257638320965</v>
      </c>
      <c r="G15" s="398">
        <v>1508392</v>
      </c>
      <c r="H15" s="399">
        <v>835620</v>
      </c>
      <c r="I15" s="384">
        <v>672772</v>
      </c>
      <c r="J15" s="1536">
        <v>0.55398066285156644</v>
      </c>
      <c r="K15" s="385">
        <v>0.44601933714843356</v>
      </c>
      <c r="L15" s="386">
        <v>0.29819524112340834</v>
      </c>
      <c r="M15" s="390">
        <v>0.39948435396689391</v>
      </c>
      <c r="N15" s="380"/>
      <c r="O15" s="1927"/>
    </row>
    <row r="16" spans="1:15">
      <c r="A16" s="389" t="s">
        <v>953</v>
      </c>
      <c r="B16" s="382">
        <v>5012107</v>
      </c>
      <c r="C16" s="383">
        <v>2965545</v>
      </c>
      <c r="D16" s="383">
        <v>2046562</v>
      </c>
      <c r="E16" s="1538">
        <v>0.59167631497092943</v>
      </c>
      <c r="F16" s="1539">
        <v>0.40832368502907063</v>
      </c>
      <c r="G16" s="398">
        <v>1617107</v>
      </c>
      <c r="H16" s="399">
        <v>892937</v>
      </c>
      <c r="I16" s="384">
        <v>724170</v>
      </c>
      <c r="J16" s="1536">
        <v>0.55218176657450624</v>
      </c>
      <c r="K16" s="385">
        <v>0.44781823342549382</v>
      </c>
      <c r="L16" s="386">
        <v>0.30110384431866655</v>
      </c>
      <c r="M16" s="390">
        <v>0.35384708599104253</v>
      </c>
      <c r="N16" s="380"/>
      <c r="O16" s="971"/>
    </row>
    <row r="17" spans="1:15">
      <c r="A17" s="389" t="s">
        <v>1003</v>
      </c>
      <c r="B17" s="391">
        <f>+C17+D17</f>
        <v>5012107</v>
      </c>
      <c r="C17" s="392">
        <v>2965545</v>
      </c>
      <c r="D17" s="392">
        <v>2046562</v>
      </c>
      <c r="E17" s="1540">
        <f>C17/B17</f>
        <v>0.59167631497092943</v>
      </c>
      <c r="F17" s="1541">
        <f>D17/B17</f>
        <v>0.40832368502907063</v>
      </c>
      <c r="G17" s="400">
        <f>+H17+I17</f>
        <v>1646516</v>
      </c>
      <c r="H17" s="401">
        <v>914140</v>
      </c>
      <c r="I17" s="393">
        <v>732376</v>
      </c>
      <c r="J17" s="1537">
        <f>H17/G17</f>
        <v>0.55519654834814847</v>
      </c>
      <c r="K17" s="394">
        <f>I17/G17</f>
        <v>0.44480345165185153</v>
      </c>
      <c r="L17" s="395">
        <f>H17/C17</f>
        <v>0.30825362623059166</v>
      </c>
      <c r="M17" s="396">
        <f>I17/D17</f>
        <v>0.35785673729894329</v>
      </c>
      <c r="N17" s="380"/>
      <c r="O17" s="971"/>
    </row>
    <row r="18" spans="1:15" ht="12.75" customHeight="1">
      <c r="A18" s="2127" t="s">
        <v>926</v>
      </c>
      <c r="B18" s="2127"/>
      <c r="C18" s="2127"/>
      <c r="D18" s="2127"/>
      <c r="E18" s="2127"/>
      <c r="F18" s="2127"/>
      <c r="G18" s="2127"/>
      <c r="H18" s="2127"/>
      <c r="I18" s="2127"/>
      <c r="J18" s="2127"/>
      <c r="K18" s="2127"/>
      <c r="L18" s="2127"/>
      <c r="M18" s="2127"/>
      <c r="O18" s="971"/>
    </row>
    <row r="19" spans="1:15">
      <c r="O19" s="971"/>
    </row>
    <row r="20" spans="1:15">
      <c r="N20" s="205" t="s">
        <v>201</v>
      </c>
      <c r="O20" s="1397"/>
    </row>
    <row r="26" spans="1:15">
      <c r="A26" s="206"/>
      <c r="B26" s="206">
        <f>AVERAGE(F4:F12)</f>
        <v>0.38830208294391078</v>
      </c>
    </row>
  </sheetData>
  <mergeCells count="2">
    <mergeCell ref="A1:N1"/>
    <mergeCell ref="A18:M18"/>
  </mergeCells>
  <pageMargins left="0.7" right="0.7" top="0.75" bottom="0.75" header="0.3" footer="0.3"/>
  <pageSetup scale="8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47"/>
  <sheetViews>
    <sheetView showGridLines="0" view="pageBreakPreview" zoomScale="70" zoomScaleNormal="70" zoomScaleSheetLayoutView="70" workbookViewId="0">
      <pane ySplit="1" topLeftCell="A2" activePane="bottomLeft" state="frozen"/>
      <selection pane="bottomLeft" activeCell="J10" sqref="J10"/>
    </sheetView>
  </sheetViews>
  <sheetFormatPr baseColWidth="10" defaultColWidth="11.42578125" defaultRowHeight="15"/>
  <cols>
    <col min="1" max="1" width="11.42578125" style="77"/>
    <col min="2" max="2" width="13.28515625" style="77" customWidth="1"/>
    <col min="3" max="3" width="12.42578125" style="77" customWidth="1"/>
    <col min="4" max="4" width="14.42578125" style="77" customWidth="1"/>
    <col min="5" max="5" width="15" style="77" customWidth="1"/>
    <col min="6" max="6" width="18" style="77" customWidth="1"/>
    <col min="7" max="7" width="14.140625" style="77" customWidth="1"/>
    <col min="8" max="8" width="11.42578125" style="77"/>
    <col min="9" max="9" width="20.42578125" style="77" customWidth="1"/>
    <col min="10" max="10" width="19.7109375" style="77" customWidth="1"/>
    <col min="11" max="15" width="11.42578125" style="77"/>
    <col min="16" max="16" width="17.5703125" style="77" customWidth="1"/>
    <col min="17" max="18" width="11.42578125" style="77"/>
    <col min="19" max="19" width="20.42578125" style="77" bestFit="1" customWidth="1"/>
    <col min="20" max="20" width="21.85546875" style="77" bestFit="1" customWidth="1"/>
    <col min="21" max="21" width="19.7109375" style="77" bestFit="1" customWidth="1"/>
    <col min="22" max="22" width="21" style="77" bestFit="1" customWidth="1"/>
    <col min="23" max="23" width="10.42578125" style="77" customWidth="1"/>
    <col min="24" max="16384" width="11.42578125" style="77"/>
  </cols>
  <sheetData>
    <row r="1" spans="1:24" ht="82.5" customHeight="1">
      <c r="A1" s="2114"/>
      <c r="B1" s="2114"/>
      <c r="C1" s="2114"/>
      <c r="D1" s="2114"/>
      <c r="E1" s="2114"/>
      <c r="F1" s="2114"/>
      <c r="G1" s="2114"/>
      <c r="H1" s="2114"/>
      <c r="I1" s="2114"/>
      <c r="J1" s="2114"/>
      <c r="K1" s="2114"/>
      <c r="L1" s="2114"/>
      <c r="M1" s="2114"/>
      <c r="N1" s="1004"/>
      <c r="O1" s="1004"/>
    </row>
    <row r="2" spans="1:24" ht="3" hidden="1" customHeight="1"/>
    <row r="3" spans="1:24" ht="8.25" customHeight="1"/>
    <row r="4" spans="1:24" ht="22.5" customHeight="1">
      <c r="A4" s="2128" t="s">
        <v>144</v>
      </c>
      <c r="B4" s="2130" t="s">
        <v>496</v>
      </c>
      <c r="C4" s="2131"/>
      <c r="D4" s="2132"/>
      <c r="E4" s="2131" t="s">
        <v>37</v>
      </c>
      <c r="F4" s="2131"/>
      <c r="G4" s="2132"/>
      <c r="T4" s="77">
        <f>+-1</f>
        <v>-1</v>
      </c>
    </row>
    <row r="5" spans="1:24" ht="24.75" customHeight="1">
      <c r="A5" s="2129"/>
      <c r="B5" s="1722" t="s">
        <v>41</v>
      </c>
      <c r="C5" s="1723" t="s">
        <v>42</v>
      </c>
      <c r="D5" s="1701" t="s">
        <v>23</v>
      </c>
      <c r="E5" s="1723" t="s">
        <v>41</v>
      </c>
      <c r="F5" s="1723" t="s">
        <v>42</v>
      </c>
      <c r="G5" s="1701" t="s">
        <v>23</v>
      </c>
    </row>
    <row r="6" spans="1:24">
      <c r="A6" s="1725">
        <v>37986</v>
      </c>
      <c r="B6" s="1726">
        <v>568158</v>
      </c>
      <c r="C6" s="1724">
        <v>418380</v>
      </c>
      <c r="D6" s="1727">
        <f t="shared" ref="D6:D19" si="0">+C6+B6</f>
        <v>986538</v>
      </c>
      <c r="E6" s="1724">
        <v>350832</v>
      </c>
      <c r="F6" s="1724">
        <v>226037</v>
      </c>
      <c r="G6" s="1727">
        <f>+F6+E6</f>
        <v>576869</v>
      </c>
      <c r="H6" s="18"/>
      <c r="I6" s="18"/>
      <c r="W6" s="402"/>
      <c r="X6" s="402"/>
    </row>
    <row r="7" spans="1:24">
      <c r="A7" s="406">
        <v>38352</v>
      </c>
      <c r="B7" s="408">
        <v>685676</v>
      </c>
      <c r="C7" s="404">
        <v>504526</v>
      </c>
      <c r="D7" s="1728">
        <f t="shared" si="0"/>
        <v>1190202</v>
      </c>
      <c r="E7" s="404">
        <v>356770</v>
      </c>
      <c r="F7" s="404">
        <v>236516</v>
      </c>
      <c r="G7" s="1728">
        <f t="shared" ref="G7:G16" si="1">+F7+E7</f>
        <v>593286</v>
      </c>
      <c r="H7" s="18"/>
      <c r="I7" s="18"/>
      <c r="W7" s="403"/>
      <c r="X7" s="92"/>
    </row>
    <row r="8" spans="1:24" ht="16.5" customHeight="1">
      <c r="A8" s="406">
        <v>38717</v>
      </c>
      <c r="B8" s="408">
        <v>828566</v>
      </c>
      <c r="C8" s="404">
        <v>600955</v>
      </c>
      <c r="D8" s="1728">
        <f t="shared" si="0"/>
        <v>1429521</v>
      </c>
      <c r="E8" s="404">
        <v>386054</v>
      </c>
      <c r="F8" s="404">
        <v>240561</v>
      </c>
      <c r="G8" s="1728">
        <f t="shared" si="1"/>
        <v>626615</v>
      </c>
      <c r="H8" s="18"/>
      <c r="I8" s="18"/>
      <c r="P8" s="264"/>
      <c r="W8" s="403"/>
      <c r="X8" s="92"/>
    </row>
    <row r="9" spans="1:24">
      <c r="A9" s="406">
        <v>39082</v>
      </c>
      <c r="B9" s="408">
        <v>930043</v>
      </c>
      <c r="C9" s="404">
        <v>658578</v>
      </c>
      <c r="D9" s="1728">
        <f t="shared" si="0"/>
        <v>1588621</v>
      </c>
      <c r="E9" s="404">
        <v>486327</v>
      </c>
      <c r="F9" s="404">
        <v>322169</v>
      </c>
      <c r="G9" s="1728">
        <f t="shared" si="1"/>
        <v>808496</v>
      </c>
      <c r="H9" s="18"/>
      <c r="I9" s="18"/>
      <c r="P9" s="264"/>
      <c r="W9" s="403"/>
      <c r="X9" s="92"/>
    </row>
    <row r="10" spans="1:24">
      <c r="A10" s="406">
        <v>39417</v>
      </c>
      <c r="B10" s="408">
        <v>1055907</v>
      </c>
      <c r="C10" s="404">
        <v>741120</v>
      </c>
      <c r="D10" s="1728">
        <f t="shared" si="0"/>
        <v>1797027</v>
      </c>
      <c r="E10" s="404">
        <v>549737</v>
      </c>
      <c r="F10" s="404">
        <v>363466</v>
      </c>
      <c r="G10" s="1728">
        <f t="shared" si="1"/>
        <v>913203</v>
      </c>
      <c r="H10" s="18"/>
      <c r="I10" s="18"/>
      <c r="J10" s="144"/>
      <c r="P10" s="264"/>
      <c r="W10" s="403"/>
      <c r="X10" s="92"/>
    </row>
    <row r="11" spans="1:24">
      <c r="A11" s="406">
        <v>39783</v>
      </c>
      <c r="B11" s="408">
        <v>1165631</v>
      </c>
      <c r="C11" s="404">
        <v>818089</v>
      </c>
      <c r="D11" s="1728">
        <f t="shared" si="0"/>
        <v>1983720</v>
      </c>
      <c r="E11" s="404">
        <v>552570</v>
      </c>
      <c r="F11" s="404">
        <v>377173</v>
      </c>
      <c r="G11" s="1728">
        <f t="shared" si="1"/>
        <v>929743</v>
      </c>
      <c r="H11" s="18"/>
      <c r="I11" s="18"/>
      <c r="J11" s="209"/>
      <c r="K11" s="77" t="s">
        <v>31</v>
      </c>
      <c r="P11" s="264"/>
      <c r="W11" s="403"/>
      <c r="X11" s="92"/>
    </row>
    <row r="12" spans="1:24">
      <c r="A12" s="406">
        <v>40148</v>
      </c>
      <c r="B12" s="408">
        <v>1281904</v>
      </c>
      <c r="C12" s="404">
        <v>911986</v>
      </c>
      <c r="D12" s="1728">
        <f t="shared" si="0"/>
        <v>2193890</v>
      </c>
      <c r="E12" s="404">
        <v>634008</v>
      </c>
      <c r="F12" s="404">
        <v>484285</v>
      </c>
      <c r="G12" s="1728">
        <f t="shared" si="1"/>
        <v>1118293</v>
      </c>
      <c r="H12" s="18"/>
      <c r="I12" s="18"/>
      <c r="W12" s="403"/>
      <c r="X12" s="92"/>
    </row>
    <row r="13" spans="1:24">
      <c r="A13" s="406">
        <v>40513</v>
      </c>
      <c r="B13" s="408">
        <v>1383536</v>
      </c>
      <c r="C13" s="404">
        <v>991247</v>
      </c>
      <c r="D13" s="1728">
        <f t="shared" si="0"/>
        <v>2374783</v>
      </c>
      <c r="E13" s="404">
        <v>675015</v>
      </c>
      <c r="F13" s="404">
        <v>514586</v>
      </c>
      <c r="G13" s="1728">
        <f t="shared" si="1"/>
        <v>1189601</v>
      </c>
      <c r="H13" s="18"/>
      <c r="I13" s="18"/>
      <c r="W13" s="403"/>
      <c r="X13" s="92"/>
    </row>
    <row r="14" spans="1:24">
      <c r="A14" s="406">
        <v>40878</v>
      </c>
      <c r="B14" s="408">
        <v>1480731</v>
      </c>
      <c r="C14" s="404">
        <v>1072243</v>
      </c>
      <c r="D14" s="1728">
        <f t="shared" si="0"/>
        <v>2552974</v>
      </c>
      <c r="E14" s="404">
        <v>702422</v>
      </c>
      <c r="F14" s="404">
        <v>540358</v>
      </c>
      <c r="G14" s="1728">
        <f t="shared" si="1"/>
        <v>1242780</v>
      </c>
      <c r="H14" s="18"/>
      <c r="I14" s="18"/>
      <c r="W14" s="403"/>
      <c r="X14" s="92"/>
    </row>
    <row r="15" spans="1:24">
      <c r="A15" s="406">
        <v>41244</v>
      </c>
      <c r="B15" s="408">
        <v>1570504</v>
      </c>
      <c r="C15" s="404">
        <v>1143945</v>
      </c>
      <c r="D15" s="1728">
        <f t="shared" si="0"/>
        <v>2714449</v>
      </c>
      <c r="E15" s="404">
        <v>726141</v>
      </c>
      <c r="F15" s="404">
        <v>564996</v>
      </c>
      <c r="G15" s="1728">
        <f t="shared" si="1"/>
        <v>1291137</v>
      </c>
      <c r="H15" s="18"/>
      <c r="I15" s="18"/>
      <c r="W15" s="403"/>
      <c r="X15" s="92"/>
    </row>
    <row r="16" spans="1:24">
      <c r="A16" s="406">
        <v>41609</v>
      </c>
      <c r="B16" s="408">
        <v>1661097</v>
      </c>
      <c r="C16" s="404">
        <v>1220033</v>
      </c>
      <c r="D16" s="1728">
        <f t="shared" si="0"/>
        <v>2881130</v>
      </c>
      <c r="E16" s="404">
        <v>770060</v>
      </c>
      <c r="F16" s="404">
        <v>606906</v>
      </c>
      <c r="G16" s="1728">
        <f t="shared" si="1"/>
        <v>1376966</v>
      </c>
      <c r="H16" s="18"/>
      <c r="I16" s="18"/>
      <c r="W16" s="403"/>
      <c r="X16" s="92"/>
    </row>
    <row r="17" spans="1:24">
      <c r="A17" s="406">
        <v>41974</v>
      </c>
      <c r="B17" s="408">
        <v>1759926</v>
      </c>
      <c r="C17" s="404">
        <v>1309974</v>
      </c>
      <c r="D17" s="1728">
        <f t="shared" si="0"/>
        <v>3069900</v>
      </c>
      <c r="E17" s="404">
        <v>835620</v>
      </c>
      <c r="F17" s="404">
        <v>672772</v>
      </c>
      <c r="G17" s="1728">
        <f>+F17+E17</f>
        <v>1508392</v>
      </c>
      <c r="W17" s="403"/>
      <c r="X17" s="92"/>
    </row>
    <row r="18" spans="1:24">
      <c r="A18" s="406" t="s">
        <v>955</v>
      </c>
      <c r="B18" s="408">
        <v>1864734</v>
      </c>
      <c r="C18" s="404">
        <v>1405023</v>
      </c>
      <c r="D18" s="1728">
        <f t="shared" ref="D18" si="2">+C18+B18</f>
        <v>3269757</v>
      </c>
      <c r="E18" s="404">
        <v>892937</v>
      </c>
      <c r="F18" s="404">
        <v>724170</v>
      </c>
      <c r="G18" s="1728">
        <f>+F18+E18</f>
        <v>1617107</v>
      </c>
    </row>
    <row r="19" spans="1:24">
      <c r="A19" s="407">
        <v>42476</v>
      </c>
      <c r="B19" s="409">
        <v>1898487</v>
      </c>
      <c r="C19" s="405">
        <v>1435039</v>
      </c>
      <c r="D19" s="1729">
        <f t="shared" si="0"/>
        <v>3333526</v>
      </c>
      <c r="E19" s="405">
        <v>914140</v>
      </c>
      <c r="F19" s="405">
        <v>732376</v>
      </c>
      <c r="G19" s="1729">
        <f>+F19+E19</f>
        <v>1646516</v>
      </c>
    </row>
    <row r="21" spans="1:24">
      <c r="A21" s="47"/>
      <c r="B21" s="47"/>
      <c r="C21" s="47"/>
      <c r="D21" s="47"/>
      <c r="E21" s="47"/>
      <c r="F21" s="47"/>
      <c r="G21" s="47"/>
      <c r="H21" s="94"/>
      <c r="I21" s="94"/>
      <c r="P21" s="1205"/>
      <c r="Q21" s="1205"/>
    </row>
    <row r="22" spans="1:24">
      <c r="A22" s="1888"/>
      <c r="B22" s="81"/>
      <c r="C22" s="81"/>
      <c r="D22" s="81"/>
      <c r="E22" s="81"/>
      <c r="F22" s="81"/>
      <c r="G22" s="81"/>
      <c r="H22" s="81"/>
      <c r="I22" s="94"/>
      <c r="P22" s="1204"/>
      <c r="Q22" s="1204"/>
    </row>
    <row r="23" spans="1:24">
      <c r="A23" s="1888"/>
      <c r="B23" s="1889"/>
      <c r="C23" s="1889"/>
      <c r="D23" s="1889"/>
      <c r="E23" s="1889"/>
      <c r="F23" s="97"/>
      <c r="G23" s="81"/>
      <c r="H23" s="81"/>
      <c r="I23" s="94"/>
    </row>
    <row r="24" spans="1:24">
      <c r="A24" s="1888"/>
      <c r="B24" s="1889"/>
      <c r="C24" s="1889"/>
      <c r="D24" s="1889"/>
      <c r="E24" s="1889"/>
      <c r="F24" s="97"/>
      <c r="G24" s="81"/>
      <c r="H24" s="81"/>
      <c r="I24" s="94"/>
    </row>
    <row r="25" spans="1:24" ht="25.5">
      <c r="A25" s="1229" t="s">
        <v>144</v>
      </c>
      <c r="B25" s="1202" t="s">
        <v>497</v>
      </c>
      <c r="C25" s="1202" t="s">
        <v>499</v>
      </c>
      <c r="D25" s="1202" t="s">
        <v>500</v>
      </c>
      <c r="E25" s="1202" t="s">
        <v>498</v>
      </c>
      <c r="F25" s="97"/>
      <c r="G25" s="81"/>
      <c r="H25" s="81"/>
      <c r="I25" s="94"/>
    </row>
    <row r="26" spans="1:24">
      <c r="A26" s="1229">
        <f t="shared" ref="A26:B39" si="3">+A6</f>
        <v>37986</v>
      </c>
      <c r="B26" s="1203">
        <f t="shared" si="3"/>
        <v>568158</v>
      </c>
      <c r="C26" s="1203">
        <f t="shared" ref="C26:C37" si="4">+E6</f>
        <v>350832</v>
      </c>
      <c r="D26" s="1203">
        <f t="shared" ref="D26:D37" si="5">+C6*$T$4</f>
        <v>-418380</v>
      </c>
      <c r="E26" s="1203">
        <f t="shared" ref="E26:E37" si="6">+$T$4*F6</f>
        <v>-226037</v>
      </c>
      <c r="F26" s="97"/>
      <c r="G26" s="81"/>
      <c r="H26" s="81"/>
      <c r="I26" s="94"/>
    </row>
    <row r="27" spans="1:24">
      <c r="A27" s="1229">
        <f t="shared" si="3"/>
        <v>38352</v>
      </c>
      <c r="B27" s="1203">
        <f t="shared" si="3"/>
        <v>685676</v>
      </c>
      <c r="C27" s="1203">
        <f t="shared" si="4"/>
        <v>356770</v>
      </c>
      <c r="D27" s="1203">
        <f t="shared" si="5"/>
        <v>-504526</v>
      </c>
      <c r="E27" s="1203">
        <f t="shared" si="6"/>
        <v>-236516</v>
      </c>
      <c r="F27" s="97"/>
      <c r="G27" s="81"/>
      <c r="H27" s="81"/>
      <c r="I27" s="94"/>
    </row>
    <row r="28" spans="1:24">
      <c r="A28" s="1229">
        <f t="shared" si="3"/>
        <v>38717</v>
      </c>
      <c r="B28" s="1203">
        <f t="shared" si="3"/>
        <v>828566</v>
      </c>
      <c r="C28" s="1203">
        <f t="shared" si="4"/>
        <v>386054</v>
      </c>
      <c r="D28" s="1203">
        <f t="shared" si="5"/>
        <v>-600955</v>
      </c>
      <c r="E28" s="1203">
        <f t="shared" si="6"/>
        <v>-240561</v>
      </c>
      <c r="F28" s="97"/>
      <c r="G28" s="81"/>
      <c r="H28" s="81"/>
      <c r="I28" s="94"/>
    </row>
    <row r="29" spans="1:24">
      <c r="A29" s="1229">
        <f t="shared" si="3"/>
        <v>39082</v>
      </c>
      <c r="B29" s="1203">
        <f t="shared" si="3"/>
        <v>930043</v>
      </c>
      <c r="C29" s="1203">
        <f t="shared" si="4"/>
        <v>486327</v>
      </c>
      <c r="D29" s="1203">
        <f t="shared" si="5"/>
        <v>-658578</v>
      </c>
      <c r="E29" s="1203">
        <f t="shared" si="6"/>
        <v>-322169</v>
      </c>
      <c r="F29" s="97"/>
      <c r="G29" s="81"/>
      <c r="H29" s="81"/>
      <c r="I29" s="94"/>
    </row>
    <row r="30" spans="1:24">
      <c r="A30" s="1229">
        <f t="shared" si="3"/>
        <v>39417</v>
      </c>
      <c r="B30" s="1203">
        <f t="shared" si="3"/>
        <v>1055907</v>
      </c>
      <c r="C30" s="1203">
        <f t="shared" si="4"/>
        <v>549737</v>
      </c>
      <c r="D30" s="1203">
        <f t="shared" si="5"/>
        <v>-741120</v>
      </c>
      <c r="E30" s="1203">
        <f t="shared" si="6"/>
        <v>-363466</v>
      </c>
      <c r="F30" s="97"/>
      <c r="G30" s="81"/>
      <c r="H30" s="81"/>
      <c r="I30" s="94"/>
    </row>
    <row r="31" spans="1:24">
      <c r="A31" s="1229">
        <f t="shared" si="3"/>
        <v>39783</v>
      </c>
      <c r="B31" s="1203">
        <f t="shared" si="3"/>
        <v>1165631</v>
      </c>
      <c r="C31" s="1203">
        <f t="shared" si="4"/>
        <v>552570</v>
      </c>
      <c r="D31" s="1203">
        <f t="shared" si="5"/>
        <v>-818089</v>
      </c>
      <c r="E31" s="1203">
        <f t="shared" si="6"/>
        <v>-377173</v>
      </c>
      <c r="F31" s="97"/>
      <c r="G31" s="81"/>
      <c r="H31" s="81"/>
      <c r="I31" s="94"/>
    </row>
    <row r="32" spans="1:24">
      <c r="A32" s="1229">
        <f t="shared" si="3"/>
        <v>40148</v>
      </c>
      <c r="B32" s="1203">
        <f t="shared" si="3"/>
        <v>1281904</v>
      </c>
      <c r="C32" s="1203">
        <f t="shared" si="4"/>
        <v>634008</v>
      </c>
      <c r="D32" s="1203">
        <f t="shared" si="5"/>
        <v>-911986</v>
      </c>
      <c r="E32" s="1203">
        <f t="shared" si="6"/>
        <v>-484285</v>
      </c>
      <c r="F32" s="97"/>
      <c r="G32" s="81"/>
      <c r="H32" s="81"/>
      <c r="I32" s="94"/>
    </row>
    <row r="33" spans="1:9">
      <c r="A33" s="1229">
        <f t="shared" si="3"/>
        <v>40513</v>
      </c>
      <c r="B33" s="1203">
        <f t="shared" si="3"/>
        <v>1383536</v>
      </c>
      <c r="C33" s="1203">
        <f t="shared" si="4"/>
        <v>675015</v>
      </c>
      <c r="D33" s="1203">
        <f t="shared" si="5"/>
        <v>-991247</v>
      </c>
      <c r="E33" s="1203">
        <f t="shared" si="6"/>
        <v>-514586</v>
      </c>
      <c r="F33" s="97"/>
      <c r="G33" s="81"/>
      <c r="H33" s="81"/>
      <c r="I33" s="94"/>
    </row>
    <row r="34" spans="1:9">
      <c r="A34" s="1229">
        <f t="shared" si="3"/>
        <v>40878</v>
      </c>
      <c r="B34" s="1203">
        <f t="shared" si="3"/>
        <v>1480731</v>
      </c>
      <c r="C34" s="1203">
        <f t="shared" si="4"/>
        <v>702422</v>
      </c>
      <c r="D34" s="1203">
        <f t="shared" si="5"/>
        <v>-1072243</v>
      </c>
      <c r="E34" s="1203">
        <f t="shared" si="6"/>
        <v>-540358</v>
      </c>
      <c r="F34" s="97"/>
      <c r="G34" s="81"/>
      <c r="H34" s="81"/>
      <c r="I34" s="94"/>
    </row>
    <row r="35" spans="1:9">
      <c r="A35" s="1229">
        <f t="shared" si="3"/>
        <v>41244</v>
      </c>
      <c r="B35" s="1203">
        <f t="shared" si="3"/>
        <v>1570504</v>
      </c>
      <c r="C35" s="1203">
        <f t="shared" si="4"/>
        <v>726141</v>
      </c>
      <c r="D35" s="1203">
        <f t="shared" si="5"/>
        <v>-1143945</v>
      </c>
      <c r="E35" s="1203">
        <f t="shared" si="6"/>
        <v>-564996</v>
      </c>
      <c r="F35" s="97"/>
      <c r="G35" s="81"/>
      <c r="H35" s="81"/>
      <c r="I35" s="94"/>
    </row>
    <row r="36" spans="1:9">
      <c r="A36" s="1229">
        <f t="shared" si="3"/>
        <v>41609</v>
      </c>
      <c r="B36" s="1203">
        <f t="shared" si="3"/>
        <v>1661097</v>
      </c>
      <c r="C36" s="1203">
        <f t="shared" si="4"/>
        <v>770060</v>
      </c>
      <c r="D36" s="1203">
        <f t="shared" si="5"/>
        <v>-1220033</v>
      </c>
      <c r="E36" s="1203">
        <f t="shared" si="6"/>
        <v>-606906</v>
      </c>
      <c r="F36" s="97"/>
      <c r="G36" s="81"/>
      <c r="H36" s="81"/>
      <c r="I36" s="94"/>
    </row>
    <row r="37" spans="1:9">
      <c r="A37" s="1229">
        <f>+A17</f>
        <v>41974</v>
      </c>
      <c r="B37" s="1203">
        <f t="shared" si="3"/>
        <v>1759926</v>
      </c>
      <c r="C37" s="1203">
        <f t="shared" si="4"/>
        <v>835620</v>
      </c>
      <c r="D37" s="1203">
        <f t="shared" si="5"/>
        <v>-1309974</v>
      </c>
      <c r="E37" s="1203">
        <f t="shared" si="6"/>
        <v>-672772</v>
      </c>
      <c r="F37" s="97"/>
      <c r="G37" s="81"/>
      <c r="H37" s="81"/>
      <c r="I37" s="94"/>
    </row>
    <row r="38" spans="1:9">
      <c r="A38" s="1229" t="str">
        <f>+A18</f>
        <v>Dic-15</v>
      </c>
      <c r="B38" s="1203">
        <f t="shared" si="3"/>
        <v>1864734</v>
      </c>
      <c r="C38" s="1203">
        <f t="shared" ref="C38:C39" si="7">+E18</f>
        <v>892937</v>
      </c>
      <c r="D38" s="1203">
        <f t="shared" ref="D38:D39" si="8">+C18*$T$4</f>
        <v>-1405023</v>
      </c>
      <c r="E38" s="1203">
        <f t="shared" ref="E38:E39" si="9">+$T$4*F18</f>
        <v>-724170</v>
      </c>
      <c r="F38" s="97"/>
      <c r="G38" s="81"/>
      <c r="H38" s="81"/>
      <c r="I38" s="94"/>
    </row>
    <row r="39" spans="1:9">
      <c r="A39" s="1229">
        <f>+A19</f>
        <v>42476</v>
      </c>
      <c r="B39" s="1203">
        <f t="shared" si="3"/>
        <v>1898487</v>
      </c>
      <c r="C39" s="1203">
        <f t="shared" si="7"/>
        <v>914140</v>
      </c>
      <c r="D39" s="1203">
        <f t="shared" si="8"/>
        <v>-1435039</v>
      </c>
      <c r="E39" s="1203">
        <f t="shared" si="9"/>
        <v>-732376</v>
      </c>
      <c r="F39" s="97"/>
      <c r="G39" s="81"/>
      <c r="H39" s="81"/>
      <c r="I39" s="94"/>
    </row>
    <row r="40" spans="1:9">
      <c r="A40" s="1888"/>
      <c r="B40" s="1889"/>
      <c r="C40" s="1889"/>
      <c r="D40" s="1889"/>
      <c r="E40" s="1889"/>
      <c r="F40" s="97"/>
      <c r="G40" s="81"/>
      <c r="H40" s="81"/>
      <c r="I40" s="94"/>
    </row>
    <row r="41" spans="1:9">
      <c r="A41" s="1888"/>
      <c r="B41" s="97"/>
      <c r="C41" s="97"/>
      <c r="D41" s="97"/>
      <c r="E41" s="97"/>
      <c r="F41" s="97"/>
      <c r="G41" s="81"/>
      <c r="H41" s="94"/>
      <c r="I41" s="94"/>
    </row>
    <row r="42" spans="1:9">
      <c r="A42" s="1888"/>
      <c r="B42" s="97"/>
      <c r="C42" s="97"/>
      <c r="D42" s="97"/>
      <c r="E42" s="97"/>
      <c r="F42" s="97"/>
      <c r="G42" s="97"/>
      <c r="H42" s="94"/>
      <c r="I42" s="94"/>
    </row>
    <row r="43" spans="1:9">
      <c r="A43" s="1888"/>
      <c r="B43" s="97"/>
      <c r="C43" s="97"/>
      <c r="D43" s="97"/>
      <c r="E43" s="97"/>
      <c r="F43" s="81"/>
      <c r="G43" s="81"/>
      <c r="H43" s="94"/>
      <c r="I43" s="94"/>
    </row>
    <row r="44" spans="1:9">
      <c r="A44" s="1888"/>
      <c r="B44" s="81"/>
      <c r="C44" s="81"/>
      <c r="D44" s="81"/>
      <c r="E44" s="81"/>
      <c r="F44" s="81"/>
      <c r="G44" s="81"/>
      <c r="H44" s="94"/>
      <c r="I44" s="94"/>
    </row>
    <row r="45" spans="1:9">
      <c r="A45" s="1888"/>
      <c r="B45" s="81"/>
      <c r="C45" s="81"/>
      <c r="D45" s="81"/>
      <c r="E45" s="81"/>
      <c r="F45" s="94"/>
      <c r="G45" s="94"/>
      <c r="H45" s="94"/>
      <c r="I45" s="94"/>
    </row>
    <row r="46" spans="1:9">
      <c r="A46" s="1229"/>
      <c r="B46" s="94"/>
      <c r="C46" s="94"/>
      <c r="D46" s="94"/>
      <c r="E46" s="94"/>
      <c r="F46" s="94"/>
      <c r="G46" s="94"/>
    </row>
    <row r="47" spans="1:9">
      <c r="A47" s="94"/>
      <c r="B47" s="94"/>
      <c r="C47" s="94"/>
      <c r="D47" s="94"/>
      <c r="E47" s="94"/>
    </row>
  </sheetData>
  <mergeCells count="4">
    <mergeCell ref="A1:M1"/>
    <mergeCell ref="A4:A5"/>
    <mergeCell ref="B4:D4"/>
    <mergeCell ref="E4:G4"/>
  </mergeCells>
  <pageMargins left="0.7" right="0.7" top="0.75" bottom="0.75" header="0.3" footer="0.3"/>
  <pageSetup scale="49"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2"/>
  <sheetViews>
    <sheetView showGridLines="0" view="pageBreakPreview" zoomScale="55" zoomScaleNormal="78" zoomScaleSheetLayoutView="55" workbookViewId="0">
      <pane ySplit="1" topLeftCell="A2" activePane="bottomLeft" state="frozen"/>
      <selection pane="bottomLeft" activeCell="B17" sqref="B17"/>
    </sheetView>
  </sheetViews>
  <sheetFormatPr baseColWidth="10" defaultColWidth="11.42578125" defaultRowHeight="15"/>
  <cols>
    <col min="1" max="1" width="17.5703125" style="77" customWidth="1"/>
    <col min="2" max="2" width="17.7109375" style="77" customWidth="1"/>
    <col min="3" max="3" width="17.85546875" style="77" customWidth="1"/>
    <col min="4" max="4" width="10.28515625" style="77" customWidth="1"/>
    <col min="5" max="5" width="17.5703125" style="77" customWidth="1"/>
    <col min="6" max="6" width="10.42578125" style="77" customWidth="1"/>
    <col min="7" max="7" width="11.7109375" style="77" customWidth="1"/>
    <col min="8" max="8" width="10.42578125" style="77" customWidth="1"/>
    <col min="9" max="9" width="16.140625" style="77" customWidth="1"/>
    <col min="10" max="10" width="11.140625" style="77" customWidth="1"/>
    <col min="11" max="11" width="12.5703125" style="77" customWidth="1"/>
    <col min="12" max="12" width="11.140625" style="77" customWidth="1"/>
    <col min="13" max="13" width="16.42578125" style="77" customWidth="1"/>
    <col min="14" max="14" width="12" style="77" customWidth="1"/>
    <col min="15" max="15" width="22" style="77" customWidth="1"/>
    <col min="16" max="16" width="27.7109375" style="77" customWidth="1"/>
    <col min="17" max="17" width="16.7109375" style="77" customWidth="1"/>
    <col min="18" max="18" width="15.28515625" style="77" customWidth="1"/>
    <col min="19" max="19" width="12.5703125" style="77" bestFit="1" customWidth="1"/>
    <col min="20" max="20" width="11.42578125" style="77"/>
    <col min="21" max="21" width="15.42578125" style="77" bestFit="1" customWidth="1"/>
    <col min="22" max="16384" width="11.42578125" style="77"/>
  </cols>
  <sheetData>
    <row r="1" spans="1:19" ht="111" customHeight="1">
      <c r="A1" s="2133"/>
      <c r="B1" s="2133"/>
      <c r="C1" s="2133"/>
      <c r="D1" s="2133"/>
      <c r="E1" s="2133"/>
      <c r="F1" s="2133"/>
      <c r="G1" s="2133"/>
      <c r="H1" s="2133"/>
      <c r="I1" s="2133"/>
      <c r="J1" s="2133"/>
      <c r="K1" s="2133"/>
      <c r="L1" s="2133"/>
      <c r="M1" s="2133"/>
      <c r="N1" s="2133"/>
      <c r="O1" s="2133"/>
      <c r="P1" s="2133"/>
      <c r="Q1" s="2133"/>
    </row>
    <row r="2" spans="1:19" ht="9.75" customHeight="1">
      <c r="A2" s="50"/>
      <c r="B2" s="50"/>
      <c r="C2" s="50"/>
      <c r="D2" s="50"/>
      <c r="E2" s="50"/>
      <c r="F2" s="50"/>
      <c r="G2" s="50"/>
      <c r="H2" s="50"/>
      <c r="I2" s="50"/>
      <c r="J2" s="50"/>
      <c r="K2" s="50"/>
      <c r="L2" s="50"/>
      <c r="M2" s="50"/>
      <c r="N2" s="50"/>
      <c r="O2" s="50"/>
      <c r="P2" s="50"/>
      <c r="Q2" s="50"/>
      <c r="R2" s="50"/>
      <c r="S2" s="50"/>
    </row>
    <row r="3" spans="1:19" s="39" customFormat="1" ht="22.5" customHeight="1">
      <c r="A3" s="2134" t="s">
        <v>182</v>
      </c>
      <c r="B3" s="2134"/>
      <c r="C3" s="77"/>
      <c r="D3" s="77"/>
      <c r="E3" s="77"/>
      <c r="F3" s="50"/>
      <c r="G3" s="50"/>
      <c r="H3" s="50"/>
      <c r="I3" s="50"/>
      <c r="J3" s="50"/>
      <c r="K3" s="50"/>
      <c r="L3" s="50"/>
      <c r="M3" s="50"/>
      <c r="N3" s="50"/>
      <c r="O3" s="50"/>
      <c r="P3" s="50"/>
      <c r="Q3" s="50"/>
      <c r="R3" s="50"/>
      <c r="S3" s="50"/>
    </row>
    <row r="4" spans="1:19" s="39" customFormat="1" ht="26.25" customHeight="1">
      <c r="A4" s="332" t="s">
        <v>181</v>
      </c>
      <c r="B4" s="1702" t="s">
        <v>698</v>
      </c>
      <c r="C4" s="77"/>
      <c r="D4" s="77"/>
      <c r="E4" s="77"/>
      <c r="F4" s="128"/>
      <c r="G4" s="54"/>
      <c r="H4" s="77"/>
      <c r="I4" s="96"/>
      <c r="J4" s="96"/>
      <c r="K4" s="96"/>
      <c r="L4" s="96"/>
      <c r="M4" s="77"/>
      <c r="N4" s="77"/>
      <c r="O4" s="77"/>
      <c r="P4" s="77"/>
      <c r="Q4" s="77"/>
      <c r="R4" s="111"/>
    </row>
    <row r="5" spans="1:19" s="39" customFormat="1" ht="21">
      <c r="A5" s="967" t="s">
        <v>26</v>
      </c>
      <c r="B5" s="1730">
        <v>733</v>
      </c>
      <c r="C5" s="77"/>
      <c r="D5" s="77"/>
      <c r="E5" s="77"/>
      <c r="F5" s="128"/>
      <c r="G5" s="54"/>
      <c r="H5" s="77"/>
      <c r="I5" s="96"/>
      <c r="J5" s="96"/>
      <c r="K5" s="96"/>
      <c r="L5" s="96"/>
      <c r="M5" s="77"/>
      <c r="N5" s="77"/>
      <c r="O5" s="77"/>
      <c r="P5" s="77"/>
      <c r="Q5" s="77"/>
      <c r="R5" s="111"/>
    </row>
    <row r="6" spans="1:19" s="39" customFormat="1" ht="21">
      <c r="A6" s="967" t="s">
        <v>27</v>
      </c>
      <c r="B6" s="968">
        <v>1859</v>
      </c>
      <c r="C6" s="77"/>
      <c r="D6" s="77"/>
      <c r="E6" s="77"/>
      <c r="F6" s="128"/>
      <c r="G6" s="54"/>
      <c r="H6" s="77"/>
      <c r="I6" s="96"/>
      <c r="J6" s="96"/>
      <c r="K6" s="96"/>
      <c r="L6" s="96"/>
      <c r="M6" s="77"/>
      <c r="N6" s="77"/>
      <c r="O6" s="77"/>
      <c r="P6" s="77"/>
      <c r="Q6" s="77"/>
      <c r="R6" s="111"/>
    </row>
    <row r="7" spans="1:19" s="39" customFormat="1" ht="21">
      <c r="A7" s="967" t="s">
        <v>28</v>
      </c>
      <c r="B7" s="968">
        <v>1247</v>
      </c>
      <c r="C7" s="77"/>
      <c r="D7" s="77"/>
      <c r="E7" s="77"/>
      <c r="F7" s="128"/>
      <c r="G7" s="54"/>
      <c r="H7" s="77"/>
      <c r="I7" s="96"/>
      <c r="J7" s="96"/>
      <c r="K7" s="96"/>
      <c r="L7" s="96"/>
      <c r="M7" s="77"/>
      <c r="N7" s="77"/>
      <c r="O7" s="77"/>
      <c r="P7" s="77"/>
      <c r="Q7" s="77"/>
      <c r="R7" s="111"/>
    </row>
    <row r="8" spans="1:19" s="39" customFormat="1" ht="21">
      <c r="A8" s="967" t="s">
        <v>29</v>
      </c>
      <c r="B8" s="968">
        <v>1028</v>
      </c>
      <c r="C8" s="77"/>
      <c r="D8" s="77"/>
      <c r="E8" s="77"/>
      <c r="F8" s="128"/>
      <c r="G8" s="54"/>
      <c r="H8" s="77"/>
      <c r="I8" s="96"/>
      <c r="J8" s="96"/>
      <c r="K8" s="96"/>
      <c r="L8" s="96"/>
      <c r="M8" s="77"/>
      <c r="N8" s="77"/>
      <c r="O8" s="77"/>
      <c r="P8" s="77"/>
      <c r="Q8" s="77"/>
      <c r="R8" s="52"/>
      <c r="S8" s="53"/>
    </row>
    <row r="9" spans="1:19" s="39" customFormat="1" ht="21">
      <c r="A9" s="967" t="s">
        <v>30</v>
      </c>
      <c r="B9" s="968">
        <v>25287</v>
      </c>
      <c r="C9" s="77"/>
      <c r="D9" s="77"/>
      <c r="E9" s="77"/>
      <c r="F9" s="128"/>
      <c r="G9" s="54"/>
      <c r="H9" s="77"/>
      <c r="J9" s="96"/>
      <c r="K9" s="96"/>
      <c r="L9" s="96"/>
      <c r="M9" s="77"/>
      <c r="N9" s="77"/>
      <c r="O9" s="77"/>
      <c r="P9" s="77"/>
      <c r="Q9" s="77"/>
      <c r="R9" s="111"/>
    </row>
    <row r="10" spans="1:19" s="39" customFormat="1" ht="21">
      <c r="A10" s="967" t="s">
        <v>183</v>
      </c>
      <c r="B10" s="968">
        <v>10644</v>
      </c>
      <c r="C10" s="77"/>
      <c r="D10" s="77"/>
      <c r="E10" s="77"/>
      <c r="F10" s="157"/>
      <c r="G10" s="54"/>
      <c r="H10" s="77"/>
      <c r="I10" s="96"/>
      <c r="J10" s="96"/>
      <c r="K10" s="96"/>
      <c r="L10" s="96"/>
      <c r="M10" s="77"/>
      <c r="N10" s="77"/>
      <c r="O10" s="77"/>
      <c r="P10" s="77"/>
      <c r="Q10" s="77"/>
      <c r="R10" s="111"/>
    </row>
    <row r="11" spans="1:19" s="39" customFormat="1" ht="19.5" customHeight="1">
      <c r="A11" s="967" t="s">
        <v>223</v>
      </c>
      <c r="B11" s="968">
        <v>6268</v>
      </c>
      <c r="C11" s="77"/>
      <c r="D11" s="77"/>
      <c r="E11" s="77"/>
      <c r="G11" s="54"/>
      <c r="H11" s="77"/>
      <c r="I11" s="96"/>
      <c r="J11" s="96"/>
      <c r="K11" s="96"/>
      <c r="L11" s="96"/>
      <c r="M11" s="77"/>
      <c r="N11" s="77"/>
      <c r="O11" s="77"/>
      <c r="P11" s="77"/>
      <c r="Q11" s="77"/>
      <c r="R11" s="111"/>
    </row>
    <row r="12" spans="1:19" s="39" customFormat="1" ht="19.5" customHeight="1">
      <c r="A12" s="967" t="s">
        <v>456</v>
      </c>
      <c r="B12" s="970">
        <v>10046</v>
      </c>
      <c r="C12" s="77"/>
      <c r="D12" s="77"/>
      <c r="E12" s="77"/>
      <c r="G12" s="54"/>
      <c r="H12" s="77"/>
      <c r="I12" s="96"/>
      <c r="J12" s="96"/>
      <c r="K12" s="96"/>
      <c r="L12" s="96"/>
      <c r="M12" s="77"/>
      <c r="N12" s="77"/>
      <c r="O12" s="77"/>
      <c r="P12" s="77"/>
      <c r="Q12" s="77"/>
      <c r="R12" s="111"/>
    </row>
    <row r="13" spans="1:19" s="39" customFormat="1" ht="19.5" customHeight="1">
      <c r="A13" s="967" t="s">
        <v>530</v>
      </c>
      <c r="B13" s="970">
        <v>15740</v>
      </c>
      <c r="C13" s="77"/>
      <c r="D13" s="77"/>
      <c r="G13" s="54"/>
      <c r="H13" s="77"/>
      <c r="I13" s="96"/>
      <c r="J13" s="96"/>
      <c r="K13" s="96"/>
      <c r="L13" s="96"/>
      <c r="M13" s="77"/>
      <c r="N13" s="77"/>
      <c r="O13" s="77"/>
      <c r="P13" s="77"/>
      <c r="Q13" s="77"/>
      <c r="R13" s="111"/>
    </row>
    <row r="14" spans="1:19" s="39" customFormat="1" ht="19.5" customHeight="1">
      <c r="A14" s="967" t="s">
        <v>542</v>
      </c>
      <c r="B14" s="970">
        <v>32365</v>
      </c>
      <c r="C14" s="77"/>
      <c r="D14" s="77"/>
      <c r="E14" s="77"/>
      <c r="G14" s="54"/>
      <c r="H14" s="77"/>
      <c r="I14" s="96"/>
      <c r="J14" s="96"/>
      <c r="K14" s="96"/>
      <c r="L14" s="96"/>
      <c r="M14" s="77"/>
      <c r="N14" s="77"/>
      <c r="O14" s="77"/>
      <c r="P14" s="77"/>
      <c r="Q14" s="77"/>
      <c r="R14" s="111"/>
    </row>
    <row r="15" spans="1:19" s="39" customFormat="1" ht="19.5" customHeight="1">
      <c r="A15" s="967" t="s">
        <v>953</v>
      </c>
      <c r="B15" s="970">
        <f>4157+38433</f>
        <v>42590</v>
      </c>
      <c r="C15" s="77"/>
      <c r="D15" s="77"/>
      <c r="E15" s="77"/>
      <c r="G15" s="54"/>
      <c r="H15" s="77"/>
      <c r="I15" s="96"/>
      <c r="J15" s="96"/>
      <c r="K15" s="96"/>
      <c r="L15" s="96"/>
      <c r="M15" s="77"/>
      <c r="N15" s="77"/>
      <c r="O15" s="77"/>
      <c r="P15" s="77"/>
      <c r="Q15" s="77"/>
      <c r="R15" s="111"/>
    </row>
    <row r="16" spans="1:19" s="39" customFormat="1" ht="19.5" customHeight="1">
      <c r="A16" s="967" t="s">
        <v>1003</v>
      </c>
      <c r="B16" s="970">
        <f>2342+2142+4641+5200</f>
        <v>14325</v>
      </c>
      <c r="C16" s="1458"/>
      <c r="D16" s="1458"/>
      <c r="E16" s="1458"/>
      <c r="G16" s="54"/>
      <c r="H16" s="1458"/>
      <c r="I16" s="96"/>
      <c r="J16" s="96"/>
      <c r="K16" s="96"/>
      <c r="L16" s="96"/>
      <c r="M16" s="1458"/>
      <c r="N16" s="1458"/>
      <c r="O16" s="1458"/>
      <c r="P16" s="1458"/>
      <c r="Q16" s="1458"/>
      <c r="R16" s="111"/>
    </row>
    <row r="17" spans="1:19" s="39" customFormat="1" ht="21">
      <c r="A17" s="969" t="s">
        <v>23</v>
      </c>
      <c r="B17" s="2019">
        <f>SUM(B5:B16)</f>
        <v>162132</v>
      </c>
      <c r="C17" s="77"/>
      <c r="D17" s="77"/>
      <c r="E17" s="77"/>
      <c r="F17" s="54"/>
      <c r="G17" s="54"/>
      <c r="H17" s="77"/>
      <c r="I17" s="96"/>
      <c r="J17" s="96"/>
      <c r="K17" s="96"/>
      <c r="L17" s="96"/>
      <c r="M17" s="77"/>
      <c r="N17" s="77"/>
      <c r="O17" s="77"/>
      <c r="P17" s="77"/>
      <c r="Q17" s="77"/>
      <c r="R17" s="111"/>
      <c r="S17" s="110"/>
    </row>
    <row r="18" spans="1:19" s="39" customFormat="1">
      <c r="A18" s="96"/>
      <c r="B18" s="96"/>
      <c r="C18" s="96"/>
      <c r="D18" s="96"/>
      <c r="E18" s="96"/>
      <c r="F18" s="96"/>
      <c r="G18" s="96"/>
      <c r="H18" s="96"/>
      <c r="I18" s="96"/>
      <c r="J18" s="96"/>
      <c r="K18" s="96"/>
      <c r="L18" s="96"/>
      <c r="M18" s="96"/>
      <c r="N18" s="96"/>
      <c r="O18" s="96"/>
      <c r="P18" s="96"/>
      <c r="Q18" s="96"/>
      <c r="R18" s="111"/>
      <c r="S18" s="110"/>
    </row>
    <row r="19" spans="1:19" s="39" customFormat="1">
      <c r="A19" s="96"/>
      <c r="B19" s="96"/>
      <c r="C19" s="44"/>
      <c r="D19" s="44"/>
      <c r="E19" s="44"/>
      <c r="F19" s="44"/>
      <c r="G19" s="61"/>
      <c r="H19" s="44"/>
      <c r="I19" s="61"/>
      <c r="J19" s="44"/>
      <c r="K19" s="44"/>
      <c r="L19" s="44"/>
      <c r="M19" s="44"/>
      <c r="N19" s="44"/>
      <c r="O19" s="44"/>
      <c r="P19" s="61"/>
      <c r="Q19" s="24"/>
      <c r="R19" s="111"/>
      <c r="S19" s="110"/>
    </row>
    <row r="20" spans="1:19" s="39" customFormat="1">
      <c r="A20" s="96"/>
      <c r="B20" s="96"/>
      <c r="C20" s="44"/>
      <c r="D20" s="44"/>
      <c r="E20" s="44"/>
      <c r="F20" s="44"/>
      <c r="G20" s="61"/>
      <c r="H20" s="44"/>
      <c r="I20" s="61"/>
      <c r="J20" s="44"/>
      <c r="K20" s="44"/>
      <c r="L20" s="44"/>
      <c r="M20" s="61"/>
      <c r="N20" s="44"/>
      <c r="O20" s="44"/>
      <c r="P20" s="44"/>
      <c r="Q20" s="44"/>
      <c r="R20" s="111"/>
      <c r="S20" s="110"/>
    </row>
    <row r="21" spans="1:19" s="39" customFormat="1">
      <c r="A21" s="96"/>
      <c r="B21" s="96"/>
      <c r="C21" s="44"/>
      <c r="D21" s="44"/>
      <c r="E21" s="44"/>
      <c r="F21" s="44"/>
      <c r="G21" s="61"/>
      <c r="H21" s="44"/>
      <c r="I21" s="61"/>
      <c r="J21" s="44"/>
      <c r="K21" s="44"/>
      <c r="L21" s="44"/>
      <c r="M21" s="61"/>
      <c r="N21" s="44"/>
      <c r="O21" s="44"/>
      <c r="P21" s="44"/>
      <c r="Q21" s="44"/>
      <c r="R21" s="111"/>
      <c r="S21" s="111"/>
    </row>
    <row r="22" spans="1:19" s="39" customFormat="1">
      <c r="A22" s="96"/>
      <c r="B22" s="96"/>
      <c r="C22" s="44"/>
      <c r="D22" s="44"/>
      <c r="E22" s="44"/>
      <c r="F22" s="44"/>
      <c r="G22" s="61"/>
      <c r="H22" s="44"/>
      <c r="I22" s="61"/>
      <c r="J22" s="44"/>
      <c r="K22" s="44"/>
      <c r="L22" s="44"/>
      <c r="M22" s="44"/>
      <c r="N22" s="44"/>
      <c r="O22" s="44"/>
      <c r="P22" s="61"/>
      <c r="Q22" s="44"/>
      <c r="R22" s="111"/>
      <c r="S22" s="111"/>
    </row>
    <row r="23" spans="1:19" s="39" customFormat="1">
      <c r="A23" s="96"/>
      <c r="B23" s="96"/>
      <c r="C23" s="44"/>
      <c r="D23" s="44"/>
      <c r="E23" s="44"/>
      <c r="F23" s="44"/>
      <c r="G23" s="61"/>
      <c r="H23" s="44"/>
      <c r="I23" s="61"/>
      <c r="J23" s="44"/>
      <c r="K23" s="44"/>
      <c r="L23" s="44"/>
      <c r="M23" s="61"/>
      <c r="N23" s="44"/>
      <c r="O23" s="44"/>
      <c r="P23" s="61"/>
      <c r="Q23" s="61"/>
      <c r="R23" s="111"/>
      <c r="S23" s="111"/>
    </row>
    <row r="24" spans="1:19" s="39" customFormat="1">
      <c r="A24" s="96"/>
      <c r="B24" s="96"/>
      <c r="C24" s="44"/>
      <c r="D24" s="44"/>
      <c r="E24" s="44"/>
      <c r="F24" s="44"/>
      <c r="G24" s="44"/>
      <c r="H24" s="44"/>
      <c r="I24" s="61"/>
      <c r="J24" s="44"/>
      <c r="K24" s="61"/>
      <c r="L24" s="61"/>
      <c r="M24" s="44"/>
      <c r="N24" s="44"/>
      <c r="O24" s="44"/>
      <c r="P24" s="44"/>
      <c r="Q24" s="44"/>
      <c r="R24" s="111"/>
      <c r="S24" s="111"/>
    </row>
    <row r="25" spans="1:19" s="39" customFormat="1">
      <c r="A25" s="96"/>
      <c r="B25" s="96"/>
      <c r="C25" s="44"/>
      <c r="D25" s="44"/>
      <c r="E25" s="44"/>
      <c r="F25" s="44"/>
      <c r="G25" s="44"/>
      <c r="H25" s="44"/>
      <c r="I25" s="61"/>
      <c r="J25" s="44"/>
      <c r="K25" s="44"/>
      <c r="L25" s="44"/>
      <c r="M25" s="61"/>
      <c r="N25" s="44"/>
      <c r="O25" s="44"/>
      <c r="P25" s="44"/>
      <c r="Q25" s="61"/>
      <c r="R25" s="111"/>
      <c r="S25" s="111"/>
    </row>
    <row r="26" spans="1:19" s="39" customFormat="1">
      <c r="A26" s="96"/>
      <c r="B26" s="96"/>
      <c r="C26" s="44"/>
      <c r="D26" s="44"/>
      <c r="E26" s="44"/>
      <c r="F26" s="44"/>
      <c r="G26" s="61"/>
      <c r="H26" s="44"/>
      <c r="I26" s="61"/>
      <c r="J26" s="44"/>
      <c r="K26" s="44"/>
      <c r="L26" s="44"/>
      <c r="M26" s="61"/>
      <c r="N26" s="44"/>
      <c r="O26" s="44"/>
      <c r="P26" s="44"/>
      <c r="Q26" s="61"/>
      <c r="R26" s="111"/>
      <c r="S26" s="111"/>
    </row>
    <row r="27" spans="1:19" s="39" customFormat="1">
      <c r="A27" s="96"/>
      <c r="B27" s="96"/>
      <c r="C27" s="96"/>
      <c r="D27" s="25"/>
      <c r="E27" s="25"/>
      <c r="F27" s="25"/>
      <c r="G27" s="26"/>
      <c r="H27" s="25"/>
      <c r="I27" s="26"/>
      <c r="J27" s="25"/>
      <c r="K27" s="26"/>
      <c r="L27" s="26"/>
      <c r="M27" s="26"/>
      <c r="N27" s="25"/>
      <c r="O27" s="25"/>
      <c r="P27" s="25"/>
      <c r="Q27" s="27"/>
      <c r="R27" s="111"/>
      <c r="S27" s="111"/>
    </row>
    <row r="28" spans="1:19" s="39" customFormat="1">
      <c r="A28" s="96"/>
      <c r="B28" s="96"/>
      <c r="C28" s="44"/>
      <c r="D28" s="44"/>
      <c r="E28" s="44"/>
      <c r="F28" s="44"/>
      <c r="G28" s="61"/>
      <c r="H28" s="44"/>
      <c r="I28" s="61"/>
      <c r="J28" s="44"/>
      <c r="K28" s="44"/>
      <c r="L28" s="44"/>
      <c r="M28" s="61"/>
      <c r="N28" s="44"/>
      <c r="O28" s="44"/>
      <c r="P28" s="61"/>
      <c r="Q28" s="61"/>
      <c r="R28" s="111"/>
      <c r="S28" s="111"/>
    </row>
    <row r="29" spans="1:19" s="39" customFormat="1">
      <c r="A29" s="96"/>
      <c r="B29" s="96"/>
      <c r="C29" s="96"/>
      <c r="D29" s="96"/>
      <c r="E29" s="96"/>
      <c r="F29" s="96"/>
      <c r="G29" s="96"/>
      <c r="H29" s="96"/>
      <c r="I29" s="96"/>
      <c r="J29" s="96"/>
      <c r="K29" s="96"/>
      <c r="L29" s="96"/>
      <c r="M29" s="96"/>
      <c r="N29" s="96"/>
      <c r="O29" s="96"/>
      <c r="P29" s="96"/>
      <c r="Q29" s="96"/>
      <c r="R29" s="111"/>
      <c r="S29" s="111"/>
    </row>
    <row r="30" spans="1:19" s="39" customFormat="1">
      <c r="A30" s="96"/>
      <c r="B30" s="96"/>
      <c r="C30" s="96"/>
      <c r="D30" s="96"/>
      <c r="E30" s="96"/>
      <c r="F30" s="96"/>
      <c r="G30" s="96"/>
      <c r="H30" s="96"/>
      <c r="I30" s="96"/>
      <c r="J30" s="96"/>
      <c r="K30" s="96"/>
      <c r="L30" s="96"/>
      <c r="M30" s="96"/>
      <c r="N30" s="96"/>
      <c r="O30" s="96"/>
      <c r="P30" s="96"/>
      <c r="Q30" s="96"/>
      <c r="R30" s="111"/>
      <c r="S30" s="111"/>
    </row>
    <row r="31" spans="1:19" s="39" customFormat="1">
      <c r="A31" s="96"/>
      <c r="B31" s="96"/>
      <c r="C31" s="96"/>
      <c r="D31" s="96"/>
      <c r="E31" s="96"/>
      <c r="F31" s="96"/>
      <c r="G31" s="96"/>
      <c r="H31" s="96"/>
      <c r="I31" s="96"/>
      <c r="J31" s="96"/>
      <c r="K31" s="96"/>
      <c r="L31" s="96"/>
      <c r="M31" s="96"/>
      <c r="N31" s="96"/>
      <c r="O31" s="96"/>
      <c r="P31" s="96"/>
      <c r="Q31" s="96"/>
      <c r="R31" s="111"/>
      <c r="S31" s="111"/>
    </row>
    <row r="32" spans="1:19" s="39" customFormat="1">
      <c r="A32" s="96"/>
      <c r="B32" s="96"/>
      <c r="C32" s="96"/>
      <c r="D32" s="96"/>
      <c r="E32" s="96"/>
      <c r="F32" s="96"/>
      <c r="G32" s="96"/>
      <c r="H32" s="96"/>
      <c r="I32" s="96"/>
      <c r="J32" s="96"/>
      <c r="K32" s="96"/>
      <c r="L32" s="96"/>
      <c r="M32" s="96"/>
      <c r="N32" s="96"/>
      <c r="O32" s="96"/>
      <c r="P32" s="96"/>
      <c r="Q32" s="96"/>
      <c r="R32" s="111"/>
      <c r="S32" s="111"/>
    </row>
    <row r="33" spans="1:21" s="39" customFormat="1">
      <c r="A33" s="96"/>
      <c r="B33" s="96"/>
      <c r="C33" s="96"/>
      <c r="D33" s="96"/>
      <c r="E33" s="96"/>
      <c r="F33" s="96"/>
      <c r="G33" s="96"/>
      <c r="H33" s="96"/>
      <c r="I33" s="96"/>
      <c r="J33" s="96"/>
      <c r="K33" s="96"/>
      <c r="L33" s="96"/>
      <c r="M33" s="96"/>
      <c r="N33" s="96"/>
      <c r="O33" s="96"/>
      <c r="P33" s="96"/>
      <c r="Q33" s="96"/>
      <c r="R33" s="111"/>
      <c r="S33" s="111"/>
    </row>
    <row r="34" spans="1:21" s="39" customFormat="1">
      <c r="A34" s="96"/>
      <c r="B34" s="96"/>
      <c r="C34" s="96"/>
      <c r="D34" s="96"/>
      <c r="E34" s="96"/>
      <c r="F34" s="96"/>
      <c r="G34" s="96"/>
      <c r="H34" s="96"/>
      <c r="I34" s="96"/>
      <c r="J34" s="96"/>
      <c r="K34" s="96"/>
      <c r="L34" s="96"/>
      <c r="M34" s="96"/>
      <c r="N34" s="96"/>
      <c r="O34" s="96"/>
      <c r="P34" s="96"/>
      <c r="Q34" s="96"/>
      <c r="R34" s="111"/>
      <c r="S34" s="111"/>
    </row>
    <row r="35" spans="1:21" s="39" customFormat="1">
      <c r="A35" s="96"/>
      <c r="B35" s="96"/>
      <c r="C35" s="96"/>
      <c r="D35" s="96"/>
      <c r="E35" s="96"/>
      <c r="F35" s="96"/>
      <c r="G35" s="96"/>
      <c r="H35" s="96"/>
      <c r="I35" s="96"/>
      <c r="J35" s="96"/>
      <c r="K35" s="96"/>
      <c r="L35" s="96"/>
      <c r="M35" s="96"/>
      <c r="N35" s="96"/>
      <c r="O35" s="96"/>
      <c r="P35" s="96"/>
      <c r="Q35" s="96"/>
    </row>
    <row r="36" spans="1:21" s="39" customFormat="1">
      <c r="A36" s="96"/>
      <c r="B36" s="96"/>
      <c r="C36" s="96"/>
      <c r="D36" s="96"/>
      <c r="E36" s="96"/>
      <c r="F36" s="96"/>
      <c r="G36" s="96"/>
      <c r="H36" s="96"/>
      <c r="I36" s="96"/>
      <c r="J36" s="96"/>
      <c r="K36" s="96"/>
      <c r="L36" s="96"/>
      <c r="M36" s="96"/>
      <c r="N36" s="96"/>
      <c r="O36" s="96"/>
      <c r="P36" s="96"/>
      <c r="Q36" s="96"/>
    </row>
    <row r="37" spans="1:21" s="39" customFormat="1">
      <c r="A37" s="96"/>
      <c r="B37" s="96"/>
      <c r="C37" s="96"/>
      <c r="D37" s="96"/>
      <c r="E37" s="96"/>
      <c r="F37" s="96"/>
      <c r="G37" s="96"/>
      <c r="H37" s="96"/>
      <c r="I37" s="96"/>
      <c r="J37" s="96"/>
      <c r="K37" s="96"/>
      <c r="L37" s="96"/>
      <c r="M37" s="96"/>
      <c r="N37" s="96"/>
      <c r="O37" s="96"/>
      <c r="P37" s="96"/>
      <c r="Q37" s="96"/>
      <c r="U37" s="88"/>
    </row>
    <row r="38" spans="1:21" s="39" customFormat="1">
      <c r="A38" s="77"/>
      <c r="B38" s="77"/>
      <c r="C38" s="77"/>
      <c r="D38" s="77"/>
      <c r="E38" s="77"/>
      <c r="F38" s="77"/>
      <c r="G38" s="77"/>
      <c r="H38" s="77"/>
      <c r="I38" s="77"/>
      <c r="J38" s="77"/>
      <c r="K38" s="77"/>
      <c r="L38" s="77"/>
      <c r="M38" s="77"/>
      <c r="N38" s="77"/>
      <c r="O38" s="77"/>
      <c r="P38" s="77"/>
      <c r="Q38" s="77"/>
    </row>
    <row r="39" spans="1:21" s="39" customFormat="1">
      <c r="A39" s="77"/>
      <c r="B39" s="77"/>
      <c r="C39" s="77"/>
      <c r="D39" s="77"/>
      <c r="E39" s="77"/>
      <c r="F39" s="77"/>
      <c r="G39" s="77"/>
      <c r="H39" s="77"/>
      <c r="I39" s="77"/>
      <c r="J39" s="77"/>
      <c r="K39" s="77"/>
      <c r="L39" s="77"/>
      <c r="M39" s="77"/>
      <c r="N39" s="77"/>
      <c r="O39" s="77"/>
      <c r="P39" s="77"/>
      <c r="Q39" s="77"/>
    </row>
    <row r="40" spans="1:21" s="39" customFormat="1">
      <c r="A40" s="77"/>
      <c r="B40" s="77"/>
      <c r="C40" s="77"/>
      <c r="D40" s="77"/>
      <c r="E40" s="77"/>
      <c r="F40" s="77"/>
      <c r="G40" s="77"/>
      <c r="H40" s="77"/>
      <c r="I40" s="77"/>
      <c r="J40" s="77"/>
      <c r="K40" s="77"/>
      <c r="L40" s="77"/>
      <c r="M40" s="77"/>
      <c r="N40" s="77"/>
      <c r="O40" s="77"/>
      <c r="P40" s="77"/>
      <c r="Q40" s="77"/>
    </row>
    <row r="41" spans="1:21" s="39" customFormat="1">
      <c r="A41" s="77"/>
      <c r="B41" s="77"/>
      <c r="C41" s="77"/>
      <c r="D41" s="77"/>
      <c r="E41" s="77"/>
      <c r="F41" s="77"/>
      <c r="G41" s="77"/>
      <c r="H41" s="77"/>
      <c r="I41" s="77"/>
      <c r="J41" s="77"/>
      <c r="K41" s="77"/>
      <c r="L41" s="77"/>
      <c r="M41" s="77"/>
      <c r="N41" s="77"/>
      <c r="O41" s="77"/>
      <c r="P41" s="77"/>
      <c r="Q41" s="77"/>
    </row>
    <row r="42" spans="1:21" s="39" customFormat="1">
      <c r="A42" s="77"/>
      <c r="B42" s="77"/>
      <c r="C42" s="77"/>
      <c r="D42" s="77"/>
      <c r="E42" s="77"/>
      <c r="F42" s="77"/>
      <c r="G42" s="77"/>
      <c r="H42" s="77"/>
      <c r="I42" s="77"/>
      <c r="J42" s="77"/>
      <c r="K42" s="77"/>
      <c r="L42" s="77"/>
      <c r="M42" s="77"/>
      <c r="N42" s="77"/>
      <c r="O42" s="77"/>
      <c r="P42" s="77"/>
      <c r="Q42" s="77"/>
    </row>
    <row r="43" spans="1:21" s="39" customFormat="1">
      <c r="A43" s="77"/>
      <c r="B43" s="77"/>
      <c r="C43" s="77"/>
      <c r="D43" s="77"/>
      <c r="E43" s="77"/>
      <c r="F43" s="77"/>
      <c r="G43" s="77"/>
      <c r="H43" s="77"/>
      <c r="I43" s="77"/>
      <c r="J43" s="77"/>
      <c r="K43" s="77"/>
      <c r="L43" s="77"/>
      <c r="M43" s="77"/>
      <c r="N43" s="77"/>
      <c r="O43" s="77"/>
      <c r="P43" s="77"/>
      <c r="Q43" s="77"/>
    </row>
    <row r="44" spans="1:21" s="39" customFormat="1">
      <c r="A44" s="77"/>
      <c r="B44" s="77"/>
      <c r="C44" s="77"/>
      <c r="D44" s="77"/>
      <c r="E44" s="77"/>
      <c r="F44" s="77"/>
      <c r="G44" s="77"/>
      <c r="H44" s="77"/>
      <c r="I44" s="77"/>
      <c r="J44" s="77"/>
      <c r="K44" s="77"/>
      <c r="L44" s="77"/>
      <c r="M44" s="77"/>
      <c r="N44" s="77"/>
      <c r="O44" s="77"/>
      <c r="P44" s="77"/>
      <c r="Q44" s="77"/>
    </row>
    <row r="45" spans="1:21" s="39" customFormat="1">
      <c r="A45" s="77"/>
      <c r="B45" s="77"/>
      <c r="C45" s="77"/>
      <c r="D45" s="77"/>
      <c r="E45" s="77"/>
      <c r="F45" s="77"/>
      <c r="G45" s="77"/>
      <c r="H45" s="77"/>
      <c r="I45" s="77"/>
      <c r="J45" s="77"/>
      <c r="K45" s="77"/>
      <c r="L45" s="77"/>
      <c r="M45" s="77"/>
      <c r="N45" s="77"/>
      <c r="O45" s="77"/>
      <c r="P45" s="77"/>
      <c r="Q45" s="77"/>
    </row>
    <row r="46" spans="1:21" s="39" customFormat="1">
      <c r="A46" s="77"/>
      <c r="B46" s="77"/>
      <c r="C46" s="77"/>
      <c r="D46" s="77"/>
      <c r="E46" s="77"/>
      <c r="F46" s="77"/>
      <c r="G46" s="77"/>
      <c r="H46" s="77"/>
      <c r="I46" s="77"/>
      <c r="J46" s="77"/>
      <c r="K46" s="77"/>
      <c r="L46" s="77"/>
      <c r="M46" s="77"/>
      <c r="N46" s="77"/>
      <c r="O46" s="77"/>
      <c r="P46" s="77"/>
      <c r="Q46" s="77"/>
    </row>
    <row r="47" spans="1:21" s="39" customFormat="1">
      <c r="A47" s="77"/>
      <c r="B47" s="77"/>
      <c r="C47" s="77"/>
      <c r="D47" s="77"/>
      <c r="E47" s="77"/>
      <c r="F47" s="77"/>
      <c r="G47" s="77"/>
      <c r="H47" s="77"/>
      <c r="I47" s="77"/>
      <c r="J47" s="77"/>
      <c r="K47" s="77"/>
      <c r="L47" s="77"/>
      <c r="M47" s="77"/>
      <c r="N47" s="77"/>
      <c r="O47" s="77"/>
      <c r="P47" s="77"/>
      <c r="Q47" s="77"/>
    </row>
    <row r="48" spans="1:21" s="39" customFormat="1">
      <c r="A48" s="77"/>
      <c r="B48" s="77"/>
      <c r="C48" s="77"/>
      <c r="D48" s="77"/>
      <c r="E48" s="77"/>
      <c r="F48" s="77"/>
      <c r="G48" s="77"/>
      <c r="H48" s="77"/>
      <c r="I48" s="77"/>
      <c r="J48" s="77"/>
      <c r="K48" s="77"/>
      <c r="L48" s="77"/>
      <c r="M48" s="77"/>
      <c r="N48" s="77"/>
      <c r="O48" s="77"/>
      <c r="P48" s="77"/>
      <c r="Q48" s="77"/>
    </row>
    <row r="49" spans="1:17" s="39" customFormat="1">
      <c r="A49" s="77"/>
      <c r="B49" s="77"/>
      <c r="C49" s="77"/>
      <c r="D49" s="77"/>
      <c r="E49" s="77"/>
      <c r="F49" s="77"/>
      <c r="G49" s="77"/>
      <c r="H49" s="77"/>
      <c r="I49" s="77"/>
      <c r="J49" s="77"/>
      <c r="K49" s="77"/>
      <c r="L49" s="77"/>
      <c r="M49" s="77"/>
      <c r="N49" s="77"/>
      <c r="O49" s="77"/>
      <c r="P49" s="77"/>
      <c r="Q49" s="77"/>
    </row>
    <row r="50" spans="1:17" s="39" customFormat="1">
      <c r="A50" s="77"/>
      <c r="B50" s="77"/>
      <c r="C50" s="77"/>
      <c r="D50" s="77"/>
      <c r="E50" s="77"/>
      <c r="F50" s="77"/>
      <c r="G50" s="77"/>
      <c r="H50" s="77"/>
      <c r="I50" s="77"/>
      <c r="J50" s="77"/>
      <c r="K50" s="77"/>
      <c r="L50" s="77"/>
      <c r="M50" s="77"/>
      <c r="N50" s="77"/>
      <c r="O50" s="77"/>
      <c r="P50" s="77"/>
      <c r="Q50" s="77"/>
    </row>
    <row r="51" spans="1:17" s="39" customFormat="1">
      <c r="A51" s="77"/>
      <c r="B51" s="77"/>
      <c r="C51" s="77"/>
      <c r="D51" s="77"/>
      <c r="E51" s="77"/>
      <c r="F51" s="77"/>
      <c r="G51" s="77"/>
      <c r="H51" s="77"/>
      <c r="I51" s="77"/>
      <c r="J51" s="77"/>
      <c r="K51" s="77"/>
      <c r="L51" s="77"/>
      <c r="M51" s="77"/>
      <c r="N51" s="77"/>
      <c r="O51" s="77"/>
      <c r="P51" s="77"/>
      <c r="Q51" s="77"/>
    </row>
    <row r="52" spans="1:17" s="39" customFormat="1">
      <c r="A52" s="77"/>
      <c r="B52" s="77"/>
      <c r="C52" s="77"/>
      <c r="D52" s="77"/>
      <c r="E52" s="77"/>
      <c r="F52" s="77"/>
      <c r="G52" s="77"/>
      <c r="H52" s="77"/>
      <c r="I52" s="77"/>
      <c r="J52" s="77"/>
      <c r="K52" s="77"/>
      <c r="L52" s="77"/>
      <c r="M52" s="77"/>
      <c r="N52" s="77"/>
      <c r="O52" s="77"/>
      <c r="P52" s="77"/>
      <c r="Q52" s="77"/>
    </row>
    <row r="53" spans="1:17" s="39" customFormat="1">
      <c r="A53" s="77"/>
      <c r="B53" s="77"/>
      <c r="C53" s="77"/>
      <c r="D53" s="77"/>
      <c r="E53" s="77"/>
      <c r="F53" s="77"/>
      <c r="G53" s="77"/>
      <c r="H53" s="77"/>
      <c r="I53" s="77"/>
      <c r="J53" s="77"/>
      <c r="K53" s="77"/>
      <c r="L53" s="77"/>
      <c r="M53" s="77"/>
      <c r="N53" s="77"/>
      <c r="O53" s="77"/>
      <c r="P53" s="77"/>
      <c r="Q53" s="77"/>
    </row>
    <row r="54" spans="1:17" s="39" customFormat="1">
      <c r="A54" s="77"/>
      <c r="B54" s="77"/>
      <c r="C54" s="77"/>
      <c r="D54" s="77"/>
      <c r="E54" s="77"/>
      <c r="F54" s="77"/>
      <c r="G54" s="77"/>
      <c r="H54" s="77"/>
      <c r="I54" s="77"/>
      <c r="J54" s="77"/>
      <c r="K54" s="77"/>
      <c r="L54" s="77"/>
      <c r="M54" s="77"/>
      <c r="N54" s="77"/>
      <c r="O54" s="77"/>
      <c r="P54" s="77"/>
      <c r="Q54" s="77"/>
    </row>
    <row r="55" spans="1:17" s="39" customFormat="1">
      <c r="A55" s="77"/>
      <c r="B55" s="77"/>
      <c r="C55" s="77"/>
      <c r="D55" s="77"/>
      <c r="E55" s="77"/>
      <c r="F55" s="77"/>
      <c r="G55" s="77"/>
      <c r="H55" s="77"/>
      <c r="I55" s="77"/>
      <c r="J55" s="77"/>
      <c r="K55" s="77"/>
      <c r="L55" s="77"/>
      <c r="M55" s="77"/>
      <c r="N55" s="77"/>
      <c r="O55" s="77"/>
      <c r="P55" s="77"/>
      <c r="Q55" s="77"/>
    </row>
    <row r="56" spans="1:17" s="39" customFormat="1">
      <c r="A56" s="77"/>
      <c r="B56" s="77"/>
      <c r="C56" s="77"/>
      <c r="D56" s="77"/>
      <c r="E56" s="77"/>
      <c r="F56" s="77"/>
      <c r="G56" s="77"/>
      <c r="H56" s="77"/>
      <c r="I56" s="77"/>
      <c r="J56" s="77"/>
      <c r="K56" s="77"/>
      <c r="L56" s="77"/>
      <c r="M56" s="77"/>
      <c r="N56" s="77"/>
      <c r="O56" s="77"/>
      <c r="P56" s="77"/>
      <c r="Q56" s="77"/>
    </row>
    <row r="57" spans="1:17" s="39" customFormat="1">
      <c r="A57" s="77"/>
      <c r="B57" s="77"/>
      <c r="C57" s="77"/>
      <c r="D57" s="77"/>
      <c r="E57" s="77"/>
      <c r="F57" s="77"/>
      <c r="G57" s="77"/>
      <c r="H57" s="77"/>
      <c r="I57" s="77"/>
      <c r="J57" s="77"/>
      <c r="K57" s="77"/>
      <c r="L57" s="77"/>
      <c r="M57" s="77"/>
      <c r="N57" s="77"/>
      <c r="O57" s="77"/>
      <c r="P57" s="77"/>
      <c r="Q57" s="77"/>
    </row>
    <row r="58" spans="1:17" s="39" customFormat="1">
      <c r="A58" s="77"/>
      <c r="B58" s="77"/>
      <c r="C58" s="77"/>
      <c r="D58" s="77"/>
      <c r="E58" s="77"/>
      <c r="F58" s="77"/>
      <c r="G58" s="77"/>
      <c r="H58" s="77"/>
      <c r="I58" s="77"/>
      <c r="J58" s="77"/>
      <c r="K58" s="77"/>
      <c r="L58" s="77"/>
      <c r="M58" s="77"/>
      <c r="N58" s="77"/>
      <c r="O58" s="77"/>
      <c r="P58" s="77"/>
      <c r="Q58" s="77"/>
    </row>
    <row r="59" spans="1:17" s="39" customFormat="1">
      <c r="A59" s="77"/>
      <c r="B59" s="77"/>
      <c r="C59" s="77"/>
      <c r="D59" s="77"/>
      <c r="E59" s="77"/>
      <c r="F59" s="77"/>
      <c r="G59" s="77"/>
      <c r="H59" s="77"/>
      <c r="I59" s="77"/>
      <c r="J59" s="77"/>
      <c r="K59" s="77"/>
      <c r="L59" s="77"/>
      <c r="M59" s="77"/>
      <c r="N59" s="77"/>
      <c r="O59" s="77"/>
      <c r="P59" s="77"/>
      <c r="Q59" s="77"/>
    </row>
    <row r="60" spans="1:17" s="39" customFormat="1">
      <c r="A60" s="77"/>
      <c r="B60" s="77"/>
      <c r="C60" s="77"/>
      <c r="D60" s="77"/>
      <c r="E60" s="77"/>
      <c r="F60" s="77"/>
      <c r="G60" s="77"/>
      <c r="H60" s="77"/>
      <c r="I60" s="77"/>
      <c r="J60" s="77"/>
      <c r="K60" s="77"/>
      <c r="L60" s="77"/>
      <c r="M60" s="77"/>
      <c r="N60" s="77"/>
      <c r="O60" s="77"/>
      <c r="P60" s="77"/>
      <c r="Q60" s="77"/>
    </row>
    <row r="61" spans="1:17" s="39" customFormat="1">
      <c r="A61" s="77"/>
      <c r="B61" s="77"/>
      <c r="C61" s="77"/>
      <c r="D61" s="77"/>
      <c r="E61" s="77"/>
      <c r="F61" s="77"/>
      <c r="G61" s="77"/>
      <c r="H61" s="77"/>
      <c r="I61" s="77"/>
      <c r="J61" s="77"/>
      <c r="K61" s="77"/>
      <c r="L61" s="77"/>
      <c r="M61" s="77"/>
      <c r="N61" s="77"/>
      <c r="O61" s="77"/>
      <c r="P61" s="77"/>
      <c r="Q61" s="77"/>
    </row>
    <row r="62" spans="1:17" s="39" customFormat="1">
      <c r="A62" s="77"/>
      <c r="B62" s="77"/>
      <c r="C62" s="77"/>
      <c r="D62" s="77"/>
      <c r="E62" s="77"/>
      <c r="F62" s="77"/>
      <c r="G62" s="77"/>
      <c r="H62" s="77"/>
      <c r="I62" s="77"/>
      <c r="J62" s="77"/>
      <c r="K62" s="77"/>
      <c r="L62" s="77"/>
      <c r="M62" s="77"/>
      <c r="N62" s="77"/>
      <c r="O62" s="77"/>
      <c r="P62" s="77"/>
      <c r="Q62" s="77"/>
    </row>
    <row r="63" spans="1:17" s="39" customFormat="1">
      <c r="A63" s="77"/>
      <c r="B63" s="77"/>
      <c r="C63" s="77"/>
      <c r="D63" s="77"/>
      <c r="E63" s="77"/>
      <c r="F63" s="77"/>
      <c r="G63" s="77"/>
      <c r="H63" s="77"/>
      <c r="I63" s="77"/>
      <c r="J63" s="77"/>
      <c r="K63" s="77"/>
      <c r="L63" s="77"/>
      <c r="M63" s="77"/>
      <c r="N63" s="77"/>
      <c r="O63" s="77"/>
      <c r="P63" s="77"/>
      <c r="Q63" s="77"/>
    </row>
    <row r="64" spans="1:17" s="39" customFormat="1">
      <c r="A64" s="77"/>
      <c r="B64" s="77"/>
      <c r="C64" s="77"/>
      <c r="D64" s="77"/>
      <c r="E64" s="77"/>
      <c r="F64" s="77"/>
      <c r="G64" s="77"/>
      <c r="H64" s="77"/>
      <c r="I64" s="77"/>
      <c r="J64" s="77"/>
      <c r="K64" s="77"/>
      <c r="L64" s="77"/>
      <c r="M64" s="77"/>
      <c r="N64" s="77"/>
      <c r="O64" s="77"/>
      <c r="P64" s="77"/>
      <c r="Q64" s="77"/>
    </row>
    <row r="65" spans="1:17" s="39" customFormat="1">
      <c r="A65" s="77"/>
      <c r="B65" s="77"/>
      <c r="C65" s="77"/>
      <c r="D65" s="77"/>
      <c r="E65" s="77"/>
      <c r="F65" s="77"/>
      <c r="G65" s="77"/>
      <c r="H65" s="77"/>
      <c r="I65" s="77"/>
      <c r="J65" s="77"/>
      <c r="K65" s="77"/>
      <c r="L65" s="77"/>
      <c r="M65" s="77"/>
      <c r="N65" s="77"/>
      <c r="O65" s="77"/>
      <c r="P65" s="77"/>
      <c r="Q65" s="77"/>
    </row>
    <row r="66" spans="1:17" s="39" customFormat="1">
      <c r="A66" s="77"/>
      <c r="B66" s="77"/>
      <c r="C66" s="77"/>
      <c r="D66" s="77"/>
      <c r="E66" s="77"/>
      <c r="F66" s="77"/>
      <c r="G66" s="77"/>
      <c r="H66" s="77"/>
      <c r="I66" s="77"/>
      <c r="J66" s="77"/>
      <c r="K66" s="77"/>
      <c r="L66" s="77"/>
      <c r="M66" s="77"/>
      <c r="N66" s="77"/>
      <c r="O66" s="77"/>
      <c r="P66" s="77"/>
      <c r="Q66" s="77"/>
    </row>
    <row r="67" spans="1:17" s="39" customFormat="1">
      <c r="A67" s="77"/>
      <c r="B67" s="77"/>
      <c r="C67" s="77"/>
      <c r="D67" s="77"/>
      <c r="E67" s="77"/>
      <c r="F67" s="77"/>
      <c r="G67" s="77"/>
      <c r="H67" s="77"/>
      <c r="I67" s="77"/>
      <c r="J67" s="77"/>
      <c r="K67" s="77"/>
      <c r="L67" s="77"/>
      <c r="M67" s="77"/>
      <c r="N67" s="77"/>
      <c r="O67" s="77"/>
      <c r="P67" s="77"/>
      <c r="Q67" s="77"/>
    </row>
    <row r="68" spans="1:17" s="39" customFormat="1">
      <c r="A68" s="77"/>
      <c r="B68" s="77"/>
      <c r="C68" s="77"/>
      <c r="D68" s="77"/>
      <c r="E68" s="77"/>
      <c r="F68" s="77"/>
      <c r="G68" s="77"/>
      <c r="H68" s="77"/>
      <c r="I68" s="77"/>
      <c r="J68" s="77"/>
      <c r="K68" s="77"/>
      <c r="L68" s="77"/>
      <c r="M68" s="77"/>
      <c r="N68" s="77"/>
      <c r="O68" s="77"/>
      <c r="P68" s="77"/>
      <c r="Q68" s="77"/>
    </row>
    <row r="69" spans="1:17" s="39" customFormat="1">
      <c r="A69" s="77"/>
      <c r="B69" s="77"/>
      <c r="C69" s="77"/>
      <c r="D69" s="77"/>
      <c r="E69" s="77"/>
      <c r="F69" s="77"/>
      <c r="G69" s="77"/>
      <c r="H69" s="77"/>
      <c r="I69" s="77"/>
      <c r="J69" s="77"/>
      <c r="K69" s="77"/>
      <c r="L69" s="77"/>
      <c r="M69" s="77"/>
      <c r="N69" s="77"/>
      <c r="O69" s="77"/>
      <c r="P69" s="77"/>
      <c r="Q69" s="77"/>
    </row>
    <row r="70" spans="1:17" s="39" customFormat="1">
      <c r="A70" s="77"/>
      <c r="B70" s="77"/>
      <c r="C70" s="77"/>
      <c r="D70" s="77"/>
      <c r="E70" s="77"/>
      <c r="F70" s="77"/>
      <c r="G70" s="77"/>
      <c r="H70" s="77"/>
      <c r="I70" s="77"/>
      <c r="J70" s="77"/>
      <c r="K70" s="77"/>
      <c r="L70" s="77"/>
      <c r="M70" s="77"/>
      <c r="N70" s="77"/>
      <c r="O70" s="77"/>
      <c r="P70" s="77"/>
      <c r="Q70" s="77"/>
    </row>
    <row r="71" spans="1:17" s="39" customFormat="1">
      <c r="A71" s="77"/>
      <c r="B71" s="77"/>
      <c r="C71" s="77"/>
      <c r="D71" s="77"/>
      <c r="E71" s="77"/>
      <c r="F71" s="77"/>
      <c r="G71" s="77"/>
      <c r="H71" s="77"/>
      <c r="I71" s="77"/>
      <c r="J71" s="77"/>
      <c r="K71" s="77"/>
      <c r="L71" s="77"/>
      <c r="M71" s="77"/>
      <c r="N71" s="77"/>
      <c r="O71" s="77"/>
      <c r="P71" s="77"/>
      <c r="Q71" s="77"/>
    </row>
    <row r="72" spans="1:17" s="39" customFormat="1">
      <c r="A72" s="77"/>
      <c r="B72" s="77"/>
      <c r="C72" s="77"/>
      <c r="D72" s="77"/>
      <c r="E72" s="77"/>
      <c r="F72" s="77"/>
      <c r="G72" s="77"/>
      <c r="H72" s="77"/>
      <c r="I72" s="77"/>
      <c r="J72" s="77"/>
      <c r="K72" s="77"/>
      <c r="L72" s="77"/>
      <c r="M72" s="77"/>
      <c r="N72" s="77"/>
      <c r="O72" s="77"/>
      <c r="P72" s="77"/>
      <c r="Q72" s="77"/>
    </row>
    <row r="73" spans="1:17" s="39" customFormat="1">
      <c r="A73" s="77"/>
      <c r="B73" s="77"/>
      <c r="C73" s="77"/>
      <c r="D73" s="77"/>
      <c r="E73" s="77"/>
      <c r="F73" s="77"/>
      <c r="G73" s="77"/>
      <c r="H73" s="77"/>
      <c r="I73" s="77"/>
      <c r="J73" s="77"/>
      <c r="K73" s="77"/>
      <c r="L73" s="77"/>
      <c r="M73" s="77"/>
      <c r="N73" s="77"/>
      <c r="O73" s="77"/>
      <c r="P73" s="77"/>
      <c r="Q73" s="77"/>
    </row>
    <row r="74" spans="1:17" s="39" customFormat="1">
      <c r="A74" s="77"/>
      <c r="B74" s="77"/>
      <c r="C74" s="77"/>
      <c r="D74" s="77"/>
      <c r="E74" s="77"/>
      <c r="F74" s="77"/>
      <c r="G74" s="77"/>
      <c r="H74" s="77"/>
      <c r="I74" s="77"/>
      <c r="J74" s="77"/>
      <c r="K74" s="77"/>
      <c r="L74" s="77"/>
      <c r="M74" s="77"/>
      <c r="N74" s="77"/>
      <c r="O74" s="77"/>
      <c r="P74" s="77"/>
      <c r="Q74" s="77"/>
    </row>
    <row r="75" spans="1:17" s="39" customFormat="1">
      <c r="A75" s="77"/>
      <c r="B75" s="77"/>
      <c r="C75" s="77"/>
      <c r="D75" s="77"/>
      <c r="E75" s="77"/>
      <c r="F75" s="77"/>
      <c r="G75" s="77"/>
      <c r="H75" s="77"/>
      <c r="I75" s="77"/>
      <c r="J75" s="77"/>
      <c r="K75" s="77"/>
      <c r="L75" s="77"/>
      <c r="M75" s="77"/>
      <c r="N75" s="77"/>
      <c r="O75" s="77"/>
      <c r="P75" s="77"/>
      <c r="Q75" s="77"/>
    </row>
    <row r="76" spans="1:17" s="39" customFormat="1">
      <c r="A76" s="77"/>
      <c r="B76" s="77"/>
      <c r="C76" s="77"/>
      <c r="D76" s="77"/>
      <c r="E76" s="77"/>
      <c r="F76" s="77"/>
      <c r="G76" s="77"/>
      <c r="H76" s="77"/>
      <c r="I76" s="77"/>
      <c r="J76" s="77"/>
      <c r="K76" s="77"/>
      <c r="L76" s="77"/>
      <c r="M76" s="77"/>
      <c r="N76" s="77"/>
      <c r="O76" s="77"/>
      <c r="P76" s="77"/>
      <c r="Q76" s="77"/>
    </row>
    <row r="77" spans="1:17" s="39" customFormat="1">
      <c r="A77" s="77"/>
      <c r="B77" s="77"/>
      <c r="C77" s="77"/>
      <c r="D77" s="77"/>
      <c r="E77" s="77"/>
      <c r="F77" s="77"/>
      <c r="G77" s="77"/>
      <c r="H77" s="77"/>
      <c r="I77" s="77"/>
      <c r="J77" s="77"/>
      <c r="K77" s="77"/>
      <c r="L77" s="77"/>
      <c r="M77" s="77"/>
      <c r="N77" s="77"/>
      <c r="O77" s="77"/>
      <c r="P77" s="77"/>
      <c r="Q77" s="77"/>
    </row>
    <row r="78" spans="1:17" s="39" customFormat="1">
      <c r="A78" s="77"/>
      <c r="B78" s="77"/>
      <c r="C78" s="77"/>
      <c r="D78" s="77"/>
      <c r="E78" s="77"/>
      <c r="F78" s="77"/>
      <c r="G78" s="77"/>
      <c r="H78" s="77"/>
      <c r="I78" s="77"/>
      <c r="J78" s="77"/>
      <c r="K78" s="77"/>
      <c r="L78" s="77"/>
      <c r="M78" s="77"/>
      <c r="N78" s="77"/>
      <c r="O78" s="77"/>
      <c r="P78" s="77"/>
      <c r="Q78" s="77"/>
    </row>
    <row r="79" spans="1:17" s="39" customFormat="1">
      <c r="A79" s="77"/>
      <c r="B79" s="77"/>
      <c r="C79" s="77"/>
      <c r="D79" s="77"/>
      <c r="E79" s="77"/>
      <c r="F79" s="77"/>
      <c r="G79" s="77"/>
      <c r="H79" s="77"/>
      <c r="I79" s="77"/>
      <c r="J79" s="77"/>
      <c r="K79" s="77"/>
      <c r="L79" s="77"/>
      <c r="M79" s="77"/>
      <c r="N79" s="77"/>
      <c r="O79" s="77"/>
      <c r="P79" s="77"/>
      <c r="Q79" s="77"/>
    </row>
    <row r="80" spans="1:17" s="39" customFormat="1">
      <c r="A80" s="77"/>
      <c r="B80" s="77"/>
      <c r="C80" s="77"/>
      <c r="D80" s="77"/>
      <c r="E80" s="77"/>
      <c r="F80" s="77"/>
      <c r="G80" s="77"/>
      <c r="H80" s="77"/>
      <c r="I80" s="77"/>
      <c r="J80" s="77"/>
      <c r="K80" s="77"/>
      <c r="L80" s="77"/>
      <c r="M80" s="77"/>
      <c r="N80" s="77"/>
      <c r="O80" s="77"/>
      <c r="P80" s="77"/>
      <c r="Q80" s="77"/>
    </row>
    <row r="81" spans="1:17" s="39" customFormat="1">
      <c r="A81" s="77"/>
      <c r="B81" s="77"/>
      <c r="C81" s="77"/>
      <c r="D81" s="77"/>
      <c r="E81" s="77"/>
      <c r="F81" s="77"/>
      <c r="G81" s="77"/>
      <c r="H81" s="77"/>
      <c r="I81" s="77"/>
      <c r="J81" s="77"/>
      <c r="K81" s="77"/>
      <c r="L81" s="77"/>
      <c r="M81" s="77"/>
      <c r="N81" s="77"/>
      <c r="O81" s="77"/>
      <c r="P81" s="77"/>
      <c r="Q81" s="77"/>
    </row>
    <row r="82" spans="1:17" s="39" customFormat="1">
      <c r="A82" s="77"/>
      <c r="B82" s="77"/>
      <c r="C82" s="77"/>
      <c r="D82" s="77"/>
      <c r="E82" s="77"/>
      <c r="F82" s="77"/>
      <c r="G82" s="77"/>
      <c r="H82" s="77"/>
      <c r="I82" s="77"/>
      <c r="J82" s="77"/>
      <c r="K82" s="77"/>
      <c r="L82" s="77"/>
      <c r="M82" s="77"/>
      <c r="N82" s="77"/>
      <c r="O82" s="77"/>
      <c r="P82" s="77"/>
      <c r="Q82" s="77"/>
    </row>
    <row r="83" spans="1:17" s="39" customFormat="1">
      <c r="A83" s="77"/>
      <c r="B83" s="77"/>
      <c r="C83" s="77"/>
      <c r="D83" s="77"/>
      <c r="E83" s="77"/>
      <c r="F83" s="77"/>
      <c r="G83" s="77"/>
      <c r="H83" s="77"/>
      <c r="I83" s="77"/>
      <c r="J83" s="77"/>
      <c r="K83" s="77"/>
      <c r="L83" s="77"/>
      <c r="M83" s="77"/>
      <c r="N83" s="77"/>
      <c r="O83" s="77"/>
      <c r="P83" s="77"/>
      <c r="Q83" s="77"/>
    </row>
    <row r="84" spans="1:17" s="39" customFormat="1">
      <c r="A84" s="77"/>
      <c r="B84" s="77"/>
      <c r="C84" s="77"/>
      <c r="D84" s="77"/>
      <c r="E84" s="77"/>
      <c r="F84" s="77"/>
      <c r="G84" s="77"/>
      <c r="H84" s="77"/>
      <c r="I84" s="77"/>
      <c r="J84" s="77"/>
      <c r="K84" s="77"/>
      <c r="L84" s="77"/>
      <c r="M84" s="77"/>
      <c r="N84" s="77"/>
      <c r="O84" s="77"/>
      <c r="P84" s="77"/>
      <c r="Q84" s="77"/>
    </row>
    <row r="85" spans="1:17" s="39" customFormat="1">
      <c r="A85" s="77"/>
      <c r="B85" s="77"/>
      <c r="C85" s="77"/>
      <c r="D85" s="77"/>
      <c r="E85" s="77"/>
      <c r="F85" s="77"/>
      <c r="G85" s="77"/>
      <c r="H85" s="77"/>
      <c r="I85" s="77"/>
      <c r="J85" s="77"/>
      <c r="K85" s="77"/>
      <c r="L85" s="77"/>
      <c r="M85" s="77"/>
      <c r="N85" s="77"/>
      <c r="O85" s="77"/>
      <c r="P85" s="77"/>
      <c r="Q85" s="77"/>
    </row>
    <row r="86" spans="1:17" s="39" customFormat="1">
      <c r="A86" s="77"/>
      <c r="B86" s="77"/>
      <c r="C86" s="77"/>
      <c r="D86" s="77"/>
      <c r="E86" s="77"/>
      <c r="F86" s="77"/>
      <c r="G86" s="77"/>
      <c r="H86" s="77"/>
      <c r="I86" s="77"/>
      <c r="J86" s="77"/>
      <c r="K86" s="77"/>
      <c r="L86" s="77"/>
      <c r="M86" s="77"/>
      <c r="N86" s="77"/>
      <c r="O86" s="77"/>
      <c r="P86" s="77"/>
      <c r="Q86" s="77"/>
    </row>
    <row r="87" spans="1:17" s="39" customFormat="1">
      <c r="A87" s="77"/>
      <c r="B87" s="77"/>
      <c r="C87" s="77"/>
      <c r="D87" s="77"/>
      <c r="E87" s="77"/>
      <c r="F87" s="77"/>
      <c r="G87" s="77"/>
      <c r="H87" s="77"/>
      <c r="I87" s="77"/>
      <c r="J87" s="77"/>
      <c r="K87" s="77"/>
      <c r="L87" s="77"/>
      <c r="M87" s="77"/>
      <c r="N87" s="77"/>
      <c r="O87" s="77"/>
      <c r="P87" s="77"/>
      <c r="Q87" s="77"/>
    </row>
    <row r="88" spans="1:17" s="39" customFormat="1">
      <c r="A88" s="77"/>
      <c r="B88" s="77"/>
      <c r="C88" s="77"/>
      <c r="D88" s="77"/>
      <c r="E88" s="77"/>
      <c r="F88" s="77"/>
      <c r="G88" s="77"/>
      <c r="H88" s="77"/>
      <c r="I88" s="77"/>
      <c r="J88" s="77"/>
      <c r="K88" s="77"/>
      <c r="L88" s="77"/>
      <c r="M88" s="77"/>
      <c r="N88" s="77"/>
      <c r="O88" s="77"/>
      <c r="P88" s="77"/>
      <c r="Q88" s="77"/>
    </row>
    <row r="89" spans="1:17" s="39" customFormat="1">
      <c r="A89" s="77"/>
      <c r="B89" s="77"/>
      <c r="C89" s="77"/>
      <c r="D89" s="77"/>
      <c r="E89" s="77"/>
      <c r="F89" s="77"/>
      <c r="G89" s="77"/>
      <c r="H89" s="77"/>
      <c r="I89" s="77"/>
      <c r="J89" s="77"/>
      <c r="K89" s="77"/>
      <c r="L89" s="77"/>
      <c r="M89" s="77"/>
      <c r="N89" s="77"/>
      <c r="O89" s="77"/>
      <c r="P89" s="77"/>
      <c r="Q89" s="77"/>
    </row>
    <row r="90" spans="1:17" s="39" customFormat="1">
      <c r="A90" s="77"/>
      <c r="B90" s="77"/>
      <c r="C90" s="77"/>
      <c r="D90" s="77"/>
      <c r="E90" s="77"/>
      <c r="F90" s="77"/>
      <c r="G90" s="77"/>
      <c r="H90" s="77"/>
      <c r="I90" s="77"/>
      <c r="J90" s="77"/>
      <c r="K90" s="77"/>
      <c r="L90" s="77"/>
      <c r="M90" s="77"/>
      <c r="N90" s="77"/>
      <c r="O90" s="77"/>
      <c r="P90" s="77"/>
      <c r="Q90" s="77"/>
    </row>
    <row r="91" spans="1:17" s="39" customFormat="1">
      <c r="A91" s="77"/>
      <c r="B91" s="77"/>
      <c r="C91" s="77"/>
      <c r="D91" s="77"/>
      <c r="E91" s="77"/>
      <c r="F91" s="77"/>
      <c r="G91" s="77"/>
      <c r="H91" s="77"/>
      <c r="I91" s="77"/>
      <c r="J91" s="77"/>
      <c r="K91" s="77"/>
      <c r="L91" s="77"/>
      <c r="M91" s="77"/>
      <c r="N91" s="77"/>
      <c r="O91" s="77"/>
      <c r="P91" s="77"/>
      <c r="Q91" s="77"/>
    </row>
    <row r="92" spans="1:17" s="39" customFormat="1">
      <c r="A92" s="77"/>
      <c r="B92" s="77"/>
      <c r="C92" s="77"/>
      <c r="D92" s="77"/>
      <c r="E92" s="77"/>
      <c r="F92" s="77"/>
      <c r="G92" s="77"/>
      <c r="H92" s="77"/>
      <c r="I92" s="77"/>
      <c r="J92" s="77"/>
      <c r="K92" s="77"/>
      <c r="L92" s="77"/>
      <c r="M92" s="77"/>
      <c r="N92" s="77"/>
      <c r="O92" s="77"/>
      <c r="P92" s="77"/>
      <c r="Q92" s="77"/>
    </row>
    <row r="93" spans="1:17" s="39" customFormat="1">
      <c r="A93" s="77"/>
      <c r="B93" s="77"/>
      <c r="C93" s="77"/>
      <c r="D93" s="77"/>
      <c r="E93" s="77"/>
      <c r="F93" s="77"/>
      <c r="G93" s="77"/>
      <c r="H93" s="77"/>
      <c r="I93" s="77"/>
      <c r="J93" s="77"/>
      <c r="K93" s="77"/>
      <c r="L93" s="77"/>
      <c r="M93" s="77"/>
      <c r="N93" s="77"/>
      <c r="O93" s="77"/>
      <c r="P93" s="77"/>
      <c r="Q93" s="77"/>
    </row>
    <row r="94" spans="1:17" s="39" customFormat="1">
      <c r="A94" s="77"/>
      <c r="B94" s="77"/>
      <c r="C94" s="77"/>
      <c r="D94" s="77"/>
      <c r="E94" s="77"/>
      <c r="F94" s="77"/>
      <c r="G94" s="77"/>
      <c r="H94" s="77"/>
      <c r="I94" s="77"/>
      <c r="J94" s="77"/>
      <c r="K94" s="77"/>
      <c r="L94" s="77"/>
      <c r="M94" s="77"/>
      <c r="N94" s="77"/>
      <c r="O94" s="77"/>
      <c r="P94" s="77"/>
      <c r="Q94" s="77"/>
    </row>
    <row r="95" spans="1:17" s="39" customFormat="1">
      <c r="A95" s="77"/>
      <c r="B95" s="77"/>
      <c r="C95" s="77"/>
      <c r="D95" s="77"/>
      <c r="E95" s="77"/>
      <c r="F95" s="77"/>
      <c r="G95" s="77"/>
      <c r="H95" s="77"/>
      <c r="I95" s="77"/>
      <c r="J95" s="77"/>
      <c r="K95" s="77"/>
      <c r="L95" s="77"/>
      <c r="M95" s="77"/>
      <c r="N95" s="77"/>
      <c r="O95" s="77"/>
      <c r="P95" s="77"/>
      <c r="Q95" s="77"/>
    </row>
    <row r="96" spans="1:17" s="39" customFormat="1">
      <c r="A96" s="77"/>
      <c r="B96" s="77"/>
      <c r="C96" s="77"/>
      <c r="D96" s="77"/>
      <c r="E96" s="77"/>
      <c r="F96" s="77"/>
      <c r="G96" s="77"/>
      <c r="H96" s="77"/>
      <c r="I96" s="77"/>
      <c r="J96" s="77"/>
      <c r="K96" s="77"/>
      <c r="L96" s="77"/>
      <c r="M96" s="77"/>
      <c r="N96" s="77"/>
      <c r="O96" s="77"/>
      <c r="P96" s="77"/>
      <c r="Q96" s="77"/>
    </row>
    <row r="97" spans="1:17" s="39" customFormat="1">
      <c r="A97" s="77"/>
      <c r="B97" s="77"/>
      <c r="C97" s="77"/>
      <c r="D97" s="77"/>
      <c r="E97" s="77"/>
      <c r="F97" s="77"/>
      <c r="G97" s="77"/>
      <c r="H97" s="77"/>
      <c r="I97" s="77"/>
      <c r="J97" s="77"/>
      <c r="K97" s="77"/>
      <c r="L97" s="77"/>
      <c r="M97" s="77"/>
      <c r="N97" s="77"/>
      <c r="O97" s="77"/>
      <c r="P97" s="77"/>
      <c r="Q97" s="77"/>
    </row>
    <row r="98" spans="1:17" s="39" customFormat="1">
      <c r="A98" s="77"/>
      <c r="B98" s="77"/>
      <c r="C98" s="77"/>
      <c r="D98" s="77"/>
      <c r="E98" s="77"/>
      <c r="F98" s="77"/>
      <c r="G98" s="77"/>
      <c r="H98" s="77"/>
      <c r="I98" s="77"/>
      <c r="J98" s="77"/>
      <c r="K98" s="77"/>
      <c r="L98" s="77"/>
      <c r="M98" s="77"/>
      <c r="N98" s="77"/>
      <c r="O98" s="77"/>
      <c r="P98" s="77"/>
      <c r="Q98" s="77"/>
    </row>
    <row r="99" spans="1:17" s="39" customFormat="1">
      <c r="A99" s="77"/>
      <c r="B99" s="77"/>
      <c r="C99" s="77"/>
      <c r="D99" s="77"/>
      <c r="E99" s="77"/>
      <c r="F99" s="77"/>
      <c r="G99" s="77"/>
      <c r="H99" s="77"/>
      <c r="I99" s="77"/>
      <c r="J99" s="77"/>
      <c r="K99" s="77"/>
      <c r="L99" s="77"/>
      <c r="M99" s="77"/>
      <c r="N99" s="77"/>
      <c r="O99" s="77"/>
      <c r="P99" s="77"/>
      <c r="Q99" s="77"/>
    </row>
    <row r="100" spans="1:17" s="39" customFormat="1">
      <c r="A100" s="77"/>
      <c r="B100" s="77"/>
      <c r="C100" s="77"/>
      <c r="D100" s="77"/>
      <c r="E100" s="77"/>
      <c r="F100" s="77"/>
      <c r="G100" s="77"/>
      <c r="H100" s="77"/>
      <c r="I100" s="77"/>
      <c r="J100" s="77"/>
      <c r="K100" s="77"/>
      <c r="L100" s="77"/>
      <c r="M100" s="77"/>
      <c r="N100" s="77"/>
      <c r="O100" s="77"/>
      <c r="P100" s="77"/>
      <c r="Q100" s="77"/>
    </row>
    <row r="101" spans="1:17" s="39" customFormat="1">
      <c r="A101" s="77"/>
      <c r="B101" s="77"/>
      <c r="C101" s="77"/>
      <c r="D101" s="77"/>
      <c r="E101" s="77"/>
      <c r="F101" s="77"/>
      <c r="G101" s="77"/>
      <c r="H101" s="77"/>
      <c r="I101" s="77"/>
      <c r="J101" s="77"/>
      <c r="K101" s="77"/>
      <c r="L101" s="77"/>
      <c r="M101" s="77"/>
      <c r="N101" s="77"/>
      <c r="O101" s="77"/>
      <c r="P101" s="77"/>
      <c r="Q101" s="77"/>
    </row>
    <row r="102" spans="1:17" s="39" customFormat="1">
      <c r="A102" s="77"/>
      <c r="B102" s="77"/>
      <c r="C102" s="77"/>
      <c r="D102" s="77"/>
      <c r="E102" s="77"/>
      <c r="F102" s="77"/>
      <c r="G102" s="77"/>
      <c r="H102" s="77"/>
      <c r="I102" s="77"/>
      <c r="J102" s="77"/>
      <c r="K102" s="77"/>
      <c r="L102" s="77"/>
      <c r="M102" s="77"/>
      <c r="N102" s="77"/>
      <c r="O102" s="77"/>
      <c r="P102" s="77"/>
      <c r="Q102" s="77"/>
    </row>
    <row r="103" spans="1:17" s="39" customFormat="1">
      <c r="A103" s="77"/>
      <c r="B103" s="77"/>
      <c r="C103" s="77"/>
      <c r="D103" s="77"/>
      <c r="E103" s="77"/>
      <c r="F103" s="77"/>
      <c r="G103" s="77"/>
      <c r="H103" s="77"/>
      <c r="I103" s="77"/>
      <c r="J103" s="77"/>
      <c r="K103" s="77"/>
      <c r="L103" s="77"/>
      <c r="M103" s="77"/>
      <c r="N103" s="77"/>
      <c r="O103" s="77"/>
      <c r="P103" s="77"/>
      <c r="Q103" s="77"/>
    </row>
    <row r="104" spans="1:17" s="39" customFormat="1">
      <c r="A104" s="77"/>
      <c r="B104" s="77"/>
      <c r="C104" s="77"/>
      <c r="D104" s="77"/>
      <c r="E104" s="77"/>
      <c r="F104" s="77"/>
      <c r="G104" s="77"/>
      <c r="H104" s="77"/>
      <c r="I104" s="77"/>
      <c r="J104" s="77"/>
      <c r="K104" s="77"/>
      <c r="L104" s="77"/>
      <c r="M104" s="77"/>
      <c r="N104" s="77"/>
      <c r="O104" s="77"/>
      <c r="P104" s="77"/>
      <c r="Q104" s="77"/>
    </row>
    <row r="105" spans="1:17" s="39" customFormat="1">
      <c r="A105" s="77"/>
      <c r="B105" s="77"/>
      <c r="C105" s="77"/>
      <c r="D105" s="77"/>
      <c r="E105" s="77"/>
      <c r="F105" s="77"/>
      <c r="G105" s="77"/>
      <c r="H105" s="77"/>
      <c r="I105" s="77"/>
      <c r="J105" s="77"/>
      <c r="K105" s="77"/>
      <c r="L105" s="77"/>
      <c r="M105" s="77"/>
      <c r="N105" s="77"/>
      <c r="O105" s="77"/>
      <c r="P105" s="77"/>
      <c r="Q105" s="77"/>
    </row>
    <row r="106" spans="1:17" s="39" customFormat="1">
      <c r="A106" s="77"/>
      <c r="B106" s="77"/>
      <c r="C106" s="77"/>
      <c r="D106" s="77"/>
      <c r="E106" s="77"/>
      <c r="F106" s="77"/>
      <c r="G106" s="77"/>
      <c r="H106" s="77"/>
      <c r="I106" s="77"/>
      <c r="J106" s="77"/>
      <c r="K106" s="77"/>
      <c r="L106" s="77"/>
      <c r="M106" s="77"/>
      <c r="N106" s="77"/>
      <c r="O106" s="77"/>
      <c r="P106" s="77"/>
      <c r="Q106" s="77"/>
    </row>
    <row r="107" spans="1:17" s="39" customFormat="1">
      <c r="A107" s="77"/>
      <c r="B107" s="77"/>
      <c r="C107" s="77"/>
      <c r="D107" s="77"/>
      <c r="E107" s="77"/>
      <c r="F107" s="77"/>
      <c r="G107" s="77"/>
      <c r="H107" s="77"/>
      <c r="I107" s="77"/>
      <c r="J107" s="77"/>
      <c r="K107" s="77"/>
      <c r="L107" s="77"/>
      <c r="M107" s="77"/>
      <c r="N107" s="77"/>
      <c r="O107" s="77"/>
      <c r="P107" s="77"/>
      <c r="Q107" s="77"/>
    </row>
    <row r="108" spans="1:17" s="39" customFormat="1">
      <c r="A108" s="77"/>
      <c r="B108" s="77"/>
      <c r="C108" s="77"/>
      <c r="D108" s="77"/>
      <c r="E108" s="77"/>
      <c r="F108" s="77"/>
      <c r="G108" s="77"/>
      <c r="H108" s="77"/>
      <c r="I108" s="77"/>
      <c r="J108" s="77"/>
      <c r="K108" s="77"/>
      <c r="L108" s="77"/>
      <c r="M108" s="77"/>
      <c r="N108" s="77"/>
      <c r="O108" s="77"/>
      <c r="P108" s="77"/>
      <c r="Q108" s="77"/>
    </row>
    <row r="109" spans="1:17" s="39" customFormat="1"/>
    <row r="110" spans="1:17" s="39" customFormat="1"/>
    <row r="111" spans="1:17" s="39" customFormat="1"/>
    <row r="112" spans="1:17" s="39"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T111"/>
  <sheetViews>
    <sheetView showGridLines="0" view="pageBreakPreview" zoomScale="70" zoomScaleNormal="78" zoomScaleSheetLayoutView="70" workbookViewId="0">
      <pane ySplit="1" topLeftCell="A2" activePane="bottomLeft" state="frozen"/>
      <selection pane="bottomLeft" activeCell="A3" sqref="A3"/>
    </sheetView>
  </sheetViews>
  <sheetFormatPr baseColWidth="10" defaultColWidth="11.42578125" defaultRowHeight="15"/>
  <cols>
    <col min="1" max="1" width="14" style="77" customWidth="1"/>
    <col min="2" max="2" width="8.5703125" style="77" customWidth="1"/>
    <col min="3" max="3" width="10.28515625" style="77" customWidth="1"/>
    <col min="4" max="4" width="11.28515625" style="77" customWidth="1"/>
    <col min="5" max="5" width="12.140625" style="77" customWidth="1"/>
    <col min="6" max="6" width="13.85546875" style="77" customWidth="1"/>
    <col min="7" max="7" width="10.7109375" style="77" customWidth="1"/>
    <col min="8" max="8" width="12.85546875" style="77" customWidth="1"/>
    <col min="9" max="9" width="14.85546875" style="77" customWidth="1"/>
    <col min="10" max="10" width="14.7109375" style="77" customWidth="1"/>
    <col min="11" max="11" width="11" style="77" customWidth="1"/>
    <col min="12" max="12" width="13.85546875" style="77" customWidth="1"/>
    <col min="13" max="13" width="14.5703125" style="77" customWidth="1"/>
    <col min="14" max="14" width="16.42578125" style="77" customWidth="1"/>
    <col min="15" max="15" width="18.7109375" style="77" customWidth="1"/>
    <col min="16" max="16" width="16.28515625" style="77" customWidth="1"/>
    <col min="17" max="17" width="15.28515625" style="77" customWidth="1"/>
    <col min="18" max="18" width="12.140625" style="77" customWidth="1"/>
    <col min="19" max="19" width="20.28515625" style="77" customWidth="1"/>
    <col min="20" max="16384" width="11.42578125" style="77"/>
  </cols>
  <sheetData>
    <row r="1" spans="1:20" ht="85.5" customHeight="1">
      <c r="A1" s="2114"/>
      <c r="B1" s="2114"/>
      <c r="C1" s="2114"/>
      <c r="D1" s="2114"/>
      <c r="E1" s="2114"/>
      <c r="F1" s="2114"/>
      <c r="G1" s="2114"/>
      <c r="H1" s="2114"/>
      <c r="I1" s="2114"/>
      <c r="J1" s="2114"/>
      <c r="K1" s="2114"/>
      <c r="L1" s="2114"/>
      <c r="M1" s="2114"/>
      <c r="N1" s="2114"/>
      <c r="O1" s="2114"/>
      <c r="P1" s="2114"/>
      <c r="Q1" s="2114"/>
    </row>
    <row r="2" spans="1:20" s="39" customFormat="1" ht="23.25" customHeight="1">
      <c r="A2" s="2135" t="s">
        <v>205</v>
      </c>
      <c r="B2" s="2136"/>
      <c r="C2" s="2136"/>
      <c r="D2" s="2136"/>
      <c r="E2" s="2136"/>
      <c r="F2" s="2136"/>
      <c r="G2" s="2136"/>
      <c r="H2" s="2136"/>
      <c r="I2" s="2136"/>
      <c r="J2" s="2136"/>
      <c r="K2" s="2136"/>
      <c r="L2" s="2136"/>
      <c r="M2" s="2136"/>
      <c r="N2" s="2136"/>
      <c r="O2" s="2136"/>
      <c r="P2" s="2136"/>
      <c r="Q2" s="2137"/>
    </row>
    <row r="3" spans="1:20" s="187" customFormat="1" ht="33" customHeight="1">
      <c r="A3" s="366" t="s">
        <v>38</v>
      </c>
      <c r="B3" s="414" t="s">
        <v>77</v>
      </c>
      <c r="C3" s="414" t="s">
        <v>78</v>
      </c>
      <c r="D3" s="414" t="s">
        <v>79</v>
      </c>
      <c r="E3" s="414" t="s">
        <v>80</v>
      </c>
      <c r="F3" s="414" t="s">
        <v>81</v>
      </c>
      <c r="G3" s="414" t="s">
        <v>82</v>
      </c>
      <c r="H3" s="414" t="s">
        <v>83</v>
      </c>
      <c r="I3" s="302" t="s">
        <v>84</v>
      </c>
      <c r="J3" s="414" t="s">
        <v>85</v>
      </c>
      <c r="K3" s="366" t="s">
        <v>86</v>
      </c>
      <c r="L3" s="414" t="s">
        <v>87</v>
      </c>
      <c r="M3" s="302" t="s">
        <v>426</v>
      </c>
      <c r="N3" s="414" t="s">
        <v>76</v>
      </c>
      <c r="O3" s="302" t="s">
        <v>186</v>
      </c>
      <c r="P3" s="304" t="s">
        <v>90</v>
      </c>
      <c r="Q3" s="419" t="s">
        <v>91</v>
      </c>
      <c r="S3" s="647"/>
    </row>
    <row r="4" spans="1:20" s="39" customFormat="1" ht="15.75">
      <c r="A4" s="415" t="s">
        <v>26</v>
      </c>
      <c r="B4" s="413">
        <v>0</v>
      </c>
      <c r="C4" s="413">
        <v>4</v>
      </c>
      <c r="D4" s="413">
        <v>279</v>
      </c>
      <c r="E4" s="413">
        <v>115</v>
      </c>
      <c r="F4" s="413">
        <v>0</v>
      </c>
      <c r="G4" s="413">
        <v>128</v>
      </c>
      <c r="H4" s="413">
        <v>3</v>
      </c>
      <c r="I4" s="413">
        <v>68</v>
      </c>
      <c r="J4" s="413">
        <v>136</v>
      </c>
      <c r="K4" s="418">
        <f t="shared" ref="K4:K15" si="0">SUM(B4:J4)</f>
        <v>733</v>
      </c>
      <c r="L4" s="413">
        <v>0</v>
      </c>
      <c r="M4" s="413">
        <v>0</v>
      </c>
      <c r="N4" s="413">
        <v>0</v>
      </c>
      <c r="O4" s="413">
        <v>0</v>
      </c>
      <c r="P4" s="420">
        <f>SUM(L4:O4)</f>
        <v>0</v>
      </c>
      <c r="Q4" s="418">
        <f>K4+P4</f>
        <v>733</v>
      </c>
      <c r="S4" s="187"/>
      <c r="T4" s="187"/>
    </row>
    <row r="5" spans="1:20" s="39" customFormat="1" ht="15.75">
      <c r="A5" s="415" t="s">
        <v>27</v>
      </c>
      <c r="B5" s="413">
        <v>0</v>
      </c>
      <c r="C5" s="413">
        <v>19</v>
      </c>
      <c r="D5" s="413">
        <v>349</v>
      </c>
      <c r="E5" s="413">
        <v>176</v>
      </c>
      <c r="F5" s="413">
        <v>0</v>
      </c>
      <c r="G5" s="413">
        <v>1070</v>
      </c>
      <c r="H5" s="413">
        <v>19</v>
      </c>
      <c r="I5" s="413">
        <v>94</v>
      </c>
      <c r="J5" s="413">
        <v>112</v>
      </c>
      <c r="K5" s="418">
        <f t="shared" si="0"/>
        <v>1839</v>
      </c>
      <c r="L5" s="413">
        <v>0</v>
      </c>
      <c r="M5" s="413">
        <v>0</v>
      </c>
      <c r="N5" s="413">
        <v>0</v>
      </c>
      <c r="O5" s="413">
        <v>20</v>
      </c>
      <c r="P5" s="420">
        <f t="shared" ref="P5:P13" si="1">SUM(L5:O5)</f>
        <v>20</v>
      </c>
      <c r="Q5" s="418">
        <f>K5+P5</f>
        <v>1859</v>
      </c>
      <c r="S5" s="187"/>
      <c r="T5" s="187"/>
    </row>
    <row r="6" spans="1:20" s="39" customFormat="1" ht="15.75">
      <c r="A6" s="415" t="s">
        <v>28</v>
      </c>
      <c r="B6" s="413">
        <v>0</v>
      </c>
      <c r="C6" s="413">
        <v>0</v>
      </c>
      <c r="D6" s="413">
        <v>57</v>
      </c>
      <c r="E6" s="413">
        <v>136</v>
      </c>
      <c r="F6" s="413">
        <v>0</v>
      </c>
      <c r="G6" s="413">
        <v>585</v>
      </c>
      <c r="H6" s="413">
        <v>8</v>
      </c>
      <c r="I6" s="413">
        <v>27</v>
      </c>
      <c r="J6" s="413">
        <v>434</v>
      </c>
      <c r="K6" s="418">
        <f t="shared" si="0"/>
        <v>1247</v>
      </c>
      <c r="L6" s="413">
        <v>0</v>
      </c>
      <c r="M6" s="413">
        <v>0</v>
      </c>
      <c r="N6" s="413">
        <v>0</v>
      </c>
      <c r="O6" s="413">
        <v>0</v>
      </c>
      <c r="P6" s="420">
        <f t="shared" si="1"/>
        <v>0</v>
      </c>
      <c r="Q6" s="418">
        <f>K6+P6</f>
        <v>1247</v>
      </c>
      <c r="S6" s="187"/>
      <c r="T6" s="187"/>
    </row>
    <row r="7" spans="1:20" s="39" customFormat="1" ht="15.75">
      <c r="A7" s="415" t="s">
        <v>29</v>
      </c>
      <c r="B7" s="413">
        <v>0</v>
      </c>
      <c r="C7" s="413">
        <v>0</v>
      </c>
      <c r="D7" s="413">
        <v>0</v>
      </c>
      <c r="E7" s="413">
        <v>217</v>
      </c>
      <c r="F7" s="413">
        <v>0</v>
      </c>
      <c r="G7" s="413">
        <v>497</v>
      </c>
      <c r="H7" s="413">
        <v>3</v>
      </c>
      <c r="I7" s="413">
        <v>131</v>
      </c>
      <c r="J7" s="413">
        <v>180</v>
      </c>
      <c r="K7" s="418">
        <f t="shared" si="0"/>
        <v>1028</v>
      </c>
      <c r="L7" s="413">
        <v>0</v>
      </c>
      <c r="M7" s="413">
        <v>0</v>
      </c>
      <c r="N7" s="413">
        <v>0</v>
      </c>
      <c r="O7" s="413">
        <v>0</v>
      </c>
      <c r="P7" s="420">
        <f t="shared" si="1"/>
        <v>0</v>
      </c>
      <c r="Q7" s="418">
        <f>K7+P7</f>
        <v>1028</v>
      </c>
      <c r="S7" s="187"/>
      <c r="T7" s="187"/>
    </row>
    <row r="8" spans="1:20" s="39" customFormat="1" ht="15.75">
      <c r="A8" s="415" t="s">
        <v>30</v>
      </c>
      <c r="B8" s="413">
        <v>0</v>
      </c>
      <c r="C8" s="413">
        <v>0</v>
      </c>
      <c r="D8" s="413">
        <v>0</v>
      </c>
      <c r="E8" s="413">
        <v>174</v>
      </c>
      <c r="F8" s="413">
        <v>0</v>
      </c>
      <c r="G8" s="413">
        <v>1232</v>
      </c>
      <c r="H8" s="413">
        <v>3</v>
      </c>
      <c r="I8" s="413">
        <v>52</v>
      </c>
      <c r="J8" s="413">
        <v>105</v>
      </c>
      <c r="K8" s="418">
        <f t="shared" si="0"/>
        <v>1566</v>
      </c>
      <c r="L8" s="413">
        <v>0</v>
      </c>
      <c r="M8" s="413">
        <v>0</v>
      </c>
      <c r="N8" s="413">
        <v>21139</v>
      </c>
      <c r="O8" s="413">
        <v>2582</v>
      </c>
      <c r="P8" s="420">
        <f t="shared" si="1"/>
        <v>23721</v>
      </c>
      <c r="Q8" s="418">
        <f>K8+P8</f>
        <v>25287</v>
      </c>
      <c r="S8" s="187"/>
      <c r="T8" s="187"/>
    </row>
    <row r="9" spans="1:20" s="39" customFormat="1" ht="15.75">
      <c r="A9" s="415" t="s">
        <v>183</v>
      </c>
      <c r="B9" s="413">
        <v>0</v>
      </c>
      <c r="C9" s="413">
        <v>0</v>
      </c>
      <c r="D9" s="413">
        <v>0</v>
      </c>
      <c r="E9" s="413">
        <v>505</v>
      </c>
      <c r="F9" s="413">
        <v>0</v>
      </c>
      <c r="G9" s="413">
        <v>2471</v>
      </c>
      <c r="H9" s="413">
        <v>2</v>
      </c>
      <c r="I9" s="413">
        <v>116</v>
      </c>
      <c r="J9" s="413">
        <v>125</v>
      </c>
      <c r="K9" s="418">
        <f t="shared" si="0"/>
        <v>3219</v>
      </c>
      <c r="L9" s="413">
        <v>0</v>
      </c>
      <c r="M9" s="413">
        <v>1</v>
      </c>
      <c r="N9" s="413">
        <v>3310</v>
      </c>
      <c r="O9" s="413">
        <v>4114</v>
      </c>
      <c r="P9" s="420">
        <f t="shared" si="1"/>
        <v>7425</v>
      </c>
      <c r="Q9" s="418">
        <f t="shared" ref="Q9:Q14" si="2">K9+P9</f>
        <v>10644</v>
      </c>
      <c r="S9" s="187"/>
      <c r="T9" s="187"/>
    </row>
    <row r="10" spans="1:20" s="39" customFormat="1" ht="15.75">
      <c r="A10" s="415" t="s">
        <v>223</v>
      </c>
      <c r="B10" s="413">
        <v>0</v>
      </c>
      <c r="C10" s="413">
        <v>0</v>
      </c>
      <c r="D10" s="413">
        <v>0</v>
      </c>
      <c r="E10" s="413">
        <v>572</v>
      </c>
      <c r="F10" s="413">
        <v>0</v>
      </c>
      <c r="G10" s="413">
        <v>3158</v>
      </c>
      <c r="H10" s="413">
        <v>8</v>
      </c>
      <c r="I10" s="413">
        <v>306</v>
      </c>
      <c r="J10" s="413">
        <v>247</v>
      </c>
      <c r="K10" s="418">
        <f t="shared" si="0"/>
        <v>4291</v>
      </c>
      <c r="L10" s="413">
        <v>0</v>
      </c>
      <c r="M10" s="413">
        <v>0</v>
      </c>
      <c r="N10" s="413">
        <v>1778</v>
      </c>
      <c r="O10" s="413">
        <v>199</v>
      </c>
      <c r="P10" s="420">
        <f t="shared" si="1"/>
        <v>1977</v>
      </c>
      <c r="Q10" s="418">
        <f t="shared" si="2"/>
        <v>6268</v>
      </c>
      <c r="S10" s="187"/>
      <c r="T10" s="187"/>
    </row>
    <row r="11" spans="1:20" s="39" customFormat="1" ht="15.75">
      <c r="A11" s="415" t="s">
        <v>456</v>
      </c>
      <c r="B11" s="413">
        <v>0</v>
      </c>
      <c r="C11" s="413">
        <v>0</v>
      </c>
      <c r="D11" s="413">
        <v>0</v>
      </c>
      <c r="E11" s="413">
        <v>1014</v>
      </c>
      <c r="F11" s="413">
        <v>0</v>
      </c>
      <c r="G11" s="413">
        <v>3741</v>
      </c>
      <c r="H11" s="413">
        <v>11</v>
      </c>
      <c r="I11" s="413">
        <v>1022</v>
      </c>
      <c r="J11" s="413">
        <v>783</v>
      </c>
      <c r="K11" s="418">
        <f t="shared" si="0"/>
        <v>6571</v>
      </c>
      <c r="L11" s="413">
        <v>0</v>
      </c>
      <c r="M11" s="413">
        <v>513</v>
      </c>
      <c r="N11" s="413">
        <v>2945</v>
      </c>
      <c r="O11" s="413">
        <v>17</v>
      </c>
      <c r="P11" s="420">
        <f t="shared" si="1"/>
        <v>3475</v>
      </c>
      <c r="Q11" s="418">
        <f t="shared" si="2"/>
        <v>10046</v>
      </c>
      <c r="S11" s="187"/>
      <c r="T11" s="187"/>
    </row>
    <row r="12" spans="1:20" s="39" customFormat="1" ht="15.75">
      <c r="A12" s="415" t="s">
        <v>530</v>
      </c>
      <c r="B12" s="413">
        <v>0</v>
      </c>
      <c r="C12" s="413">
        <v>0</v>
      </c>
      <c r="D12" s="413">
        <v>0</v>
      </c>
      <c r="E12" s="413">
        <v>1482</v>
      </c>
      <c r="F12" s="413">
        <v>0</v>
      </c>
      <c r="G12" s="413">
        <v>7614</v>
      </c>
      <c r="H12" s="413">
        <v>7</v>
      </c>
      <c r="I12" s="413">
        <v>1578</v>
      </c>
      <c r="J12" s="413">
        <v>1278</v>
      </c>
      <c r="K12" s="418">
        <f t="shared" si="0"/>
        <v>11959</v>
      </c>
      <c r="L12" s="413">
        <v>0</v>
      </c>
      <c r="M12" s="413">
        <v>0</v>
      </c>
      <c r="N12" s="413">
        <v>2249</v>
      </c>
      <c r="O12" s="413">
        <v>1532</v>
      </c>
      <c r="P12" s="420">
        <f t="shared" si="1"/>
        <v>3781</v>
      </c>
      <c r="Q12" s="418">
        <f t="shared" si="2"/>
        <v>15740</v>
      </c>
      <c r="S12" s="187"/>
      <c r="T12" s="187"/>
    </row>
    <row r="13" spans="1:20" s="39" customFormat="1" ht="15.75">
      <c r="A13" s="415" t="s">
        <v>542</v>
      </c>
      <c r="B13" s="413">
        <v>0</v>
      </c>
      <c r="C13" s="413">
        <v>0</v>
      </c>
      <c r="D13" s="413">
        <v>0</v>
      </c>
      <c r="E13" s="413">
        <f>233+2235</f>
        <v>2468</v>
      </c>
      <c r="F13" s="413">
        <v>0</v>
      </c>
      <c r="G13" s="413">
        <f>1369+13437</f>
        <v>14806</v>
      </c>
      <c r="H13" s="413">
        <f>127+641</f>
        <v>768</v>
      </c>
      <c r="I13" s="413">
        <f>298+4015</f>
        <v>4313</v>
      </c>
      <c r="J13" s="413">
        <f>232+2281</f>
        <v>2513</v>
      </c>
      <c r="K13" s="418">
        <f t="shared" si="0"/>
        <v>24868</v>
      </c>
      <c r="L13" s="413">
        <v>0</v>
      </c>
      <c r="M13" s="413">
        <v>0</v>
      </c>
      <c r="N13" s="413">
        <f>1036+5999</f>
        <v>7035</v>
      </c>
      <c r="O13" s="413">
        <v>462</v>
      </c>
      <c r="P13" s="420">
        <f t="shared" si="1"/>
        <v>7497</v>
      </c>
      <c r="Q13" s="418">
        <f t="shared" si="2"/>
        <v>32365</v>
      </c>
      <c r="S13" s="187"/>
      <c r="T13" s="187"/>
    </row>
    <row r="14" spans="1:20" s="39" customFormat="1" ht="15.75">
      <c r="A14" s="415" t="s">
        <v>953</v>
      </c>
      <c r="B14" s="413">
        <v>0</v>
      </c>
      <c r="C14" s="413">
        <v>0</v>
      </c>
      <c r="D14" s="413">
        <v>0</v>
      </c>
      <c r="E14" s="413">
        <f>532+3193+753+500</f>
        <v>4978</v>
      </c>
      <c r="F14" s="413">
        <v>0</v>
      </c>
      <c r="G14" s="413">
        <f>14059+1752+2452+2163</f>
        <v>20426</v>
      </c>
      <c r="H14" s="413">
        <f>768+82+111+81</f>
        <v>1042</v>
      </c>
      <c r="I14" s="413">
        <f>3949+466+756+700</f>
        <v>5871</v>
      </c>
      <c r="J14" s="413">
        <f>2981+529+501+276</f>
        <v>4287</v>
      </c>
      <c r="K14" s="418">
        <f t="shared" si="0"/>
        <v>36604</v>
      </c>
      <c r="L14" s="413">
        <v>0</v>
      </c>
      <c r="M14" s="413">
        <v>11</v>
      </c>
      <c r="N14" s="413">
        <f>2319+1590+1203+437</f>
        <v>5549</v>
      </c>
      <c r="O14" s="413">
        <f>119+307</f>
        <v>426</v>
      </c>
      <c r="P14" s="420">
        <f>SUM(L14:O14)</f>
        <v>5986</v>
      </c>
      <c r="Q14" s="418">
        <f t="shared" si="2"/>
        <v>42590</v>
      </c>
      <c r="S14" s="187"/>
      <c r="T14" s="187"/>
    </row>
    <row r="15" spans="1:20" s="39" customFormat="1" ht="15.75">
      <c r="A15" s="415" t="s">
        <v>1003</v>
      </c>
      <c r="B15" s="413">
        <v>0</v>
      </c>
      <c r="C15" s="413">
        <v>0</v>
      </c>
      <c r="D15" s="413">
        <v>0</v>
      </c>
      <c r="E15" s="413">
        <v>2510</v>
      </c>
      <c r="F15" s="413">
        <v>0</v>
      </c>
      <c r="G15" s="413">
        <v>5911</v>
      </c>
      <c r="H15" s="413">
        <v>212</v>
      </c>
      <c r="I15" s="413">
        <v>2594</v>
      </c>
      <c r="J15" s="413">
        <v>2173</v>
      </c>
      <c r="K15" s="418">
        <f t="shared" si="0"/>
        <v>13400</v>
      </c>
      <c r="L15" s="413">
        <v>0</v>
      </c>
      <c r="M15" s="413">
        <v>0</v>
      </c>
      <c r="N15" s="413">
        <v>676</v>
      </c>
      <c r="O15" s="413">
        <v>249</v>
      </c>
      <c r="P15" s="420">
        <f>SUM(L15:O15)</f>
        <v>925</v>
      </c>
      <c r="Q15" s="418">
        <f>K15+P15</f>
        <v>14325</v>
      </c>
      <c r="S15" s="187"/>
      <c r="T15" s="187"/>
    </row>
    <row r="16" spans="1:20" s="1162" customFormat="1" ht="18.75" customHeight="1">
      <c r="A16" s="366" t="s">
        <v>23</v>
      </c>
      <c r="B16" s="417">
        <f t="shared" ref="B16:P16" si="3">SUM(B4:B15)</f>
        <v>0</v>
      </c>
      <c r="C16" s="417">
        <f t="shared" si="3"/>
        <v>23</v>
      </c>
      <c r="D16" s="417">
        <f t="shared" si="3"/>
        <v>685</v>
      </c>
      <c r="E16" s="417">
        <f t="shared" si="3"/>
        <v>14347</v>
      </c>
      <c r="F16" s="417">
        <f t="shared" si="3"/>
        <v>0</v>
      </c>
      <c r="G16" s="417">
        <f t="shared" si="3"/>
        <v>61639</v>
      </c>
      <c r="H16" s="417">
        <f t="shared" si="3"/>
        <v>2086</v>
      </c>
      <c r="I16" s="417">
        <f t="shared" si="3"/>
        <v>16172</v>
      </c>
      <c r="J16" s="417">
        <f t="shared" si="3"/>
        <v>12373</v>
      </c>
      <c r="K16" s="858">
        <f t="shared" si="3"/>
        <v>107325</v>
      </c>
      <c r="L16" s="417">
        <f t="shared" si="3"/>
        <v>0</v>
      </c>
      <c r="M16" s="417">
        <f t="shared" si="3"/>
        <v>525</v>
      </c>
      <c r="N16" s="417">
        <f t="shared" si="3"/>
        <v>44681</v>
      </c>
      <c r="O16" s="417">
        <f t="shared" si="3"/>
        <v>9601</v>
      </c>
      <c r="P16" s="859">
        <f t="shared" si="3"/>
        <v>54807</v>
      </c>
      <c r="Q16" s="858">
        <f>SUM(Q4:Q15)</f>
        <v>162132</v>
      </c>
      <c r="R16" s="647"/>
      <c r="S16" s="1731"/>
      <c r="T16" s="1731"/>
    </row>
    <row r="17" spans="1:20" s="39" customFormat="1">
      <c r="A17" s="96"/>
      <c r="B17" s="96"/>
      <c r="C17" s="96"/>
      <c r="D17" s="96"/>
      <c r="E17" s="77"/>
      <c r="F17" s="77"/>
      <c r="G17" s="77"/>
      <c r="H17" s="96"/>
      <c r="I17" s="96"/>
      <c r="J17" s="96"/>
      <c r="K17" s="96"/>
      <c r="L17" s="96" t="s">
        <v>201</v>
      </c>
      <c r="M17" s="96"/>
      <c r="N17" s="96"/>
      <c r="O17" s="96"/>
      <c r="P17" s="96"/>
      <c r="Q17" s="96"/>
      <c r="S17" s="187"/>
      <c r="T17" s="187"/>
    </row>
    <row r="18" spans="1:20" s="39" customFormat="1">
      <c r="A18" s="96"/>
      <c r="B18" s="96"/>
      <c r="C18" s="44"/>
      <c r="D18" s="44"/>
      <c r="E18" s="44"/>
      <c r="F18" s="44"/>
      <c r="G18" s="61"/>
      <c r="H18" s="44"/>
      <c r="I18" s="61"/>
      <c r="J18" s="44"/>
      <c r="K18" s="44"/>
      <c r="L18" s="44"/>
      <c r="M18" s="44"/>
      <c r="N18" s="44"/>
      <c r="O18" s="44"/>
      <c r="P18" s="61"/>
      <c r="Q18" s="24"/>
    </row>
    <row r="19" spans="1:20" s="39" customFormat="1">
      <c r="A19" s="96"/>
      <c r="B19" s="96"/>
      <c r="C19" s="44"/>
      <c r="D19" s="44"/>
      <c r="E19" s="44"/>
      <c r="F19" s="44"/>
      <c r="G19" s="61"/>
      <c r="H19" s="44"/>
      <c r="I19" s="61"/>
      <c r="J19" s="44"/>
      <c r="K19" s="44"/>
      <c r="L19" s="44"/>
      <c r="M19" s="61"/>
      <c r="N19" s="44"/>
      <c r="O19" s="44"/>
      <c r="P19" s="44"/>
      <c r="Q19" s="44"/>
    </row>
    <row r="20" spans="1:20" s="39" customFormat="1">
      <c r="A20" s="96"/>
      <c r="B20" s="96"/>
      <c r="C20" s="44"/>
      <c r="D20" s="44"/>
      <c r="E20" s="44"/>
      <c r="F20" s="44"/>
      <c r="G20" s="61"/>
      <c r="H20" s="44"/>
      <c r="I20" s="61"/>
      <c r="J20" s="44"/>
      <c r="K20" s="44"/>
      <c r="L20" s="44"/>
      <c r="M20" s="61"/>
      <c r="N20" s="44"/>
      <c r="O20" s="44"/>
      <c r="P20" s="44"/>
      <c r="Q20" s="44"/>
    </row>
    <row r="21" spans="1:20" s="39" customFormat="1">
      <c r="A21" s="96"/>
      <c r="B21" s="96"/>
      <c r="C21" s="44"/>
      <c r="D21" s="44"/>
      <c r="E21" s="44"/>
      <c r="F21" s="44"/>
      <c r="G21" s="61"/>
      <c r="H21" s="44"/>
      <c r="I21" s="61"/>
      <c r="J21" s="44"/>
      <c r="K21" s="44"/>
      <c r="L21" s="44"/>
      <c r="M21" s="44"/>
      <c r="N21" s="44"/>
      <c r="O21" s="44"/>
      <c r="P21" s="61"/>
      <c r="Q21" s="44"/>
    </row>
    <row r="22" spans="1:20" s="39" customFormat="1">
      <c r="A22" s="96"/>
      <c r="B22" s="96"/>
      <c r="C22" s="44"/>
      <c r="D22" s="44"/>
      <c r="E22" s="44"/>
      <c r="F22" s="44"/>
      <c r="G22" s="61"/>
      <c r="H22" s="44"/>
      <c r="I22" s="61"/>
      <c r="J22" s="44"/>
      <c r="K22" s="44"/>
      <c r="L22" s="44"/>
      <c r="M22" s="61"/>
      <c r="N22" s="44"/>
      <c r="O22" s="44"/>
      <c r="P22" s="61"/>
      <c r="Q22" s="61"/>
    </row>
    <row r="23" spans="1:20" s="39" customFormat="1">
      <c r="A23" s="96"/>
      <c r="B23" s="96"/>
      <c r="C23" s="44"/>
      <c r="D23" s="44"/>
      <c r="E23" s="44"/>
      <c r="F23" s="44"/>
      <c r="G23" s="44"/>
      <c r="H23" s="44"/>
      <c r="I23" s="61"/>
      <c r="J23" s="44"/>
      <c r="K23" s="61"/>
      <c r="L23" s="61"/>
      <c r="M23" s="44"/>
      <c r="N23" s="44"/>
      <c r="O23" s="44"/>
      <c r="P23" s="44"/>
      <c r="Q23" s="44"/>
    </row>
    <row r="24" spans="1:20" s="39" customFormat="1">
      <c r="A24" s="96"/>
      <c r="B24" s="96"/>
      <c r="C24" s="44"/>
      <c r="D24" s="44"/>
      <c r="E24" s="44"/>
      <c r="F24" s="44"/>
      <c r="G24" s="44"/>
      <c r="H24" s="44"/>
      <c r="I24" s="61"/>
      <c r="J24" s="44"/>
      <c r="K24" s="44"/>
      <c r="L24" s="44"/>
      <c r="M24" s="61"/>
      <c r="N24" s="44"/>
      <c r="O24" s="44"/>
      <c r="P24" s="44"/>
      <c r="Q24" s="61"/>
    </row>
    <row r="25" spans="1:20" s="39" customFormat="1">
      <c r="A25" s="96"/>
      <c r="B25" s="96"/>
      <c r="C25" s="44"/>
      <c r="D25" s="44"/>
      <c r="E25" s="44"/>
      <c r="F25" s="44"/>
      <c r="G25" s="61"/>
      <c r="H25" s="44"/>
      <c r="I25" s="61"/>
      <c r="J25" s="44"/>
      <c r="K25" s="44"/>
      <c r="L25" s="44"/>
      <c r="M25" s="61"/>
      <c r="N25" s="44"/>
      <c r="O25" s="44"/>
      <c r="P25" s="44"/>
      <c r="Q25" s="61"/>
    </row>
    <row r="26" spans="1:20" s="39" customFormat="1">
      <c r="A26" s="96"/>
      <c r="B26" s="96"/>
      <c r="C26" s="96"/>
      <c r="D26" s="25"/>
      <c r="E26" s="25"/>
      <c r="F26" s="25"/>
      <c r="G26" s="26"/>
      <c r="H26" s="25"/>
      <c r="I26" s="26"/>
      <c r="J26" s="25"/>
      <c r="K26" s="26"/>
      <c r="L26" s="26"/>
      <c r="M26" s="26"/>
      <c r="N26" s="25"/>
      <c r="O26" s="25"/>
      <c r="P26" s="25"/>
      <c r="Q26" s="27"/>
    </row>
    <row r="27" spans="1:20" s="39" customFormat="1">
      <c r="A27" s="96"/>
      <c r="B27" s="96"/>
      <c r="C27" s="44"/>
      <c r="D27" s="44"/>
      <c r="E27" s="44"/>
      <c r="F27" s="44"/>
      <c r="G27" s="61"/>
      <c r="H27" s="44"/>
      <c r="I27" s="61"/>
      <c r="J27" s="44"/>
      <c r="K27" s="44"/>
      <c r="L27" s="44"/>
      <c r="M27" s="61"/>
      <c r="N27" s="44"/>
      <c r="O27" s="44"/>
      <c r="P27" s="61"/>
      <c r="Q27" s="61"/>
    </row>
    <row r="28" spans="1:20" s="39" customFormat="1">
      <c r="A28" s="96"/>
      <c r="B28" s="96"/>
      <c r="C28" s="96"/>
      <c r="D28" s="96"/>
      <c r="E28" s="96"/>
      <c r="F28" s="96"/>
      <c r="G28" s="96"/>
      <c r="H28" s="96"/>
      <c r="I28" s="96"/>
      <c r="J28" s="96"/>
      <c r="K28" s="96"/>
      <c r="L28" s="96"/>
      <c r="M28" s="96"/>
      <c r="N28" s="96"/>
      <c r="O28" s="96"/>
      <c r="P28" s="96"/>
      <c r="Q28" s="96"/>
    </row>
    <row r="29" spans="1:20" s="39" customFormat="1">
      <c r="A29" s="96"/>
      <c r="B29" s="96"/>
      <c r="C29" s="96"/>
      <c r="D29" s="96"/>
      <c r="E29" s="96"/>
      <c r="F29" s="96"/>
      <c r="G29" s="96"/>
      <c r="H29" s="96"/>
      <c r="I29" s="96"/>
      <c r="J29" s="96"/>
      <c r="K29" s="96"/>
      <c r="L29" s="96"/>
      <c r="M29" s="96"/>
      <c r="N29" s="96"/>
      <c r="O29" s="96"/>
      <c r="P29" s="96"/>
      <c r="Q29" s="96"/>
    </row>
    <row r="30" spans="1:20" s="39" customFormat="1">
      <c r="A30" s="96"/>
      <c r="B30" s="96"/>
      <c r="C30" s="96"/>
      <c r="D30" s="96"/>
      <c r="E30" s="96"/>
      <c r="F30" s="96"/>
      <c r="G30" s="96"/>
      <c r="H30" s="96"/>
      <c r="I30" s="96"/>
      <c r="J30" s="96"/>
      <c r="K30" s="96"/>
      <c r="L30" s="96"/>
      <c r="M30" s="96"/>
      <c r="N30" s="96"/>
      <c r="O30" s="96"/>
      <c r="P30" s="96"/>
      <c r="Q30" s="96"/>
    </row>
    <row r="31" spans="1:20" s="39" customFormat="1">
      <c r="A31" s="96"/>
      <c r="B31" s="96"/>
      <c r="C31" s="96"/>
      <c r="D31" s="96"/>
      <c r="E31" s="96"/>
      <c r="F31" s="96"/>
      <c r="G31" s="96"/>
      <c r="H31" s="96"/>
      <c r="I31" s="96"/>
      <c r="J31" s="96"/>
      <c r="K31" s="96"/>
      <c r="L31" s="96"/>
      <c r="M31" s="96"/>
      <c r="N31" s="96"/>
      <c r="O31" s="96"/>
      <c r="P31" s="96"/>
      <c r="Q31" s="96"/>
    </row>
    <row r="32" spans="1:20" s="39" customFormat="1">
      <c r="A32" s="96"/>
      <c r="B32" s="96"/>
      <c r="C32" s="96"/>
      <c r="D32" s="96"/>
      <c r="E32" s="96"/>
      <c r="F32" s="96"/>
      <c r="G32" s="96"/>
      <c r="H32" s="96"/>
      <c r="I32" s="96"/>
      <c r="J32" s="96"/>
      <c r="K32" s="96"/>
      <c r="L32" s="96"/>
      <c r="M32" s="96"/>
      <c r="N32" s="96"/>
      <c r="O32" s="96"/>
      <c r="P32" s="96"/>
      <c r="Q32" s="96"/>
    </row>
    <row r="33" spans="1:17" s="39" customFormat="1">
      <c r="A33" s="96"/>
      <c r="B33" s="96"/>
      <c r="C33" s="96"/>
      <c r="D33" s="96"/>
      <c r="E33" s="96"/>
      <c r="F33" s="96"/>
      <c r="G33" s="96"/>
      <c r="H33" s="96"/>
      <c r="I33" s="96"/>
      <c r="J33" s="96"/>
      <c r="K33" s="96"/>
      <c r="L33" s="96"/>
      <c r="M33" s="96"/>
      <c r="N33" s="96"/>
      <c r="O33" s="96"/>
      <c r="P33" s="96"/>
      <c r="Q33" s="96"/>
    </row>
    <row r="34" spans="1:17" s="39" customFormat="1">
      <c r="A34" s="96"/>
      <c r="B34" s="96"/>
      <c r="C34" s="96"/>
      <c r="D34" s="96"/>
      <c r="E34" s="96"/>
      <c r="F34" s="96"/>
      <c r="G34" s="96"/>
      <c r="H34" s="96"/>
      <c r="I34" s="96"/>
      <c r="J34" s="96"/>
      <c r="K34" s="96"/>
      <c r="L34" s="96"/>
      <c r="M34" s="96"/>
      <c r="N34" s="96"/>
      <c r="O34" s="96"/>
      <c r="P34" s="96"/>
      <c r="Q34" s="96"/>
    </row>
    <row r="35" spans="1:17" s="39" customFormat="1">
      <c r="A35" s="96"/>
      <c r="B35" s="96"/>
      <c r="C35" s="96"/>
      <c r="D35" s="96"/>
      <c r="E35" s="96"/>
      <c r="F35" s="96"/>
      <c r="G35" s="96"/>
      <c r="H35" s="96"/>
      <c r="I35" s="96"/>
      <c r="J35" s="96"/>
      <c r="K35" s="96"/>
      <c r="L35" s="96"/>
      <c r="M35" s="96"/>
      <c r="N35" s="96"/>
      <c r="O35" s="96"/>
      <c r="P35" s="96"/>
      <c r="Q35" s="96"/>
    </row>
    <row r="36" spans="1:17" s="39" customFormat="1">
      <c r="A36" s="96"/>
      <c r="B36" s="96"/>
      <c r="C36" s="96"/>
      <c r="D36" s="96"/>
      <c r="E36" s="96"/>
      <c r="F36" s="96"/>
      <c r="G36" s="96"/>
      <c r="H36" s="96"/>
      <c r="I36" s="96"/>
      <c r="J36" s="96"/>
      <c r="K36" s="96"/>
      <c r="L36" s="96"/>
      <c r="M36" s="96"/>
      <c r="N36" s="96"/>
      <c r="O36" s="96"/>
      <c r="P36" s="96"/>
      <c r="Q36" s="96"/>
    </row>
    <row r="37" spans="1:17" s="39" customFormat="1">
      <c r="A37" s="77"/>
      <c r="B37" s="77"/>
      <c r="C37" s="77"/>
      <c r="D37" s="77"/>
      <c r="E37" s="77"/>
      <c r="F37" s="77"/>
      <c r="G37" s="77"/>
      <c r="H37" s="77"/>
      <c r="I37" s="77"/>
      <c r="J37" s="77"/>
      <c r="K37" s="77"/>
      <c r="L37" s="77"/>
      <c r="M37" s="77"/>
      <c r="N37" s="77"/>
      <c r="O37" s="77"/>
      <c r="P37" s="77"/>
      <c r="Q37" s="77"/>
    </row>
    <row r="38" spans="1:17" s="39" customFormat="1">
      <c r="A38" s="77"/>
      <c r="B38" s="77"/>
      <c r="C38" s="77"/>
      <c r="D38" s="77"/>
      <c r="E38" s="77"/>
      <c r="F38" s="77"/>
      <c r="G38" s="77"/>
      <c r="H38" s="77"/>
      <c r="I38" s="77"/>
      <c r="J38" s="77"/>
      <c r="K38" s="77"/>
      <c r="L38" s="77"/>
      <c r="M38" s="77"/>
      <c r="N38" s="77"/>
      <c r="O38" s="77"/>
      <c r="P38" s="77"/>
      <c r="Q38" s="77"/>
    </row>
    <row r="39" spans="1:17" s="39" customFormat="1">
      <c r="A39" s="77"/>
      <c r="B39" s="77"/>
      <c r="C39" s="77"/>
      <c r="D39" s="77"/>
      <c r="E39" s="77"/>
      <c r="F39" s="77"/>
      <c r="G39" s="77"/>
      <c r="H39" s="77"/>
      <c r="I39" s="77"/>
      <c r="J39" s="77"/>
      <c r="K39" s="77"/>
      <c r="L39" s="77"/>
      <c r="M39" s="77"/>
      <c r="N39" s="77"/>
      <c r="O39" s="77"/>
      <c r="P39" s="77"/>
      <c r="Q39" s="77"/>
    </row>
    <row r="40" spans="1:17" s="39" customFormat="1">
      <c r="A40" s="77"/>
      <c r="B40" s="77"/>
      <c r="C40" s="77"/>
      <c r="D40" s="77"/>
      <c r="E40" s="77"/>
      <c r="F40" s="77"/>
      <c r="G40" s="77"/>
      <c r="H40" s="77"/>
      <c r="I40" s="77"/>
      <c r="J40" s="77"/>
      <c r="K40" s="77"/>
      <c r="L40" s="77"/>
      <c r="M40" s="77"/>
      <c r="N40" s="77"/>
      <c r="O40" s="77"/>
      <c r="P40" s="77"/>
      <c r="Q40" s="77"/>
    </row>
    <row r="41" spans="1:17" s="39" customFormat="1">
      <c r="A41" s="77"/>
      <c r="B41" s="77"/>
      <c r="C41" s="77"/>
      <c r="D41" s="77"/>
      <c r="E41" s="77"/>
      <c r="F41" s="77"/>
      <c r="G41" s="77"/>
      <c r="H41" s="77"/>
      <c r="I41" s="77"/>
      <c r="J41" s="77"/>
      <c r="K41" s="77"/>
      <c r="L41" s="77"/>
      <c r="M41" s="77"/>
      <c r="N41" s="77"/>
      <c r="O41" s="77"/>
      <c r="P41" s="77"/>
      <c r="Q41" s="77"/>
    </row>
    <row r="42" spans="1:17" s="39" customFormat="1">
      <c r="A42" s="77"/>
      <c r="B42" s="77"/>
      <c r="C42" s="77"/>
      <c r="D42" s="77"/>
      <c r="E42" s="77"/>
      <c r="F42" s="77"/>
      <c r="G42" s="77"/>
      <c r="H42" s="77"/>
      <c r="I42" s="77"/>
      <c r="J42" s="77"/>
      <c r="K42" s="77"/>
      <c r="L42" s="77"/>
      <c r="M42" s="77"/>
      <c r="N42" s="77"/>
      <c r="O42" s="77"/>
      <c r="P42" s="77"/>
      <c r="Q42" s="77"/>
    </row>
    <row r="43" spans="1:17" s="39" customFormat="1">
      <c r="A43" s="77"/>
      <c r="B43" s="77"/>
      <c r="C43" s="77"/>
      <c r="D43" s="77"/>
      <c r="E43" s="77"/>
      <c r="F43" s="77"/>
      <c r="G43" s="77"/>
      <c r="H43" s="77"/>
      <c r="I43" s="77"/>
      <c r="J43" s="77"/>
      <c r="K43" s="77"/>
      <c r="L43" s="77"/>
      <c r="M43" s="77"/>
      <c r="N43" s="77"/>
      <c r="O43" s="77"/>
      <c r="P43" s="77"/>
      <c r="Q43" s="77"/>
    </row>
    <row r="44" spans="1:17" s="39" customFormat="1">
      <c r="A44" s="77"/>
      <c r="B44" s="77"/>
      <c r="C44" s="77"/>
      <c r="D44" s="77"/>
      <c r="E44" s="77"/>
      <c r="F44" s="77"/>
      <c r="G44" s="77"/>
      <c r="H44" s="77"/>
      <c r="I44" s="77"/>
      <c r="J44" s="77"/>
      <c r="K44" s="77"/>
      <c r="L44" s="77"/>
      <c r="M44" s="77"/>
      <c r="N44" s="77"/>
      <c r="O44" s="77"/>
      <c r="P44" s="77"/>
      <c r="Q44" s="77"/>
    </row>
    <row r="45" spans="1:17" s="39" customFormat="1">
      <c r="A45" s="77"/>
      <c r="B45" s="77"/>
      <c r="C45" s="77"/>
      <c r="D45" s="77"/>
      <c r="E45" s="77"/>
      <c r="F45" s="77"/>
      <c r="G45" s="77"/>
      <c r="H45" s="77"/>
      <c r="I45" s="77"/>
      <c r="J45" s="77"/>
      <c r="K45" s="77"/>
      <c r="L45" s="77"/>
      <c r="M45" s="77"/>
      <c r="N45" s="77"/>
      <c r="O45" s="77"/>
      <c r="P45" s="77"/>
      <c r="Q45" s="77"/>
    </row>
    <row r="46" spans="1:17" s="39" customFormat="1">
      <c r="A46" s="77"/>
      <c r="B46" s="77"/>
      <c r="C46" s="77"/>
      <c r="D46" s="77"/>
      <c r="E46" s="77"/>
      <c r="F46" s="77"/>
      <c r="G46" s="77"/>
      <c r="H46" s="77"/>
      <c r="I46" s="77"/>
      <c r="J46" s="77"/>
      <c r="K46" s="77"/>
      <c r="L46" s="77"/>
      <c r="M46" s="77"/>
      <c r="N46" s="77"/>
      <c r="O46" s="77"/>
      <c r="P46" s="77"/>
      <c r="Q46" s="77"/>
    </row>
    <row r="47" spans="1:17" s="39" customFormat="1">
      <c r="A47" s="77"/>
      <c r="B47" s="77"/>
      <c r="C47" s="77"/>
      <c r="D47" s="77"/>
      <c r="E47" s="77"/>
      <c r="F47" s="77"/>
      <c r="G47" s="77"/>
      <c r="H47" s="77"/>
      <c r="I47" s="77"/>
      <c r="J47" s="77"/>
      <c r="K47" s="77"/>
      <c r="L47" s="77"/>
      <c r="M47" s="77"/>
      <c r="N47" s="77"/>
      <c r="O47" s="77"/>
      <c r="P47" s="77"/>
      <c r="Q47" s="77"/>
    </row>
    <row r="48" spans="1:17" s="39" customFormat="1">
      <c r="A48" s="77"/>
      <c r="B48" s="77"/>
      <c r="C48" s="77"/>
      <c r="D48" s="77"/>
      <c r="E48" s="77"/>
      <c r="F48" s="77"/>
      <c r="G48" s="77"/>
      <c r="H48" s="77"/>
      <c r="I48" s="77"/>
      <c r="J48" s="77"/>
      <c r="K48" s="77"/>
      <c r="L48" s="77"/>
      <c r="M48" s="77"/>
      <c r="N48" s="77"/>
      <c r="O48" s="77"/>
      <c r="P48" s="77"/>
      <c r="Q48" s="77"/>
    </row>
    <row r="49" spans="1:17" s="39" customFormat="1">
      <c r="A49" s="77"/>
      <c r="B49" s="77"/>
      <c r="C49" s="77"/>
      <c r="D49" s="77"/>
      <c r="E49" s="77"/>
      <c r="F49" s="77"/>
      <c r="G49" s="77"/>
      <c r="H49" s="77"/>
      <c r="I49" s="77"/>
      <c r="J49" s="77"/>
      <c r="K49" s="77"/>
      <c r="L49" s="77"/>
      <c r="M49" s="77"/>
      <c r="N49" s="77"/>
      <c r="O49" s="77"/>
      <c r="P49" s="77"/>
      <c r="Q49" s="77"/>
    </row>
    <row r="50" spans="1:17" s="39" customFormat="1">
      <c r="A50" s="77"/>
      <c r="B50" s="77"/>
      <c r="C50" s="77"/>
      <c r="D50" s="77"/>
      <c r="E50" s="77"/>
      <c r="F50" s="77"/>
      <c r="G50" s="77"/>
      <c r="H50" s="77"/>
      <c r="I50" s="77"/>
      <c r="J50" s="77"/>
      <c r="K50" s="77"/>
      <c r="L50" s="77"/>
      <c r="M50" s="77"/>
      <c r="N50" s="77"/>
      <c r="O50" s="77"/>
      <c r="P50" s="77"/>
      <c r="Q50" s="77"/>
    </row>
    <row r="51" spans="1:17" s="39" customFormat="1">
      <c r="A51" s="77"/>
      <c r="B51" s="77"/>
      <c r="C51" s="77"/>
      <c r="D51" s="77"/>
      <c r="E51" s="77"/>
      <c r="F51" s="77"/>
      <c r="G51" s="77"/>
      <c r="H51" s="77"/>
      <c r="I51" s="77"/>
      <c r="J51" s="77"/>
      <c r="K51" s="77"/>
      <c r="L51" s="77"/>
      <c r="M51" s="77"/>
      <c r="N51" s="77"/>
      <c r="O51" s="77"/>
      <c r="P51" s="77"/>
      <c r="Q51" s="77"/>
    </row>
    <row r="52" spans="1:17" s="39" customFormat="1">
      <c r="A52" s="77"/>
      <c r="B52" s="77"/>
      <c r="C52" s="77"/>
      <c r="D52" s="77"/>
      <c r="E52" s="77"/>
      <c r="F52" s="77"/>
      <c r="G52" s="77"/>
      <c r="H52" s="77"/>
      <c r="I52" s="77"/>
      <c r="J52" s="77"/>
      <c r="K52" s="77"/>
      <c r="L52" s="77"/>
      <c r="M52" s="77"/>
      <c r="N52" s="77"/>
      <c r="O52" s="77"/>
      <c r="P52" s="77"/>
      <c r="Q52" s="77"/>
    </row>
    <row r="53" spans="1:17" s="39" customFormat="1">
      <c r="A53" s="77"/>
      <c r="B53" s="77"/>
      <c r="C53" s="77"/>
      <c r="D53" s="77"/>
      <c r="E53" s="77"/>
      <c r="F53" s="77"/>
      <c r="G53" s="77"/>
      <c r="H53" s="77"/>
      <c r="I53" s="77"/>
      <c r="J53" s="77"/>
      <c r="K53" s="77"/>
      <c r="L53" s="77"/>
      <c r="M53" s="77"/>
      <c r="N53" s="77"/>
      <c r="O53" s="77"/>
      <c r="P53" s="77"/>
      <c r="Q53" s="77"/>
    </row>
    <row r="54" spans="1:17" s="39" customFormat="1">
      <c r="A54" s="77"/>
      <c r="B54" s="77"/>
      <c r="C54" s="77"/>
      <c r="D54" s="77"/>
      <c r="E54" s="77"/>
      <c r="F54" s="77"/>
      <c r="G54" s="77"/>
      <c r="H54" s="77"/>
      <c r="I54" s="77"/>
      <c r="J54" s="77"/>
      <c r="K54" s="77"/>
      <c r="L54" s="77"/>
      <c r="M54" s="77"/>
      <c r="N54" s="77"/>
      <c r="O54" s="77"/>
      <c r="P54" s="77"/>
      <c r="Q54" s="77"/>
    </row>
    <row r="55" spans="1:17" s="39" customFormat="1">
      <c r="A55" s="77"/>
      <c r="B55" s="77"/>
      <c r="C55" s="77"/>
      <c r="D55" s="77"/>
      <c r="E55" s="77"/>
      <c r="F55" s="77"/>
      <c r="G55" s="77"/>
      <c r="H55" s="77"/>
      <c r="I55" s="77"/>
      <c r="J55" s="77"/>
      <c r="K55" s="77"/>
      <c r="L55" s="77"/>
      <c r="M55" s="77"/>
      <c r="N55" s="77"/>
      <c r="O55" s="77"/>
      <c r="P55" s="77"/>
      <c r="Q55" s="77"/>
    </row>
    <row r="56" spans="1:17" s="39" customFormat="1">
      <c r="A56" s="77"/>
      <c r="B56" s="77"/>
      <c r="C56" s="77"/>
      <c r="D56" s="77"/>
      <c r="E56" s="77"/>
      <c r="F56" s="77"/>
      <c r="G56" s="77"/>
      <c r="H56" s="77"/>
      <c r="I56" s="77"/>
      <c r="J56" s="77"/>
      <c r="K56" s="77"/>
      <c r="L56" s="77"/>
      <c r="M56" s="77"/>
      <c r="N56" s="77"/>
      <c r="O56" s="77"/>
      <c r="P56" s="77"/>
      <c r="Q56" s="77"/>
    </row>
    <row r="57" spans="1:17" s="39" customFormat="1">
      <c r="A57" s="77"/>
      <c r="B57" s="77"/>
      <c r="C57" s="77"/>
      <c r="D57" s="77"/>
      <c r="E57" s="77"/>
      <c r="F57" s="77"/>
      <c r="G57" s="77"/>
      <c r="H57" s="77"/>
      <c r="I57" s="77"/>
      <c r="J57" s="77"/>
      <c r="K57" s="77"/>
      <c r="L57" s="77"/>
      <c r="M57" s="77"/>
      <c r="N57" s="77"/>
      <c r="O57" s="77"/>
      <c r="P57" s="77"/>
      <c r="Q57" s="77"/>
    </row>
    <row r="58" spans="1:17" s="39" customFormat="1">
      <c r="A58" s="77"/>
      <c r="B58" s="77"/>
      <c r="C58" s="77"/>
      <c r="D58" s="77"/>
      <c r="E58" s="77"/>
      <c r="F58" s="77"/>
      <c r="G58" s="77"/>
      <c r="H58" s="77"/>
      <c r="I58" s="77"/>
      <c r="J58" s="77"/>
      <c r="K58" s="77"/>
      <c r="L58" s="77"/>
      <c r="M58" s="77"/>
      <c r="N58" s="77"/>
      <c r="O58" s="77"/>
      <c r="P58" s="77"/>
      <c r="Q58" s="77"/>
    </row>
    <row r="59" spans="1:17" s="39" customFormat="1">
      <c r="A59" s="77"/>
      <c r="B59" s="77"/>
      <c r="C59" s="77"/>
      <c r="D59" s="77"/>
      <c r="E59" s="77"/>
      <c r="F59" s="77"/>
      <c r="G59" s="77"/>
      <c r="H59" s="77"/>
      <c r="I59" s="77"/>
      <c r="J59" s="77"/>
      <c r="K59" s="77"/>
      <c r="L59" s="77"/>
      <c r="M59" s="77"/>
      <c r="N59" s="77"/>
      <c r="O59" s="77"/>
      <c r="P59" s="77"/>
      <c r="Q59" s="77"/>
    </row>
    <row r="60" spans="1:17" s="39" customFormat="1">
      <c r="A60" s="77"/>
      <c r="B60" s="77"/>
      <c r="C60" s="77"/>
      <c r="D60" s="77"/>
      <c r="E60" s="77"/>
      <c r="F60" s="77"/>
      <c r="G60" s="77"/>
      <c r="H60" s="77"/>
      <c r="I60" s="77"/>
      <c r="J60" s="77"/>
      <c r="K60" s="77"/>
      <c r="L60" s="77"/>
      <c r="M60" s="77"/>
      <c r="N60" s="77"/>
      <c r="O60" s="77"/>
      <c r="P60" s="77"/>
      <c r="Q60" s="77"/>
    </row>
    <row r="61" spans="1:17" s="39" customFormat="1">
      <c r="A61" s="77"/>
      <c r="B61" s="77"/>
      <c r="C61" s="77"/>
      <c r="D61" s="77"/>
      <c r="E61" s="77"/>
      <c r="F61" s="77"/>
      <c r="G61" s="77"/>
      <c r="H61" s="77"/>
      <c r="I61" s="77"/>
      <c r="J61" s="77"/>
      <c r="K61" s="77"/>
      <c r="L61" s="77"/>
      <c r="M61" s="77"/>
      <c r="N61" s="77"/>
      <c r="O61" s="77"/>
      <c r="P61" s="77"/>
      <c r="Q61" s="77"/>
    </row>
    <row r="62" spans="1:17" s="39" customFormat="1">
      <c r="A62" s="77"/>
      <c r="B62" s="77"/>
      <c r="C62" s="77"/>
      <c r="D62" s="77"/>
      <c r="E62" s="77"/>
      <c r="F62" s="77"/>
      <c r="G62" s="77"/>
      <c r="H62" s="77"/>
      <c r="I62" s="77"/>
      <c r="J62" s="77"/>
      <c r="K62" s="77"/>
      <c r="L62" s="77"/>
      <c r="M62" s="77"/>
      <c r="N62" s="77"/>
      <c r="O62" s="77"/>
      <c r="P62" s="77"/>
      <c r="Q62" s="77"/>
    </row>
    <row r="63" spans="1:17" s="39" customFormat="1">
      <c r="A63" s="77"/>
      <c r="B63" s="77"/>
      <c r="C63" s="77"/>
      <c r="D63" s="77"/>
      <c r="E63" s="77"/>
      <c r="F63" s="77"/>
      <c r="G63" s="77"/>
      <c r="H63" s="77"/>
      <c r="I63" s="77"/>
      <c r="J63" s="77"/>
      <c r="K63" s="77"/>
      <c r="L63" s="77"/>
      <c r="M63" s="77"/>
      <c r="N63" s="77"/>
      <c r="O63" s="77"/>
      <c r="P63" s="77"/>
      <c r="Q63" s="77"/>
    </row>
    <row r="64" spans="1:17" s="39" customFormat="1">
      <c r="A64" s="77"/>
      <c r="B64" s="77"/>
      <c r="C64" s="77"/>
      <c r="D64" s="77"/>
      <c r="E64" s="77"/>
      <c r="F64" s="77"/>
      <c r="G64" s="77"/>
      <c r="H64" s="77"/>
      <c r="I64" s="77"/>
      <c r="J64" s="77"/>
      <c r="K64" s="77"/>
      <c r="L64" s="77"/>
      <c r="M64" s="77"/>
      <c r="N64" s="77"/>
      <c r="O64" s="77"/>
      <c r="P64" s="77"/>
      <c r="Q64" s="77"/>
    </row>
    <row r="65" spans="1:17" s="39" customFormat="1">
      <c r="A65" s="77"/>
      <c r="B65" s="77"/>
      <c r="C65" s="77"/>
      <c r="D65" s="77"/>
      <c r="E65" s="77"/>
      <c r="F65" s="77"/>
      <c r="G65" s="77"/>
      <c r="H65" s="77"/>
      <c r="I65" s="77"/>
      <c r="J65" s="77"/>
      <c r="K65" s="77"/>
      <c r="L65" s="77"/>
      <c r="M65" s="77"/>
      <c r="N65" s="77"/>
      <c r="O65" s="77"/>
      <c r="P65" s="77"/>
      <c r="Q65" s="77"/>
    </row>
    <row r="66" spans="1:17" s="39" customFormat="1">
      <c r="A66" s="77"/>
      <c r="B66" s="77"/>
      <c r="C66" s="77"/>
      <c r="D66" s="77"/>
      <c r="E66" s="77"/>
      <c r="F66" s="77"/>
      <c r="G66" s="77"/>
      <c r="H66" s="77"/>
      <c r="I66" s="77"/>
      <c r="J66" s="77"/>
      <c r="K66" s="77"/>
      <c r="L66" s="77"/>
      <c r="M66" s="77"/>
      <c r="N66" s="77"/>
      <c r="O66" s="77"/>
      <c r="P66" s="77"/>
      <c r="Q66" s="77"/>
    </row>
    <row r="67" spans="1:17" s="39" customFormat="1">
      <c r="A67" s="77"/>
      <c r="B67" s="77"/>
      <c r="C67" s="77"/>
      <c r="D67" s="77"/>
      <c r="E67" s="77"/>
      <c r="F67" s="77"/>
      <c r="G67" s="77"/>
      <c r="H67" s="77"/>
      <c r="I67" s="77"/>
      <c r="J67" s="77"/>
      <c r="K67" s="77"/>
      <c r="L67" s="77"/>
      <c r="M67" s="77"/>
      <c r="N67" s="77"/>
      <c r="O67" s="77"/>
      <c r="P67" s="77"/>
      <c r="Q67" s="77"/>
    </row>
    <row r="68" spans="1:17" s="39" customFormat="1">
      <c r="A68" s="77"/>
      <c r="B68" s="77"/>
      <c r="C68" s="77"/>
      <c r="D68" s="77"/>
      <c r="E68" s="77"/>
      <c r="F68" s="77"/>
      <c r="G68" s="77"/>
      <c r="H68" s="77"/>
      <c r="I68" s="77"/>
      <c r="J68" s="77"/>
      <c r="K68" s="77"/>
      <c r="L68" s="77"/>
      <c r="M68" s="77"/>
      <c r="N68" s="77"/>
      <c r="O68" s="77"/>
      <c r="P68" s="77"/>
      <c r="Q68" s="77"/>
    </row>
    <row r="69" spans="1:17" s="39" customFormat="1">
      <c r="A69" s="77"/>
      <c r="B69" s="77"/>
      <c r="C69" s="77"/>
      <c r="D69" s="77"/>
      <c r="E69" s="77"/>
      <c r="F69" s="77"/>
      <c r="G69" s="77"/>
      <c r="H69" s="77"/>
      <c r="I69" s="77"/>
      <c r="J69" s="77"/>
      <c r="K69" s="77"/>
      <c r="L69" s="77"/>
      <c r="M69" s="77"/>
      <c r="N69" s="77"/>
      <c r="O69" s="77"/>
      <c r="P69" s="77"/>
      <c r="Q69" s="77"/>
    </row>
    <row r="70" spans="1:17" s="39" customFormat="1">
      <c r="A70" s="77"/>
      <c r="B70" s="77"/>
      <c r="C70" s="77"/>
      <c r="D70" s="77"/>
      <c r="E70" s="77"/>
      <c r="F70" s="77"/>
      <c r="G70" s="77"/>
      <c r="H70" s="77"/>
      <c r="I70" s="77"/>
      <c r="J70" s="77"/>
      <c r="K70" s="77"/>
      <c r="L70" s="77"/>
      <c r="M70" s="77"/>
      <c r="N70" s="77"/>
      <c r="O70" s="77"/>
      <c r="P70" s="77"/>
      <c r="Q70" s="77"/>
    </row>
    <row r="71" spans="1:17" s="39" customFormat="1">
      <c r="A71" s="77"/>
      <c r="B71" s="77"/>
      <c r="C71" s="77"/>
      <c r="D71" s="77"/>
      <c r="E71" s="77"/>
      <c r="F71" s="77"/>
      <c r="G71" s="77"/>
      <c r="H71" s="77"/>
      <c r="I71" s="77"/>
      <c r="J71" s="77"/>
      <c r="K71" s="77"/>
      <c r="L71" s="77"/>
      <c r="M71" s="77"/>
      <c r="N71" s="77"/>
      <c r="O71" s="77"/>
      <c r="P71" s="77"/>
      <c r="Q71" s="77"/>
    </row>
    <row r="72" spans="1:17" s="39" customFormat="1">
      <c r="A72" s="77"/>
      <c r="B72" s="77"/>
      <c r="C72" s="77"/>
      <c r="D72" s="77"/>
      <c r="E72" s="77"/>
      <c r="F72" s="77"/>
      <c r="G72" s="77"/>
      <c r="H72" s="77"/>
      <c r="I72" s="77"/>
      <c r="J72" s="77"/>
      <c r="K72" s="77"/>
      <c r="L72" s="77"/>
      <c r="M72" s="77"/>
      <c r="N72" s="77"/>
      <c r="O72" s="77"/>
      <c r="P72" s="77"/>
      <c r="Q72" s="77"/>
    </row>
    <row r="73" spans="1:17" s="39" customFormat="1">
      <c r="A73" s="77"/>
      <c r="B73" s="77"/>
      <c r="C73" s="77"/>
      <c r="D73" s="77"/>
      <c r="E73" s="77"/>
      <c r="F73" s="77"/>
      <c r="G73" s="77"/>
      <c r="H73" s="77"/>
      <c r="I73" s="77"/>
      <c r="J73" s="77"/>
      <c r="K73" s="77"/>
      <c r="L73" s="77"/>
      <c r="M73" s="77"/>
      <c r="N73" s="77"/>
      <c r="O73" s="77"/>
      <c r="P73" s="77"/>
      <c r="Q73" s="77"/>
    </row>
    <row r="74" spans="1:17" s="39" customFormat="1">
      <c r="A74" s="77"/>
      <c r="B74" s="77"/>
      <c r="C74" s="77"/>
      <c r="D74" s="77"/>
      <c r="E74" s="77"/>
      <c r="F74" s="77"/>
      <c r="G74" s="77"/>
      <c r="H74" s="77"/>
      <c r="I74" s="77"/>
      <c r="J74" s="77"/>
      <c r="K74" s="77"/>
      <c r="L74" s="77"/>
      <c r="M74" s="77"/>
      <c r="N74" s="77"/>
      <c r="O74" s="77"/>
      <c r="P74" s="77"/>
      <c r="Q74" s="77"/>
    </row>
    <row r="75" spans="1:17" s="39" customFormat="1">
      <c r="A75" s="77"/>
      <c r="B75" s="77"/>
      <c r="C75" s="77"/>
      <c r="D75" s="77"/>
      <c r="E75" s="77"/>
      <c r="F75" s="77"/>
      <c r="G75" s="77"/>
      <c r="H75" s="77"/>
      <c r="I75" s="77"/>
      <c r="J75" s="77"/>
      <c r="K75" s="77"/>
      <c r="L75" s="77"/>
      <c r="M75" s="77"/>
      <c r="N75" s="77"/>
      <c r="O75" s="77"/>
      <c r="P75" s="77"/>
      <c r="Q75" s="77"/>
    </row>
    <row r="76" spans="1:17" s="39" customFormat="1">
      <c r="A76" s="77"/>
      <c r="B76" s="77"/>
      <c r="C76" s="77"/>
      <c r="D76" s="77"/>
      <c r="E76" s="77"/>
      <c r="F76" s="77"/>
      <c r="G76" s="77"/>
      <c r="H76" s="77"/>
      <c r="I76" s="77"/>
      <c r="J76" s="77"/>
      <c r="K76" s="77"/>
      <c r="L76" s="77"/>
      <c r="M76" s="77"/>
      <c r="N76" s="77"/>
      <c r="O76" s="77"/>
      <c r="P76" s="77"/>
      <c r="Q76" s="77"/>
    </row>
    <row r="77" spans="1:17" s="39" customFormat="1">
      <c r="A77" s="77"/>
      <c r="B77" s="77"/>
      <c r="C77" s="77"/>
      <c r="D77" s="77"/>
      <c r="E77" s="77"/>
      <c r="F77" s="77"/>
      <c r="G77" s="77"/>
      <c r="H77" s="77"/>
      <c r="I77" s="77"/>
      <c r="J77" s="77"/>
      <c r="K77" s="77"/>
      <c r="L77" s="77"/>
      <c r="M77" s="77"/>
      <c r="N77" s="77"/>
      <c r="O77" s="77"/>
      <c r="P77" s="77"/>
      <c r="Q77" s="77"/>
    </row>
    <row r="78" spans="1:17" s="39" customFormat="1">
      <c r="A78" s="77"/>
      <c r="B78" s="77"/>
      <c r="C78" s="77"/>
      <c r="D78" s="77"/>
      <c r="E78" s="77"/>
      <c r="F78" s="77"/>
      <c r="G78" s="77"/>
      <c r="H78" s="77"/>
      <c r="I78" s="77"/>
      <c r="J78" s="77"/>
      <c r="K78" s="77"/>
      <c r="L78" s="77"/>
      <c r="M78" s="77"/>
      <c r="N78" s="77"/>
      <c r="O78" s="77"/>
      <c r="P78" s="77"/>
      <c r="Q78" s="77"/>
    </row>
    <row r="79" spans="1:17" s="39" customFormat="1">
      <c r="A79" s="77"/>
      <c r="B79" s="77"/>
      <c r="C79" s="77"/>
      <c r="D79" s="77"/>
      <c r="E79" s="77"/>
      <c r="F79" s="77"/>
      <c r="G79" s="77"/>
      <c r="H79" s="77"/>
      <c r="I79" s="77"/>
      <c r="J79" s="77"/>
      <c r="K79" s="77"/>
      <c r="L79" s="77"/>
      <c r="M79" s="77"/>
      <c r="N79" s="77"/>
      <c r="O79" s="77"/>
      <c r="P79" s="77"/>
      <c r="Q79" s="77"/>
    </row>
    <row r="80" spans="1:17" s="39" customFormat="1">
      <c r="A80" s="77"/>
      <c r="B80" s="77"/>
      <c r="C80" s="77"/>
      <c r="D80" s="77"/>
      <c r="E80" s="77"/>
      <c r="F80" s="77"/>
      <c r="G80" s="77"/>
      <c r="H80" s="77"/>
      <c r="I80" s="77"/>
      <c r="J80" s="77"/>
      <c r="K80" s="77"/>
      <c r="L80" s="77"/>
      <c r="M80" s="77"/>
      <c r="N80" s="77"/>
      <c r="O80" s="77"/>
      <c r="P80" s="77"/>
      <c r="Q80" s="77"/>
    </row>
    <row r="81" spans="1:17" s="39" customFormat="1">
      <c r="A81" s="77"/>
      <c r="B81" s="77"/>
      <c r="C81" s="77"/>
      <c r="D81" s="77"/>
      <c r="E81" s="77"/>
      <c r="F81" s="77"/>
      <c r="G81" s="77"/>
      <c r="H81" s="77"/>
      <c r="I81" s="77"/>
      <c r="J81" s="77"/>
      <c r="K81" s="77"/>
      <c r="L81" s="77"/>
      <c r="M81" s="77"/>
      <c r="N81" s="77"/>
      <c r="O81" s="77"/>
      <c r="P81" s="77"/>
      <c r="Q81" s="77"/>
    </row>
    <row r="82" spans="1:17" s="39" customFormat="1">
      <c r="A82" s="77"/>
      <c r="B82" s="77"/>
      <c r="C82" s="77"/>
      <c r="D82" s="77"/>
      <c r="E82" s="77"/>
      <c r="F82" s="77"/>
      <c r="G82" s="77"/>
      <c r="H82" s="77"/>
      <c r="I82" s="77"/>
      <c r="J82" s="77"/>
      <c r="K82" s="77"/>
      <c r="L82" s="77"/>
      <c r="M82" s="77"/>
      <c r="N82" s="77"/>
      <c r="O82" s="77"/>
      <c r="P82" s="77"/>
      <c r="Q82" s="77"/>
    </row>
    <row r="83" spans="1:17" s="39" customFormat="1">
      <c r="A83" s="77"/>
      <c r="B83" s="77"/>
      <c r="C83" s="77"/>
      <c r="D83" s="77"/>
      <c r="E83" s="77"/>
      <c r="F83" s="77"/>
      <c r="G83" s="77"/>
      <c r="H83" s="77"/>
      <c r="I83" s="77"/>
      <c r="J83" s="77"/>
      <c r="K83" s="77"/>
      <c r="L83" s="77"/>
      <c r="M83" s="77"/>
      <c r="N83" s="77"/>
      <c r="O83" s="77"/>
      <c r="P83" s="77"/>
      <c r="Q83" s="77"/>
    </row>
    <row r="84" spans="1:17" s="39" customFormat="1">
      <c r="A84" s="77"/>
      <c r="B84" s="77"/>
      <c r="C84" s="77"/>
      <c r="D84" s="77"/>
      <c r="E84" s="77"/>
      <c r="F84" s="77"/>
      <c r="G84" s="77"/>
      <c r="H84" s="77"/>
      <c r="I84" s="77"/>
      <c r="J84" s="77"/>
      <c r="K84" s="77"/>
      <c r="L84" s="77"/>
      <c r="M84" s="77"/>
      <c r="N84" s="77"/>
      <c r="O84" s="77"/>
      <c r="P84" s="77"/>
      <c r="Q84" s="77"/>
    </row>
    <row r="85" spans="1:17" s="39" customFormat="1">
      <c r="A85" s="77"/>
      <c r="B85" s="77"/>
      <c r="C85" s="77"/>
      <c r="D85" s="77"/>
      <c r="E85" s="77"/>
      <c r="F85" s="77"/>
      <c r="G85" s="77"/>
      <c r="H85" s="77"/>
      <c r="I85" s="77"/>
      <c r="J85" s="77"/>
      <c r="K85" s="77"/>
      <c r="L85" s="77"/>
      <c r="M85" s="77"/>
      <c r="N85" s="77"/>
      <c r="O85" s="77"/>
      <c r="P85" s="77"/>
      <c r="Q85" s="77"/>
    </row>
    <row r="86" spans="1:17" s="39" customFormat="1">
      <c r="A86" s="77"/>
      <c r="B86" s="77"/>
      <c r="C86" s="77"/>
      <c r="D86" s="77"/>
      <c r="E86" s="77"/>
      <c r="F86" s="77"/>
      <c r="G86" s="77"/>
      <c r="H86" s="77"/>
      <c r="I86" s="77"/>
      <c r="J86" s="77"/>
      <c r="K86" s="77"/>
      <c r="L86" s="77"/>
      <c r="M86" s="77"/>
      <c r="N86" s="77"/>
      <c r="O86" s="77"/>
      <c r="P86" s="77"/>
      <c r="Q86" s="77"/>
    </row>
    <row r="87" spans="1:17" s="39" customFormat="1">
      <c r="A87" s="77"/>
      <c r="B87" s="77"/>
      <c r="C87" s="77"/>
      <c r="D87" s="77"/>
      <c r="E87" s="77"/>
      <c r="F87" s="77"/>
      <c r="G87" s="77"/>
      <c r="H87" s="77"/>
      <c r="I87" s="77"/>
      <c r="J87" s="77"/>
      <c r="K87" s="77"/>
      <c r="L87" s="77"/>
      <c r="M87" s="77"/>
      <c r="N87" s="77"/>
      <c r="O87" s="77"/>
      <c r="P87" s="77"/>
      <c r="Q87" s="77"/>
    </row>
    <row r="88" spans="1:17" s="39" customFormat="1">
      <c r="A88" s="77"/>
      <c r="B88" s="77"/>
      <c r="C88" s="77"/>
      <c r="D88" s="77"/>
      <c r="E88" s="77"/>
      <c r="F88" s="77"/>
      <c r="G88" s="77"/>
      <c r="H88" s="77"/>
      <c r="I88" s="77"/>
      <c r="J88" s="77"/>
      <c r="K88" s="77"/>
      <c r="L88" s="77"/>
      <c r="M88" s="77"/>
      <c r="N88" s="77"/>
      <c r="O88" s="77"/>
      <c r="P88" s="77"/>
      <c r="Q88" s="77"/>
    </row>
    <row r="89" spans="1:17" s="39" customFormat="1">
      <c r="A89" s="77"/>
      <c r="B89" s="77"/>
      <c r="C89" s="77"/>
      <c r="D89" s="77"/>
      <c r="E89" s="77"/>
      <c r="F89" s="77"/>
      <c r="G89" s="77"/>
      <c r="H89" s="77"/>
      <c r="I89" s="77"/>
      <c r="J89" s="77"/>
      <c r="K89" s="77"/>
      <c r="L89" s="77"/>
      <c r="M89" s="77"/>
      <c r="N89" s="77"/>
      <c r="O89" s="77"/>
      <c r="P89" s="77"/>
      <c r="Q89" s="77"/>
    </row>
    <row r="90" spans="1:17" s="39" customFormat="1">
      <c r="A90" s="77"/>
      <c r="B90" s="77"/>
      <c r="C90" s="77"/>
      <c r="D90" s="77"/>
      <c r="E90" s="77"/>
      <c r="F90" s="77"/>
      <c r="G90" s="77"/>
      <c r="H90" s="77"/>
      <c r="I90" s="77"/>
      <c r="J90" s="77"/>
      <c r="K90" s="77"/>
      <c r="L90" s="77"/>
      <c r="M90" s="77"/>
      <c r="N90" s="77"/>
      <c r="O90" s="77"/>
      <c r="P90" s="77"/>
      <c r="Q90" s="77"/>
    </row>
    <row r="91" spans="1:17" s="39" customFormat="1">
      <c r="A91" s="77"/>
      <c r="B91" s="77"/>
      <c r="C91" s="77"/>
      <c r="D91" s="77"/>
      <c r="E91" s="77"/>
      <c r="F91" s="77"/>
      <c r="G91" s="77"/>
      <c r="H91" s="77"/>
      <c r="I91" s="77"/>
      <c r="J91" s="77"/>
      <c r="K91" s="77"/>
      <c r="L91" s="77"/>
      <c r="M91" s="77"/>
      <c r="N91" s="77"/>
      <c r="O91" s="77"/>
      <c r="P91" s="77"/>
      <c r="Q91" s="77"/>
    </row>
    <row r="92" spans="1:17" s="39" customFormat="1">
      <c r="A92" s="77"/>
      <c r="B92" s="77"/>
      <c r="C92" s="77"/>
      <c r="D92" s="77"/>
      <c r="E92" s="77"/>
      <c r="F92" s="77"/>
      <c r="G92" s="77"/>
      <c r="H92" s="77"/>
      <c r="I92" s="77"/>
      <c r="J92" s="77"/>
      <c r="K92" s="77"/>
      <c r="L92" s="77"/>
      <c r="M92" s="77"/>
      <c r="N92" s="77"/>
      <c r="O92" s="77"/>
      <c r="P92" s="77"/>
      <c r="Q92" s="77"/>
    </row>
    <row r="93" spans="1:17" s="39" customFormat="1">
      <c r="A93" s="77"/>
      <c r="B93" s="77"/>
      <c r="C93" s="77"/>
      <c r="D93" s="77"/>
      <c r="E93" s="77"/>
      <c r="F93" s="77"/>
      <c r="G93" s="77"/>
      <c r="H93" s="77"/>
      <c r="I93" s="77"/>
      <c r="J93" s="77"/>
      <c r="K93" s="77"/>
      <c r="L93" s="77"/>
      <c r="M93" s="77"/>
      <c r="N93" s="77"/>
      <c r="O93" s="77"/>
      <c r="P93" s="77"/>
      <c r="Q93" s="77"/>
    </row>
    <row r="94" spans="1:17" s="39" customFormat="1">
      <c r="A94" s="77"/>
      <c r="B94" s="77"/>
      <c r="C94" s="77"/>
      <c r="D94" s="77"/>
      <c r="E94" s="77"/>
      <c r="F94" s="77"/>
      <c r="G94" s="77"/>
      <c r="H94" s="77"/>
      <c r="I94" s="77"/>
      <c r="J94" s="77"/>
      <c r="K94" s="77"/>
      <c r="L94" s="77"/>
      <c r="M94" s="77"/>
      <c r="N94" s="77"/>
      <c r="O94" s="77"/>
      <c r="P94" s="77"/>
      <c r="Q94" s="77"/>
    </row>
    <row r="95" spans="1:17" s="39" customFormat="1">
      <c r="A95" s="77"/>
      <c r="B95" s="77"/>
      <c r="C95" s="77"/>
      <c r="D95" s="77"/>
      <c r="E95" s="77"/>
      <c r="F95" s="77"/>
      <c r="G95" s="77"/>
      <c r="H95" s="77"/>
      <c r="I95" s="77"/>
      <c r="J95" s="77"/>
      <c r="K95" s="77"/>
      <c r="L95" s="77"/>
      <c r="M95" s="77"/>
      <c r="N95" s="77"/>
      <c r="O95" s="77"/>
      <c r="P95" s="77"/>
      <c r="Q95" s="77"/>
    </row>
    <row r="96" spans="1:17" s="39" customFormat="1">
      <c r="A96" s="77"/>
      <c r="B96" s="77"/>
      <c r="C96" s="77"/>
      <c r="D96" s="77"/>
      <c r="E96" s="77"/>
      <c r="F96" s="77"/>
      <c r="G96" s="77"/>
      <c r="H96" s="77"/>
      <c r="I96" s="77"/>
      <c r="J96" s="77"/>
      <c r="K96" s="77"/>
      <c r="L96" s="77"/>
      <c r="M96" s="77"/>
      <c r="N96" s="77"/>
      <c r="O96" s="77"/>
      <c r="P96" s="77"/>
      <c r="Q96" s="77"/>
    </row>
    <row r="97" spans="1:17" s="39" customFormat="1">
      <c r="A97" s="77"/>
      <c r="B97" s="77"/>
      <c r="C97" s="77"/>
      <c r="D97" s="77"/>
      <c r="E97" s="77"/>
      <c r="F97" s="77"/>
      <c r="G97" s="77"/>
      <c r="H97" s="77"/>
      <c r="I97" s="77"/>
      <c r="J97" s="77"/>
      <c r="K97" s="77"/>
      <c r="L97" s="77"/>
      <c r="M97" s="77"/>
      <c r="N97" s="77"/>
      <c r="O97" s="77"/>
      <c r="P97" s="77"/>
      <c r="Q97" s="77"/>
    </row>
    <row r="98" spans="1:17" s="39" customFormat="1">
      <c r="A98" s="77"/>
      <c r="B98" s="77"/>
      <c r="C98" s="77"/>
      <c r="D98" s="77"/>
      <c r="E98" s="77"/>
      <c r="F98" s="77"/>
      <c r="G98" s="77"/>
      <c r="H98" s="77"/>
      <c r="I98" s="77"/>
      <c r="J98" s="77"/>
      <c r="K98" s="77"/>
      <c r="L98" s="77"/>
      <c r="M98" s="77"/>
      <c r="N98" s="77"/>
      <c r="O98" s="77"/>
      <c r="P98" s="77"/>
      <c r="Q98" s="77"/>
    </row>
    <row r="99" spans="1:17" s="39" customFormat="1">
      <c r="A99" s="77"/>
      <c r="B99" s="77"/>
      <c r="C99" s="77"/>
      <c r="D99" s="77"/>
      <c r="E99" s="77"/>
      <c r="F99" s="77"/>
      <c r="G99" s="77"/>
      <c r="H99" s="77"/>
      <c r="I99" s="77"/>
      <c r="J99" s="77"/>
      <c r="K99" s="77"/>
      <c r="L99" s="77"/>
      <c r="M99" s="77"/>
      <c r="N99" s="77"/>
      <c r="O99" s="77"/>
      <c r="P99" s="77"/>
      <c r="Q99" s="77"/>
    </row>
    <row r="100" spans="1:17" s="39" customFormat="1">
      <c r="A100" s="77"/>
      <c r="B100" s="77"/>
      <c r="C100" s="77"/>
      <c r="D100" s="77"/>
      <c r="E100" s="77"/>
      <c r="F100" s="77"/>
      <c r="G100" s="77"/>
      <c r="H100" s="77"/>
      <c r="I100" s="77"/>
      <c r="J100" s="77"/>
      <c r="K100" s="77"/>
      <c r="L100" s="77"/>
      <c r="M100" s="77"/>
      <c r="N100" s="77"/>
      <c r="O100" s="77"/>
      <c r="P100" s="77"/>
      <c r="Q100" s="77"/>
    </row>
    <row r="101" spans="1:17" s="39" customFormat="1">
      <c r="A101" s="77"/>
      <c r="B101" s="77"/>
      <c r="C101" s="77"/>
      <c r="D101" s="77"/>
      <c r="E101" s="77"/>
      <c r="F101" s="77"/>
      <c r="G101" s="77"/>
      <c r="H101" s="77"/>
      <c r="I101" s="77"/>
      <c r="J101" s="77"/>
      <c r="K101" s="77"/>
      <c r="L101" s="77"/>
      <c r="M101" s="77"/>
      <c r="N101" s="77"/>
      <c r="O101" s="77"/>
      <c r="P101" s="77"/>
      <c r="Q101" s="77"/>
    </row>
    <row r="102" spans="1:17" s="39" customFormat="1">
      <c r="A102" s="77"/>
      <c r="B102" s="77"/>
      <c r="C102" s="77"/>
      <c r="D102" s="77"/>
      <c r="E102" s="77"/>
      <c r="F102" s="77"/>
      <c r="G102" s="77"/>
      <c r="H102" s="77"/>
      <c r="I102" s="77"/>
      <c r="J102" s="77"/>
      <c r="K102" s="77"/>
      <c r="L102" s="77"/>
      <c r="M102" s="77"/>
      <c r="N102" s="77"/>
      <c r="O102" s="77"/>
      <c r="P102" s="77"/>
      <c r="Q102" s="77"/>
    </row>
    <row r="103" spans="1:17" s="39" customFormat="1">
      <c r="A103" s="77"/>
      <c r="B103" s="77"/>
      <c r="C103" s="77"/>
      <c r="D103" s="77"/>
      <c r="E103" s="77"/>
      <c r="F103" s="77"/>
      <c r="G103" s="77"/>
      <c r="H103" s="77"/>
      <c r="I103" s="77"/>
      <c r="J103" s="77"/>
      <c r="K103" s="77"/>
      <c r="L103" s="77"/>
      <c r="M103" s="77"/>
      <c r="N103" s="77"/>
      <c r="O103" s="77"/>
      <c r="P103" s="77"/>
      <c r="Q103" s="77"/>
    </row>
    <row r="104" spans="1:17" s="39" customFormat="1">
      <c r="A104" s="77"/>
      <c r="B104" s="77"/>
      <c r="C104" s="77"/>
      <c r="D104" s="77"/>
      <c r="E104" s="77"/>
      <c r="F104" s="77"/>
      <c r="G104" s="77"/>
      <c r="H104" s="77"/>
      <c r="I104" s="77"/>
      <c r="J104" s="77"/>
      <c r="K104" s="77"/>
      <c r="L104" s="77"/>
      <c r="M104" s="77"/>
      <c r="N104" s="77"/>
      <c r="O104" s="77"/>
      <c r="P104" s="77"/>
      <c r="Q104" s="77"/>
    </row>
    <row r="105" spans="1:17" s="39" customFormat="1">
      <c r="A105" s="77"/>
      <c r="B105" s="77"/>
      <c r="C105" s="77"/>
      <c r="D105" s="77"/>
      <c r="E105" s="77"/>
      <c r="F105" s="77"/>
      <c r="G105" s="77"/>
      <c r="H105" s="77"/>
      <c r="I105" s="77"/>
      <c r="J105" s="77"/>
      <c r="K105" s="77"/>
      <c r="L105" s="77"/>
      <c r="M105" s="77"/>
      <c r="N105" s="77"/>
      <c r="O105" s="77"/>
      <c r="P105" s="77"/>
      <c r="Q105" s="77"/>
    </row>
    <row r="106" spans="1:17" s="39" customFormat="1">
      <c r="A106" s="77"/>
      <c r="B106" s="77"/>
      <c r="C106" s="77"/>
      <c r="D106" s="77"/>
      <c r="E106" s="77"/>
      <c r="F106" s="77"/>
      <c r="G106" s="77"/>
      <c r="H106" s="77"/>
      <c r="I106" s="77"/>
      <c r="J106" s="77"/>
      <c r="K106" s="77"/>
      <c r="L106" s="77"/>
      <c r="M106" s="77"/>
      <c r="N106" s="77"/>
      <c r="O106" s="77"/>
      <c r="P106" s="77"/>
      <c r="Q106" s="77"/>
    </row>
    <row r="107" spans="1:17" s="39" customFormat="1">
      <c r="A107" s="77"/>
      <c r="B107" s="77"/>
      <c r="C107" s="77"/>
      <c r="D107" s="77"/>
      <c r="E107" s="77"/>
      <c r="F107" s="77"/>
      <c r="G107" s="77"/>
      <c r="H107" s="77"/>
      <c r="I107" s="77"/>
      <c r="J107" s="77"/>
      <c r="K107" s="77"/>
      <c r="L107" s="77"/>
      <c r="M107" s="77"/>
      <c r="N107" s="77"/>
      <c r="O107" s="77"/>
      <c r="P107" s="77"/>
      <c r="Q107" s="77"/>
    </row>
    <row r="108" spans="1:17" s="39" customFormat="1"/>
    <row r="109" spans="1:17" s="39" customFormat="1"/>
    <row r="110" spans="1:17" s="39" customFormat="1"/>
    <row r="111" spans="1:17">
      <c r="A111" s="39"/>
      <c r="B111" s="39"/>
      <c r="C111" s="39"/>
      <c r="D111" s="39"/>
      <c r="E111" s="39"/>
      <c r="F111" s="39"/>
      <c r="G111" s="39"/>
      <c r="H111" s="39"/>
      <c r="I111" s="39"/>
      <c r="J111" s="39"/>
      <c r="K111" s="39"/>
      <c r="L111" s="39"/>
      <c r="M111" s="39"/>
      <c r="N111" s="39"/>
      <c r="O111" s="39"/>
      <c r="P111" s="39"/>
      <c r="Q111" s="39"/>
    </row>
  </sheetData>
  <mergeCells count="2">
    <mergeCell ref="A1:Q1"/>
    <mergeCell ref="A2:Q2"/>
  </mergeCells>
  <printOptions horizontalCentered="1" verticalCentered="1"/>
  <pageMargins left="0.39370078740157483" right="0.39370078740157483" top="0.23622047244094491" bottom="0.23622047244094491" header="0.31496062992125984" footer="0.31496062992125984"/>
  <pageSetup scale="5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S116"/>
  <sheetViews>
    <sheetView showGridLines="0" view="pageBreakPreview" zoomScale="70" zoomScaleNormal="40" zoomScaleSheetLayoutView="70" workbookViewId="0">
      <selection activeCell="S16" sqref="S16"/>
    </sheetView>
  </sheetViews>
  <sheetFormatPr baseColWidth="10" defaultColWidth="11.42578125" defaultRowHeight="15"/>
  <cols>
    <col min="1" max="1" width="17" style="77" customWidth="1"/>
    <col min="2" max="2" width="9.85546875" style="77" customWidth="1"/>
    <col min="3" max="3" width="11.42578125" style="77" customWidth="1"/>
    <col min="4" max="4" width="9.140625" style="77" customWidth="1"/>
    <col min="5" max="5" width="11.42578125" style="77" customWidth="1"/>
    <col min="6" max="6" width="11.140625" style="77" customWidth="1"/>
    <col min="7" max="7" width="12.140625" style="77" customWidth="1"/>
    <col min="8" max="10" width="10.5703125" style="77" customWidth="1"/>
    <col min="11" max="11" width="14.5703125" style="77" customWidth="1"/>
    <col min="12" max="12" width="14" style="77" customWidth="1"/>
    <col min="13" max="13" width="17" style="77" customWidth="1"/>
    <col min="14" max="14" width="13.85546875" style="77" customWidth="1"/>
    <col min="15" max="15" width="9.5703125" style="77" customWidth="1"/>
    <col min="16" max="16" width="10.42578125" style="77" customWidth="1"/>
    <col min="17" max="17" width="15.140625" style="77" customWidth="1"/>
    <col min="18" max="18" width="5.140625" style="77" customWidth="1"/>
    <col min="19" max="19" width="12.42578125" style="77" bestFit="1" customWidth="1"/>
    <col min="20" max="16384" width="11.42578125" style="77"/>
  </cols>
  <sheetData>
    <row r="1" spans="1:18" ht="78.75" customHeight="1">
      <c r="A1" s="2107"/>
      <c r="B1" s="2107"/>
      <c r="C1" s="2107"/>
      <c r="D1" s="2107"/>
      <c r="E1" s="2107"/>
      <c r="F1" s="2107"/>
      <c r="G1" s="2107"/>
      <c r="H1" s="2107"/>
      <c r="I1" s="2107"/>
      <c r="J1" s="2107"/>
      <c r="K1" s="2107"/>
      <c r="L1" s="2107"/>
      <c r="M1" s="2107"/>
      <c r="N1" s="2107"/>
      <c r="O1" s="2107"/>
      <c r="P1" s="2107"/>
      <c r="Q1" s="2107"/>
    </row>
    <row r="2" spans="1:18" ht="4.5" customHeight="1">
      <c r="A2" s="179"/>
      <c r="B2" s="179"/>
      <c r="C2" s="179"/>
      <c r="D2" s="179"/>
      <c r="E2" s="179"/>
      <c r="F2" s="179"/>
      <c r="G2" s="179"/>
      <c r="H2" s="179"/>
      <c r="I2" s="179"/>
      <c r="J2" s="179"/>
      <c r="K2" s="179"/>
      <c r="L2" s="179"/>
      <c r="M2" s="179"/>
      <c r="N2" s="179"/>
      <c r="O2" s="179"/>
      <c r="P2" s="179"/>
      <c r="Q2" s="179"/>
    </row>
    <row r="3" spans="1:18" s="39" customFormat="1" ht="21" customHeight="1">
      <c r="A3" s="2138" t="s">
        <v>160</v>
      </c>
      <c r="B3" s="2139"/>
      <c r="C3" s="2139"/>
      <c r="D3" s="2139"/>
      <c r="E3" s="2139"/>
      <c r="F3" s="2139"/>
      <c r="G3" s="2139"/>
      <c r="H3" s="2139"/>
      <c r="I3" s="2139"/>
      <c r="J3" s="2139"/>
      <c r="K3" s="2139"/>
      <c r="L3" s="2139"/>
      <c r="M3" s="2139"/>
      <c r="N3" s="2139"/>
      <c r="O3" s="2139"/>
      <c r="P3" s="2139"/>
      <c r="Q3" s="2140"/>
    </row>
    <row r="4" spans="1:18" s="39" customFormat="1" ht="33" customHeight="1">
      <c r="A4" s="428" t="s">
        <v>0</v>
      </c>
      <c r="B4" s="423" t="s">
        <v>77</v>
      </c>
      <c r="C4" s="423" t="s">
        <v>78</v>
      </c>
      <c r="D4" s="423" t="s">
        <v>79</v>
      </c>
      <c r="E4" s="423" t="s">
        <v>80</v>
      </c>
      <c r="F4" s="423" t="s">
        <v>81</v>
      </c>
      <c r="G4" s="423" t="s">
        <v>82</v>
      </c>
      <c r="H4" s="423" t="s">
        <v>83</v>
      </c>
      <c r="I4" s="424" t="s">
        <v>84</v>
      </c>
      <c r="J4" s="423" t="s">
        <v>85</v>
      </c>
      <c r="K4" s="416" t="s">
        <v>86</v>
      </c>
      <c r="L4" s="423" t="s">
        <v>87</v>
      </c>
      <c r="M4" s="423" t="s">
        <v>88</v>
      </c>
      <c r="N4" s="423" t="s">
        <v>76</v>
      </c>
      <c r="O4" s="423" t="s">
        <v>89</v>
      </c>
      <c r="P4" s="429" t="s">
        <v>90</v>
      </c>
      <c r="Q4" s="419" t="s">
        <v>91</v>
      </c>
    </row>
    <row r="5" spans="1:18" s="39" customFormat="1" ht="15.75">
      <c r="A5" s="415" t="s">
        <v>26</v>
      </c>
      <c r="B5" s="421">
        <v>0</v>
      </c>
      <c r="C5" s="421">
        <v>57</v>
      </c>
      <c r="D5" s="421">
        <v>14</v>
      </c>
      <c r="E5" s="422">
        <v>135</v>
      </c>
      <c r="F5" s="421">
        <v>0</v>
      </c>
      <c r="G5" s="422">
        <v>76</v>
      </c>
      <c r="H5" s="421">
        <v>8</v>
      </c>
      <c r="I5" s="422">
        <v>133</v>
      </c>
      <c r="J5" s="422">
        <v>310</v>
      </c>
      <c r="K5" s="972">
        <f t="shared" ref="K5:K14" si="0">SUM(B5:J5)</f>
        <v>733</v>
      </c>
      <c r="L5" s="2053">
        <v>0</v>
      </c>
      <c r="M5" s="2053">
        <v>0</v>
      </c>
      <c r="N5" s="2053">
        <v>0</v>
      </c>
      <c r="O5" s="2053">
        <v>0</v>
      </c>
      <c r="P5" s="2054">
        <f t="shared" ref="P5:P14" si="1">SUM(L5:O5)</f>
        <v>0</v>
      </c>
      <c r="Q5" s="1579">
        <f>K5+P5</f>
        <v>733</v>
      </c>
      <c r="R5" s="53"/>
    </row>
    <row r="6" spans="1:18" s="39" customFormat="1" ht="15.75">
      <c r="A6" s="415" t="s">
        <v>27</v>
      </c>
      <c r="B6" s="421">
        <v>0</v>
      </c>
      <c r="C6" s="421">
        <v>81</v>
      </c>
      <c r="D6" s="421">
        <v>13</v>
      </c>
      <c r="E6" s="422">
        <v>181</v>
      </c>
      <c r="F6" s="421">
        <v>0</v>
      </c>
      <c r="G6" s="422">
        <v>81</v>
      </c>
      <c r="H6" s="421">
        <v>5</v>
      </c>
      <c r="I6" s="422">
        <v>230</v>
      </c>
      <c r="J6" s="422">
        <v>290</v>
      </c>
      <c r="K6" s="427">
        <f t="shared" si="0"/>
        <v>881</v>
      </c>
      <c r="L6" s="2053">
        <v>259</v>
      </c>
      <c r="M6" s="2053">
        <v>719</v>
      </c>
      <c r="N6" s="2053">
        <v>0</v>
      </c>
      <c r="O6" s="2053">
        <v>0</v>
      </c>
      <c r="P6" s="2055">
        <f t="shared" si="1"/>
        <v>978</v>
      </c>
      <c r="Q6" s="1580">
        <f>K6+P6</f>
        <v>1859</v>
      </c>
    </row>
    <row r="7" spans="1:18" s="39" customFormat="1" ht="15.75">
      <c r="A7" s="415" t="s">
        <v>28</v>
      </c>
      <c r="B7" s="421">
        <v>0</v>
      </c>
      <c r="C7" s="421">
        <v>363</v>
      </c>
      <c r="D7" s="421">
        <v>10</v>
      </c>
      <c r="E7" s="422">
        <v>208</v>
      </c>
      <c r="F7" s="421">
        <v>0</v>
      </c>
      <c r="G7" s="422">
        <v>55</v>
      </c>
      <c r="H7" s="421">
        <v>8</v>
      </c>
      <c r="I7" s="422">
        <v>288</v>
      </c>
      <c r="J7" s="422">
        <v>213</v>
      </c>
      <c r="K7" s="427">
        <f t="shared" si="0"/>
        <v>1145</v>
      </c>
      <c r="L7" s="2053">
        <v>25</v>
      </c>
      <c r="M7" s="2053">
        <v>77</v>
      </c>
      <c r="N7" s="2053">
        <v>0</v>
      </c>
      <c r="O7" s="2053">
        <v>0</v>
      </c>
      <c r="P7" s="2055">
        <f t="shared" si="1"/>
        <v>102</v>
      </c>
      <c r="Q7" s="1580">
        <f t="shared" ref="Q7:Q16" si="2">K7+P7</f>
        <v>1247</v>
      </c>
    </row>
    <row r="8" spans="1:18" s="39" customFormat="1" ht="15.75">
      <c r="A8" s="415" t="s">
        <v>29</v>
      </c>
      <c r="B8" s="421">
        <v>0</v>
      </c>
      <c r="C8" s="421">
        <v>0</v>
      </c>
      <c r="D8" s="421">
        <v>0</v>
      </c>
      <c r="E8" s="422">
        <v>288</v>
      </c>
      <c r="F8" s="421">
        <v>0</v>
      </c>
      <c r="G8" s="422">
        <v>65</v>
      </c>
      <c r="H8" s="421">
        <v>19</v>
      </c>
      <c r="I8" s="422">
        <v>362</v>
      </c>
      <c r="J8" s="422">
        <v>228</v>
      </c>
      <c r="K8" s="427">
        <f t="shared" si="0"/>
        <v>962</v>
      </c>
      <c r="L8" s="2053">
        <v>7</v>
      </c>
      <c r="M8" s="2053">
        <v>59</v>
      </c>
      <c r="N8" s="2053">
        <v>0</v>
      </c>
      <c r="O8" s="2053">
        <v>0</v>
      </c>
      <c r="P8" s="2055">
        <f t="shared" si="1"/>
        <v>66</v>
      </c>
      <c r="Q8" s="1580">
        <f t="shared" si="2"/>
        <v>1028</v>
      </c>
    </row>
    <row r="9" spans="1:18" s="39" customFormat="1" ht="15.75">
      <c r="A9" s="415" t="s">
        <v>30</v>
      </c>
      <c r="B9" s="421">
        <v>0</v>
      </c>
      <c r="C9" s="421">
        <v>0</v>
      </c>
      <c r="D9" s="421">
        <v>0</v>
      </c>
      <c r="E9" s="422">
        <v>5982</v>
      </c>
      <c r="F9" s="421">
        <v>0</v>
      </c>
      <c r="G9" s="422">
        <v>5612</v>
      </c>
      <c r="H9" s="421">
        <v>59</v>
      </c>
      <c r="I9" s="422">
        <v>9295</v>
      </c>
      <c r="J9" s="422">
        <v>4268</v>
      </c>
      <c r="K9" s="427">
        <f t="shared" si="0"/>
        <v>25216</v>
      </c>
      <c r="L9" s="2053">
        <v>7</v>
      </c>
      <c r="M9" s="2053">
        <v>64</v>
      </c>
      <c r="N9" s="2053">
        <v>0</v>
      </c>
      <c r="O9" s="2053">
        <v>0</v>
      </c>
      <c r="P9" s="2055">
        <f t="shared" si="1"/>
        <v>71</v>
      </c>
      <c r="Q9" s="1580">
        <f t="shared" si="2"/>
        <v>25287</v>
      </c>
    </row>
    <row r="10" spans="1:18" s="39" customFormat="1" ht="15.75">
      <c r="A10" s="415" t="s">
        <v>183</v>
      </c>
      <c r="B10" s="421">
        <v>0</v>
      </c>
      <c r="C10" s="421">
        <v>0</v>
      </c>
      <c r="D10" s="421">
        <v>0</v>
      </c>
      <c r="E10" s="422">
        <v>2345</v>
      </c>
      <c r="F10" s="421">
        <v>0</v>
      </c>
      <c r="G10" s="422">
        <v>3608</v>
      </c>
      <c r="H10" s="421">
        <v>22</v>
      </c>
      <c r="I10" s="422">
        <v>2869</v>
      </c>
      <c r="J10" s="422">
        <v>1752</v>
      </c>
      <c r="K10" s="427">
        <f t="shared" si="0"/>
        <v>10596</v>
      </c>
      <c r="L10" s="2053">
        <v>5</v>
      </c>
      <c r="M10" s="2053">
        <v>43</v>
      </c>
      <c r="N10" s="2053">
        <v>0</v>
      </c>
      <c r="O10" s="2053">
        <v>0</v>
      </c>
      <c r="P10" s="2055">
        <f t="shared" si="1"/>
        <v>48</v>
      </c>
      <c r="Q10" s="1580">
        <f t="shared" si="2"/>
        <v>10644</v>
      </c>
      <c r="R10" s="111"/>
    </row>
    <row r="11" spans="1:18" s="39" customFormat="1" ht="15.75">
      <c r="A11" s="415" t="s">
        <v>223</v>
      </c>
      <c r="B11" s="421">
        <v>0</v>
      </c>
      <c r="C11" s="421">
        <v>0</v>
      </c>
      <c r="D11" s="421">
        <v>0</v>
      </c>
      <c r="E11" s="422">
        <v>1603</v>
      </c>
      <c r="F11" s="421">
        <v>0</v>
      </c>
      <c r="G11" s="422">
        <v>1068</v>
      </c>
      <c r="H11" s="421">
        <v>23</v>
      </c>
      <c r="I11" s="422">
        <v>2173</v>
      </c>
      <c r="J11" s="422">
        <v>1337</v>
      </c>
      <c r="K11" s="427">
        <f t="shared" si="0"/>
        <v>6204</v>
      </c>
      <c r="L11" s="2053">
        <v>23</v>
      </c>
      <c r="M11" s="2053">
        <v>41</v>
      </c>
      <c r="N11" s="2053">
        <v>0</v>
      </c>
      <c r="O11" s="2053">
        <v>0</v>
      </c>
      <c r="P11" s="2055">
        <f t="shared" si="1"/>
        <v>64</v>
      </c>
      <c r="Q11" s="1580">
        <f t="shared" si="2"/>
        <v>6268</v>
      </c>
      <c r="R11" s="111"/>
    </row>
    <row r="12" spans="1:18" s="39" customFormat="1" ht="15.75">
      <c r="A12" s="415" t="s">
        <v>456</v>
      </c>
      <c r="B12" s="421">
        <v>0</v>
      </c>
      <c r="C12" s="421">
        <v>0</v>
      </c>
      <c r="D12" s="421">
        <v>0</v>
      </c>
      <c r="E12" s="422">
        <v>2631</v>
      </c>
      <c r="F12" s="421">
        <v>0</v>
      </c>
      <c r="G12" s="422">
        <v>1755</v>
      </c>
      <c r="H12" s="421">
        <v>39</v>
      </c>
      <c r="I12" s="422">
        <v>3381</v>
      </c>
      <c r="J12" s="422">
        <v>2221</v>
      </c>
      <c r="K12" s="427">
        <f t="shared" si="0"/>
        <v>10027</v>
      </c>
      <c r="L12" s="2053">
        <v>3</v>
      </c>
      <c r="M12" s="2053">
        <v>16</v>
      </c>
      <c r="N12" s="2053">
        <v>0</v>
      </c>
      <c r="O12" s="2053">
        <v>0</v>
      </c>
      <c r="P12" s="2055">
        <f t="shared" si="1"/>
        <v>19</v>
      </c>
      <c r="Q12" s="1580">
        <f t="shared" si="2"/>
        <v>10046</v>
      </c>
      <c r="R12" s="111"/>
    </row>
    <row r="13" spans="1:18" s="39" customFormat="1" ht="15.75">
      <c r="A13" s="415" t="s">
        <v>530</v>
      </c>
      <c r="B13" s="421">
        <v>0</v>
      </c>
      <c r="C13" s="421">
        <v>0</v>
      </c>
      <c r="D13" s="421">
        <v>0</v>
      </c>
      <c r="E13" s="422">
        <v>3642</v>
      </c>
      <c r="F13" s="421">
        <v>0</v>
      </c>
      <c r="G13" s="422">
        <v>3099</v>
      </c>
      <c r="H13" s="421">
        <v>33</v>
      </c>
      <c r="I13" s="422">
        <v>5417</v>
      </c>
      <c r="J13" s="422">
        <v>3510</v>
      </c>
      <c r="K13" s="427">
        <f t="shared" si="0"/>
        <v>15701</v>
      </c>
      <c r="L13" s="2053">
        <v>7</v>
      </c>
      <c r="M13" s="2053">
        <v>32</v>
      </c>
      <c r="N13" s="2053">
        <v>0</v>
      </c>
      <c r="O13" s="2053">
        <v>0</v>
      </c>
      <c r="P13" s="2055">
        <f t="shared" si="1"/>
        <v>39</v>
      </c>
      <c r="Q13" s="1580">
        <f t="shared" si="2"/>
        <v>15740</v>
      </c>
      <c r="R13" s="111"/>
    </row>
    <row r="14" spans="1:18" s="39" customFormat="1" ht="15.75">
      <c r="A14" s="415" t="s">
        <v>542</v>
      </c>
      <c r="B14" s="421">
        <v>0</v>
      </c>
      <c r="C14" s="421">
        <v>0</v>
      </c>
      <c r="D14" s="421">
        <v>0</v>
      </c>
      <c r="E14" s="422">
        <v>7753</v>
      </c>
      <c r="F14" s="421">
        <v>0</v>
      </c>
      <c r="G14" s="422">
        <v>7468</v>
      </c>
      <c r="H14" s="421">
        <f>14+93</f>
        <v>107</v>
      </c>
      <c r="I14" s="422">
        <v>11143</v>
      </c>
      <c r="J14" s="422">
        <v>5850</v>
      </c>
      <c r="K14" s="427">
        <f t="shared" si="0"/>
        <v>32321</v>
      </c>
      <c r="L14" s="2053">
        <v>5</v>
      </c>
      <c r="M14" s="2053">
        <f>3+29</f>
        <v>32</v>
      </c>
      <c r="N14" s="2053">
        <v>0</v>
      </c>
      <c r="O14" s="2053">
        <v>7</v>
      </c>
      <c r="P14" s="2055">
        <f t="shared" si="1"/>
        <v>44</v>
      </c>
      <c r="Q14" s="1580">
        <f t="shared" si="2"/>
        <v>32365</v>
      </c>
      <c r="R14" s="111"/>
    </row>
    <row r="15" spans="1:18" s="39" customFormat="1" ht="15.75">
      <c r="A15" s="415" t="s">
        <v>953</v>
      </c>
      <c r="B15" s="421">
        <v>0</v>
      </c>
      <c r="C15" s="421">
        <v>0</v>
      </c>
      <c r="D15" s="421">
        <v>0</v>
      </c>
      <c r="E15" s="422">
        <f>1557+6505+1510+881</f>
        <v>10453</v>
      </c>
      <c r="F15" s="421">
        <v>0</v>
      </c>
      <c r="G15" s="422">
        <f>1180+5298+1095+711</f>
        <v>8284</v>
      </c>
      <c r="H15" s="421">
        <f>18+124+25+25</f>
        <v>192</v>
      </c>
      <c r="I15" s="422">
        <f>1903+9268+1891+1510</f>
        <v>14572</v>
      </c>
      <c r="J15" s="422">
        <f>1130+5562+1245+1023</f>
        <v>8960</v>
      </c>
      <c r="K15" s="427">
        <f>SUM(B15:J15)</f>
        <v>42461</v>
      </c>
      <c r="L15" s="2053">
        <v>2</v>
      </c>
      <c r="M15" s="2053">
        <f>3+31+1+2</f>
        <v>37</v>
      </c>
      <c r="N15" s="2053">
        <v>0</v>
      </c>
      <c r="O15" s="2053">
        <f>8+68+5+9</f>
        <v>90</v>
      </c>
      <c r="P15" s="2055">
        <f>SUM(L15:O15)</f>
        <v>129</v>
      </c>
      <c r="Q15" s="1580">
        <f t="shared" si="2"/>
        <v>42590</v>
      </c>
      <c r="R15" s="111"/>
    </row>
    <row r="16" spans="1:18" s="39" customFormat="1" ht="15.75">
      <c r="A16" s="415" t="s">
        <v>1004</v>
      </c>
      <c r="B16" s="421">
        <v>0</v>
      </c>
      <c r="C16" s="421">
        <v>0</v>
      </c>
      <c r="D16" s="421">
        <v>0</v>
      </c>
      <c r="E16" s="422">
        <v>3993</v>
      </c>
      <c r="F16" s="421">
        <v>0</v>
      </c>
      <c r="G16" s="422">
        <v>2152</v>
      </c>
      <c r="H16" s="421">
        <v>167</v>
      </c>
      <c r="I16" s="422">
        <v>5338</v>
      </c>
      <c r="J16" s="422">
        <v>2644</v>
      </c>
      <c r="K16" s="427">
        <f>SUM(B16:J16)</f>
        <v>14294</v>
      </c>
      <c r="L16" s="2053">
        <v>29</v>
      </c>
      <c r="M16" s="2053">
        <v>2</v>
      </c>
      <c r="N16" s="2053">
        <v>0</v>
      </c>
      <c r="O16" s="2053">
        <v>0</v>
      </c>
      <c r="P16" s="2055">
        <f>SUM(L16:O16)</f>
        <v>31</v>
      </c>
      <c r="Q16" s="1580">
        <f t="shared" si="2"/>
        <v>14325</v>
      </c>
      <c r="R16" s="111"/>
    </row>
    <row r="17" spans="1:19" ht="15.75">
      <c r="A17" s="366" t="s">
        <v>23</v>
      </c>
      <c r="B17" s="694">
        <f t="shared" ref="B17:O17" si="3">SUM(B5:B16)</f>
        <v>0</v>
      </c>
      <c r="C17" s="426">
        <f t="shared" si="3"/>
        <v>501</v>
      </c>
      <c r="D17" s="426">
        <f t="shared" si="3"/>
        <v>37</v>
      </c>
      <c r="E17" s="426">
        <f t="shared" si="3"/>
        <v>39214</v>
      </c>
      <c r="F17" s="426">
        <f t="shared" si="3"/>
        <v>0</v>
      </c>
      <c r="G17" s="426">
        <f t="shared" si="3"/>
        <v>33323</v>
      </c>
      <c r="H17" s="426">
        <f t="shared" si="3"/>
        <v>682</v>
      </c>
      <c r="I17" s="426">
        <f t="shared" si="3"/>
        <v>55201</v>
      </c>
      <c r="J17" s="426">
        <f t="shared" si="3"/>
        <v>31583</v>
      </c>
      <c r="K17" s="973">
        <f t="shared" si="3"/>
        <v>160541</v>
      </c>
      <c r="L17" s="2056">
        <f t="shared" si="3"/>
        <v>372</v>
      </c>
      <c r="M17" s="2056">
        <f t="shared" si="3"/>
        <v>1122</v>
      </c>
      <c r="N17" s="2056">
        <f t="shared" si="3"/>
        <v>0</v>
      </c>
      <c r="O17" s="2056">
        <f t="shared" si="3"/>
        <v>97</v>
      </c>
      <c r="P17" s="2057">
        <f>SUM(P5:P16)</f>
        <v>1591</v>
      </c>
      <c r="Q17" s="973">
        <f>SUM(Q5:Q16)</f>
        <v>162132</v>
      </c>
      <c r="R17" s="111"/>
      <c r="S17" s="39"/>
    </row>
    <row r="18" spans="1:19" s="39" customFormat="1" ht="18" customHeight="1">
      <c r="A18" s="77"/>
      <c r="B18" s="77"/>
      <c r="C18" s="77"/>
      <c r="D18" s="77"/>
      <c r="E18" s="77"/>
      <c r="F18" s="77"/>
      <c r="G18" s="77"/>
      <c r="H18" s="77"/>
      <c r="I18" s="77"/>
      <c r="J18" s="77"/>
      <c r="K18" s="77"/>
      <c r="L18" s="77"/>
      <c r="M18" s="77"/>
      <c r="N18" s="77"/>
      <c r="O18" s="77"/>
      <c r="P18" s="77"/>
      <c r="Q18" s="77"/>
    </row>
    <row r="19" spans="1:19" s="39" customFormat="1">
      <c r="A19" s="96"/>
      <c r="B19" s="96"/>
      <c r="C19" s="96"/>
      <c r="D19" s="96"/>
      <c r="E19" s="96"/>
      <c r="F19" s="96"/>
      <c r="G19" s="96"/>
      <c r="H19" s="96"/>
      <c r="I19" s="96"/>
      <c r="J19" s="96"/>
      <c r="K19" s="96"/>
      <c r="L19" s="96"/>
      <c r="M19" s="96"/>
      <c r="N19" s="96"/>
      <c r="O19" s="96"/>
      <c r="P19" s="96"/>
      <c r="Q19" s="96"/>
    </row>
    <row r="20" spans="1:19" s="39" customFormat="1">
      <c r="A20" s="96"/>
      <c r="B20" s="96"/>
      <c r="C20" s="96"/>
      <c r="D20" s="96"/>
      <c r="E20" s="96"/>
      <c r="F20" s="96"/>
      <c r="G20" s="96"/>
      <c r="H20" s="96"/>
      <c r="I20" s="96"/>
      <c r="J20" s="96"/>
      <c r="K20" s="96"/>
      <c r="L20" s="96"/>
      <c r="M20" s="96"/>
      <c r="N20" s="96"/>
      <c r="O20" s="96"/>
      <c r="P20" s="96"/>
      <c r="Q20" s="96"/>
    </row>
    <row r="21" spans="1:19" s="39" customFormat="1">
      <c r="A21" s="96"/>
      <c r="B21" s="96"/>
      <c r="C21" s="96"/>
      <c r="D21" s="96"/>
      <c r="E21" s="96"/>
      <c r="F21" s="96"/>
      <c r="G21" s="96"/>
      <c r="H21" s="96"/>
      <c r="I21" s="96"/>
      <c r="J21" s="96"/>
      <c r="K21" s="96"/>
      <c r="L21" s="96"/>
      <c r="M21" s="96"/>
      <c r="N21" s="96"/>
      <c r="O21" s="96"/>
      <c r="P21" s="96"/>
      <c r="Q21" s="96"/>
    </row>
    <row r="22" spans="1:19" s="39" customFormat="1">
      <c r="A22" s="96"/>
      <c r="B22" s="96"/>
      <c r="C22" s="96"/>
      <c r="D22" s="96"/>
      <c r="E22" s="96"/>
      <c r="F22" s="96"/>
      <c r="G22" s="96"/>
      <c r="H22" s="96"/>
      <c r="I22" s="96"/>
      <c r="J22" s="96"/>
      <c r="K22" s="96"/>
      <c r="L22" s="96"/>
      <c r="M22" s="96"/>
      <c r="N22" s="96"/>
      <c r="O22" s="96"/>
      <c r="P22" s="96"/>
      <c r="Q22" s="96"/>
    </row>
    <row r="23" spans="1:19" s="39" customFormat="1">
      <c r="A23" s="96"/>
      <c r="B23" s="96"/>
      <c r="C23" s="96"/>
      <c r="D23" s="96"/>
      <c r="E23" s="96"/>
      <c r="F23" s="96"/>
      <c r="G23" s="96"/>
      <c r="H23" s="96"/>
      <c r="I23" s="96"/>
      <c r="J23" s="96"/>
      <c r="K23" s="96"/>
      <c r="L23" s="96"/>
      <c r="M23" s="96"/>
      <c r="N23" s="96"/>
      <c r="O23" s="96"/>
      <c r="P23" s="96"/>
      <c r="Q23" s="96"/>
    </row>
    <row r="24" spans="1:19" s="39" customFormat="1">
      <c r="A24" s="96"/>
      <c r="B24" s="96"/>
      <c r="C24" s="96"/>
      <c r="D24" s="96"/>
      <c r="E24" s="96"/>
      <c r="F24" s="96"/>
      <c r="G24" s="96"/>
      <c r="H24" s="96"/>
      <c r="I24" s="96"/>
      <c r="J24" s="96"/>
      <c r="K24" s="96"/>
      <c r="L24" s="96"/>
      <c r="M24" s="96"/>
      <c r="N24" s="96"/>
      <c r="O24" s="96"/>
      <c r="P24" s="96"/>
      <c r="Q24" s="96"/>
    </row>
    <row r="25" spans="1:19" s="39" customFormat="1">
      <c r="A25" s="96"/>
      <c r="B25" s="96"/>
      <c r="C25" s="96"/>
      <c r="D25" s="96"/>
      <c r="E25" s="96"/>
      <c r="F25" s="96"/>
      <c r="G25" s="96"/>
      <c r="H25" s="96"/>
      <c r="I25" s="96"/>
      <c r="J25" s="96"/>
      <c r="K25" s="96"/>
      <c r="L25" s="96"/>
      <c r="M25" s="96"/>
      <c r="N25" s="96"/>
      <c r="O25" s="96"/>
      <c r="P25" s="96"/>
      <c r="Q25" s="96"/>
    </row>
    <row r="26" spans="1:19" s="39" customFormat="1">
      <c r="A26" s="96"/>
      <c r="B26" s="96"/>
      <c r="C26" s="96"/>
      <c r="D26" s="96"/>
      <c r="E26" s="96"/>
      <c r="F26" s="96"/>
      <c r="G26" s="96"/>
      <c r="H26" s="96"/>
      <c r="I26" s="96"/>
      <c r="J26" s="96"/>
      <c r="K26" s="96"/>
      <c r="L26" s="96"/>
      <c r="M26" s="96"/>
      <c r="N26" s="96"/>
      <c r="O26" s="96"/>
      <c r="P26" s="96"/>
      <c r="Q26" s="96"/>
      <c r="S26" s="77"/>
    </row>
    <row r="27" spans="1:19" s="39" customFormat="1">
      <c r="A27" s="96"/>
      <c r="B27" s="96"/>
      <c r="C27" s="96"/>
      <c r="D27" s="96"/>
      <c r="E27" s="96"/>
      <c r="F27" s="96"/>
      <c r="G27" s="96"/>
      <c r="H27" s="96"/>
      <c r="I27" s="96"/>
      <c r="J27" s="96"/>
      <c r="K27" s="96"/>
      <c r="L27" s="96"/>
      <c r="M27" s="96"/>
      <c r="N27" s="96"/>
      <c r="O27" s="96"/>
      <c r="P27" s="96"/>
      <c r="Q27" s="96"/>
      <c r="S27" s="77"/>
    </row>
    <row r="28" spans="1:19" s="39" customFormat="1">
      <c r="A28" s="96"/>
      <c r="B28" s="96"/>
      <c r="C28" s="96"/>
      <c r="D28" s="96"/>
      <c r="E28" s="96"/>
      <c r="F28" s="96"/>
      <c r="G28" s="96"/>
      <c r="H28" s="96"/>
      <c r="I28" s="96"/>
      <c r="J28" s="96"/>
      <c r="K28" s="96"/>
      <c r="L28" s="96"/>
      <c r="M28" s="96"/>
      <c r="N28" s="96"/>
      <c r="O28" s="96"/>
      <c r="P28" s="96"/>
      <c r="Q28" s="96"/>
      <c r="S28" s="77"/>
    </row>
    <row r="29" spans="1:19" s="39" customFormat="1">
      <c r="A29" s="96"/>
      <c r="B29" s="96"/>
      <c r="C29" s="96"/>
      <c r="D29" s="96"/>
      <c r="E29" s="96"/>
      <c r="F29" s="96"/>
      <c r="G29" s="96"/>
      <c r="H29" s="96"/>
      <c r="I29" s="96"/>
      <c r="J29" s="96"/>
      <c r="K29" s="96"/>
      <c r="L29" s="96"/>
      <c r="M29" s="96"/>
      <c r="N29" s="96"/>
      <c r="O29" s="96"/>
      <c r="P29" s="96"/>
      <c r="Q29" s="96"/>
      <c r="S29" s="77"/>
    </row>
    <row r="30" spans="1:19" s="39" customFormat="1">
      <c r="A30" s="96"/>
      <c r="B30" s="96"/>
      <c r="C30" s="96"/>
      <c r="D30" s="96"/>
      <c r="E30" s="96"/>
      <c r="F30" s="96"/>
      <c r="G30" s="96"/>
      <c r="H30" s="96"/>
      <c r="I30" s="96"/>
      <c r="J30" s="96"/>
      <c r="K30" s="96"/>
      <c r="L30" s="96"/>
      <c r="M30" s="96"/>
      <c r="N30" s="96"/>
      <c r="O30" s="96"/>
      <c r="P30" s="96"/>
      <c r="Q30" s="96"/>
      <c r="S30" s="77"/>
    </row>
    <row r="31" spans="1:19" s="39" customFormat="1">
      <c r="A31" s="96"/>
      <c r="B31" s="96"/>
      <c r="C31" s="96"/>
      <c r="D31" s="96"/>
      <c r="E31" s="96"/>
      <c r="F31" s="96"/>
      <c r="G31" s="96"/>
      <c r="H31" s="96"/>
      <c r="I31" s="96"/>
      <c r="J31" s="96"/>
      <c r="K31" s="96"/>
      <c r="L31" s="96"/>
      <c r="M31" s="96"/>
      <c r="N31" s="96"/>
      <c r="O31" s="96"/>
      <c r="P31" s="96"/>
      <c r="Q31" s="96"/>
      <c r="S31" s="77"/>
    </row>
    <row r="32" spans="1:19" s="39" customFormat="1">
      <c r="A32" s="96"/>
      <c r="B32" s="11"/>
      <c r="C32" s="96"/>
      <c r="D32" s="96"/>
      <c r="E32" s="96"/>
      <c r="F32" s="96"/>
      <c r="G32" s="96"/>
      <c r="H32" s="96"/>
      <c r="I32" s="96"/>
      <c r="J32" s="96"/>
      <c r="K32" s="96"/>
      <c r="L32" s="96"/>
      <c r="M32" s="96"/>
      <c r="N32" s="96"/>
      <c r="O32" s="96"/>
      <c r="P32" s="96"/>
      <c r="Q32" s="96"/>
      <c r="S32" s="77"/>
    </row>
    <row r="33" spans="1:19" s="39" customFormat="1">
      <c r="A33" s="96"/>
      <c r="B33" s="10"/>
      <c r="C33" s="96"/>
      <c r="D33" s="96"/>
      <c r="E33" s="96"/>
      <c r="F33" s="96"/>
      <c r="G33" s="96"/>
      <c r="H33" s="96"/>
      <c r="I33" s="96"/>
      <c r="J33" s="96"/>
      <c r="K33" s="96"/>
      <c r="L33" s="96"/>
      <c r="M33" s="96"/>
      <c r="N33" s="96"/>
      <c r="O33" s="96"/>
      <c r="P33" s="96"/>
      <c r="Q33" s="96"/>
      <c r="S33" s="77"/>
    </row>
    <row r="34" spans="1:19" s="39" customFormat="1">
      <c r="A34" s="96"/>
      <c r="B34" s="28"/>
      <c r="C34" s="96"/>
      <c r="D34" s="96"/>
      <c r="E34" s="96"/>
      <c r="F34" s="96"/>
      <c r="G34" s="96"/>
      <c r="H34" s="96"/>
      <c r="I34" s="96"/>
      <c r="J34" s="96"/>
      <c r="K34" s="96"/>
      <c r="L34" s="96"/>
      <c r="M34" s="96"/>
      <c r="N34" s="96"/>
      <c r="O34" s="96"/>
      <c r="P34" s="96"/>
      <c r="Q34" s="96"/>
      <c r="S34" s="77"/>
    </row>
    <row r="35" spans="1:19" s="39" customFormat="1">
      <c r="A35" s="96"/>
      <c r="B35" s="96"/>
      <c r="C35" s="96"/>
      <c r="D35" s="96"/>
      <c r="E35" s="96"/>
      <c r="F35" s="96"/>
      <c r="G35" s="96"/>
      <c r="H35" s="96"/>
      <c r="I35" s="96"/>
      <c r="J35" s="96"/>
      <c r="K35" s="96"/>
      <c r="L35" s="96"/>
      <c r="M35" s="96"/>
      <c r="N35" s="96"/>
      <c r="O35" s="96"/>
      <c r="P35" s="96"/>
      <c r="Q35" s="96"/>
      <c r="S35" s="77"/>
    </row>
    <row r="36" spans="1:19" s="39" customFormat="1">
      <c r="A36" s="96"/>
      <c r="B36" s="96"/>
      <c r="C36" s="96"/>
      <c r="D36" s="96"/>
      <c r="E36" s="96"/>
      <c r="F36" s="96"/>
      <c r="G36" s="96"/>
      <c r="H36" s="96"/>
      <c r="I36" s="96"/>
      <c r="J36" s="96"/>
      <c r="K36" s="96"/>
      <c r="L36" s="96"/>
      <c r="M36" s="96"/>
      <c r="N36" s="96"/>
      <c r="O36" s="96"/>
      <c r="P36" s="96"/>
      <c r="Q36" s="96"/>
      <c r="S36" s="77"/>
    </row>
    <row r="37" spans="1:19" s="39" customFormat="1">
      <c r="A37" s="96"/>
      <c r="B37" s="96"/>
      <c r="C37" s="96"/>
      <c r="D37" s="96"/>
      <c r="E37" s="96"/>
      <c r="F37" s="96"/>
      <c r="G37" s="96"/>
      <c r="H37" s="96"/>
      <c r="I37" s="96"/>
      <c r="J37" s="96"/>
      <c r="K37" s="96"/>
      <c r="L37" s="96"/>
      <c r="M37" s="96"/>
      <c r="N37" s="96"/>
      <c r="O37" s="96"/>
      <c r="P37" s="96"/>
      <c r="Q37" s="96"/>
      <c r="S37" s="77"/>
    </row>
    <row r="38" spans="1:19" s="39" customFormat="1">
      <c r="A38" s="96"/>
      <c r="B38" s="96"/>
      <c r="C38" s="96"/>
      <c r="D38" s="96"/>
      <c r="E38" s="96"/>
      <c r="F38" s="96"/>
      <c r="G38" s="96"/>
      <c r="H38" s="96"/>
      <c r="I38" s="96"/>
      <c r="J38" s="96"/>
      <c r="K38" s="96"/>
      <c r="L38" s="96"/>
      <c r="M38" s="96"/>
      <c r="N38" s="96"/>
      <c r="O38" s="96"/>
      <c r="P38" s="96"/>
      <c r="Q38" s="96"/>
      <c r="S38" s="77"/>
    </row>
    <row r="39" spans="1:19" s="39" customFormat="1">
      <c r="A39" s="96"/>
      <c r="B39" s="96"/>
      <c r="C39" s="96"/>
      <c r="D39" s="96"/>
      <c r="E39" s="96"/>
      <c r="F39" s="96"/>
      <c r="G39" s="16"/>
      <c r="H39" s="96"/>
      <c r="I39" s="96"/>
      <c r="J39" s="96"/>
      <c r="K39" s="96"/>
      <c r="L39" s="96"/>
      <c r="M39" s="96"/>
      <c r="N39" s="96"/>
      <c r="O39" s="96"/>
      <c r="P39" s="96"/>
      <c r="Q39" s="96"/>
      <c r="S39" s="77"/>
    </row>
    <row r="40" spans="1:19" s="39" customFormat="1">
      <c r="A40" s="77"/>
      <c r="B40" s="77"/>
      <c r="C40" s="77"/>
      <c r="D40" s="77"/>
      <c r="E40" s="77"/>
      <c r="F40" s="77"/>
      <c r="G40" s="77"/>
      <c r="H40" s="77"/>
      <c r="I40" s="77"/>
      <c r="J40" s="77"/>
      <c r="K40" s="77"/>
      <c r="L40" s="77"/>
      <c r="M40" s="77"/>
      <c r="N40" s="77"/>
      <c r="O40" s="77"/>
      <c r="P40" s="77"/>
      <c r="Q40" s="77"/>
      <c r="S40" s="77"/>
    </row>
    <row r="41" spans="1:19" s="39" customFormat="1">
      <c r="A41" s="77"/>
      <c r="B41" s="77"/>
      <c r="C41" s="77"/>
      <c r="D41" s="77"/>
      <c r="E41" s="77"/>
      <c r="F41" s="77"/>
      <c r="G41" s="77"/>
      <c r="H41" s="77"/>
      <c r="I41" s="77"/>
      <c r="J41" s="77"/>
      <c r="K41" s="77"/>
      <c r="L41" s="77"/>
      <c r="M41" s="77"/>
      <c r="N41" s="77"/>
      <c r="O41" s="77"/>
      <c r="P41" s="77"/>
      <c r="Q41" s="77"/>
      <c r="S41" s="77"/>
    </row>
    <row r="42" spans="1:19" s="39" customFormat="1">
      <c r="A42" s="77"/>
      <c r="B42" s="77"/>
      <c r="C42" s="77"/>
      <c r="D42" s="77"/>
      <c r="E42" s="77"/>
      <c r="F42" s="77"/>
      <c r="G42" s="77"/>
      <c r="H42" s="77"/>
      <c r="I42" s="77"/>
      <c r="J42" s="77"/>
      <c r="K42" s="77"/>
      <c r="L42" s="77"/>
      <c r="M42" s="77"/>
      <c r="N42" s="77"/>
      <c r="O42" s="77"/>
      <c r="P42" s="77"/>
      <c r="Q42" s="77"/>
      <c r="S42" s="77"/>
    </row>
    <row r="43" spans="1:19" s="39" customFormat="1">
      <c r="A43" s="77"/>
      <c r="B43" s="77"/>
      <c r="C43" s="77"/>
      <c r="D43" s="77"/>
      <c r="E43" s="77"/>
      <c r="F43" s="77"/>
      <c r="G43" s="77"/>
      <c r="H43" s="77"/>
      <c r="I43" s="77"/>
      <c r="J43" s="77"/>
      <c r="K43" s="77"/>
      <c r="L43" s="77"/>
      <c r="M43" s="77"/>
      <c r="N43" s="77"/>
      <c r="O43" s="77"/>
      <c r="P43" s="77"/>
      <c r="Q43" s="77"/>
      <c r="S43" s="77"/>
    </row>
    <row r="44" spans="1:19" s="39" customFormat="1">
      <c r="A44" s="77"/>
      <c r="B44" s="77"/>
      <c r="C44" s="77"/>
      <c r="D44" s="77"/>
      <c r="E44" s="77"/>
      <c r="F44" s="77"/>
      <c r="G44" s="77"/>
      <c r="H44" s="77"/>
      <c r="I44" s="77"/>
      <c r="J44" s="77"/>
      <c r="K44" s="77"/>
      <c r="L44" s="77"/>
      <c r="M44" s="77"/>
      <c r="N44" s="77"/>
      <c r="O44" s="77"/>
      <c r="P44" s="77"/>
      <c r="Q44" s="77"/>
      <c r="S44" s="77"/>
    </row>
    <row r="45" spans="1:19" s="39" customFormat="1">
      <c r="A45" s="77"/>
      <c r="B45" s="77"/>
      <c r="C45" s="77"/>
      <c r="D45" s="77"/>
      <c r="E45" s="77"/>
      <c r="F45" s="77"/>
      <c r="G45" s="77"/>
      <c r="H45" s="77"/>
      <c r="I45" s="77"/>
      <c r="J45" s="77"/>
      <c r="K45" s="77"/>
      <c r="L45" s="77"/>
      <c r="M45" s="77"/>
      <c r="N45" s="77"/>
      <c r="O45" s="77"/>
      <c r="P45" s="77"/>
      <c r="Q45" s="77"/>
      <c r="S45" s="77"/>
    </row>
    <row r="46" spans="1:19" s="39" customFormat="1">
      <c r="A46" s="77"/>
      <c r="B46" s="77"/>
      <c r="C46" s="77"/>
      <c r="D46" s="77"/>
      <c r="E46" s="77"/>
      <c r="F46" s="77"/>
      <c r="G46" s="77"/>
      <c r="H46" s="77"/>
      <c r="I46" s="77"/>
      <c r="J46" s="77"/>
      <c r="K46" s="77"/>
      <c r="L46" s="77"/>
      <c r="M46" s="77"/>
      <c r="N46" s="77"/>
      <c r="O46" s="77"/>
      <c r="P46" s="77"/>
      <c r="Q46" s="77"/>
      <c r="S46" s="77"/>
    </row>
    <row r="47" spans="1:19" s="39" customFormat="1">
      <c r="A47" s="77"/>
      <c r="B47" s="77"/>
      <c r="C47" s="77"/>
      <c r="D47" s="77"/>
      <c r="E47" s="77"/>
      <c r="F47" s="77"/>
      <c r="G47" s="77"/>
      <c r="H47" s="77"/>
      <c r="I47" s="77"/>
      <c r="J47" s="77"/>
      <c r="K47" s="77"/>
      <c r="L47" s="77"/>
      <c r="M47" s="77"/>
      <c r="N47" s="77"/>
      <c r="O47" s="77"/>
      <c r="P47" s="77"/>
      <c r="Q47" s="77"/>
      <c r="S47" s="77"/>
    </row>
    <row r="48" spans="1:19" s="39" customFormat="1">
      <c r="A48" s="77"/>
      <c r="B48" s="77"/>
      <c r="C48" s="77"/>
      <c r="D48" s="77"/>
      <c r="E48" s="77"/>
      <c r="F48" s="77"/>
      <c r="G48" s="77"/>
      <c r="H48" s="77"/>
      <c r="I48" s="77"/>
      <c r="J48" s="77"/>
      <c r="K48" s="77"/>
      <c r="L48" s="77"/>
      <c r="M48" s="77"/>
      <c r="N48" s="77"/>
      <c r="O48" s="77"/>
      <c r="P48" s="77"/>
      <c r="Q48" s="77"/>
      <c r="S48" s="77"/>
    </row>
    <row r="49" spans="1:19" s="39" customFormat="1">
      <c r="A49" s="77"/>
      <c r="B49" s="77"/>
      <c r="C49" s="77"/>
      <c r="D49" s="77"/>
      <c r="E49" s="77"/>
      <c r="F49" s="77"/>
      <c r="G49" s="77"/>
      <c r="H49" s="77"/>
      <c r="I49" s="77"/>
      <c r="J49" s="77"/>
      <c r="K49" s="77"/>
      <c r="L49" s="77"/>
      <c r="M49" s="77"/>
      <c r="N49" s="77"/>
      <c r="O49" s="77"/>
      <c r="P49" s="77"/>
      <c r="Q49" s="77"/>
      <c r="S49" s="77"/>
    </row>
    <row r="50" spans="1:19" s="39" customFormat="1">
      <c r="A50" s="77"/>
      <c r="B50" s="77"/>
      <c r="C50" s="77"/>
      <c r="D50" s="77"/>
      <c r="E50" s="77"/>
      <c r="F50" s="77"/>
      <c r="G50" s="77"/>
      <c r="H50" s="77"/>
      <c r="I50" s="77"/>
      <c r="J50" s="77"/>
      <c r="K50" s="77"/>
      <c r="L50" s="77"/>
      <c r="M50" s="77"/>
      <c r="N50" s="77"/>
      <c r="O50" s="77"/>
      <c r="P50" s="77"/>
      <c r="Q50" s="77"/>
      <c r="S50" s="77"/>
    </row>
    <row r="51" spans="1:19" s="39" customFormat="1">
      <c r="A51" s="77"/>
      <c r="B51" s="77"/>
      <c r="C51" s="77"/>
      <c r="D51" s="77"/>
      <c r="E51" s="77"/>
      <c r="F51" s="77"/>
      <c r="G51" s="77"/>
      <c r="H51" s="77"/>
      <c r="I51" s="77"/>
      <c r="J51" s="77"/>
      <c r="K51" s="77"/>
      <c r="L51" s="77"/>
      <c r="M51" s="77"/>
      <c r="N51" s="77"/>
      <c r="O51" s="77"/>
      <c r="P51" s="77"/>
      <c r="Q51" s="77"/>
      <c r="S51" s="77"/>
    </row>
    <row r="52" spans="1:19" s="39" customFormat="1">
      <c r="A52" s="77"/>
      <c r="B52" s="77"/>
      <c r="C52" s="77"/>
      <c r="D52" s="77"/>
      <c r="E52" s="77"/>
      <c r="F52" s="77"/>
      <c r="G52" s="77"/>
      <c r="H52" s="77"/>
      <c r="I52" s="77"/>
      <c r="J52" s="77"/>
      <c r="K52" s="77"/>
      <c r="L52" s="77"/>
      <c r="M52" s="77"/>
      <c r="N52" s="77"/>
      <c r="O52" s="77"/>
      <c r="P52" s="77"/>
      <c r="Q52" s="77"/>
      <c r="S52" s="77"/>
    </row>
    <row r="53" spans="1:19" s="39" customFormat="1">
      <c r="A53" s="77"/>
      <c r="B53" s="77"/>
      <c r="C53" s="77"/>
      <c r="D53" s="77"/>
      <c r="E53" s="77"/>
      <c r="F53" s="77"/>
      <c r="G53" s="77"/>
      <c r="H53" s="77"/>
      <c r="I53" s="77"/>
      <c r="J53" s="77"/>
      <c r="K53" s="77"/>
      <c r="L53" s="77"/>
      <c r="M53" s="77"/>
      <c r="N53" s="77"/>
      <c r="O53" s="77"/>
      <c r="P53" s="77"/>
      <c r="Q53" s="77"/>
      <c r="S53" s="77"/>
    </row>
    <row r="54" spans="1:19" s="39" customFormat="1">
      <c r="A54" s="77"/>
      <c r="B54" s="77"/>
      <c r="C54" s="77"/>
      <c r="D54" s="77"/>
      <c r="E54" s="77"/>
      <c r="F54" s="77"/>
      <c r="G54" s="77"/>
      <c r="H54" s="77"/>
      <c r="I54" s="77"/>
      <c r="J54" s="77"/>
      <c r="K54" s="77"/>
      <c r="L54" s="77"/>
      <c r="M54" s="77"/>
      <c r="N54" s="77"/>
      <c r="O54" s="77"/>
      <c r="P54" s="77"/>
      <c r="Q54" s="77"/>
      <c r="S54" s="77"/>
    </row>
    <row r="55" spans="1:19" s="39" customFormat="1">
      <c r="A55" s="77"/>
      <c r="B55" s="77"/>
      <c r="C55" s="77"/>
      <c r="D55" s="77"/>
      <c r="E55" s="77"/>
      <c r="F55" s="77"/>
      <c r="G55" s="77"/>
      <c r="H55" s="77"/>
      <c r="I55" s="77"/>
      <c r="J55" s="77"/>
      <c r="K55" s="77"/>
      <c r="L55" s="77"/>
      <c r="M55" s="77"/>
      <c r="N55" s="77"/>
      <c r="O55" s="77"/>
      <c r="P55" s="77"/>
      <c r="Q55" s="77"/>
      <c r="S55" s="77"/>
    </row>
    <row r="56" spans="1:19" s="39" customFormat="1">
      <c r="A56" s="77"/>
      <c r="B56" s="77"/>
      <c r="C56" s="77"/>
      <c r="D56" s="77"/>
      <c r="E56" s="77"/>
      <c r="F56" s="77"/>
      <c r="G56" s="77"/>
      <c r="H56" s="77"/>
      <c r="I56" s="77"/>
      <c r="J56" s="77"/>
      <c r="K56" s="77"/>
      <c r="L56" s="77"/>
      <c r="M56" s="77"/>
      <c r="N56" s="77"/>
      <c r="O56" s="77"/>
      <c r="P56" s="77"/>
      <c r="Q56" s="77"/>
      <c r="S56" s="77"/>
    </row>
    <row r="57" spans="1:19" s="39" customFormat="1">
      <c r="A57" s="77"/>
      <c r="B57" s="77"/>
      <c r="C57" s="77"/>
      <c r="D57" s="77"/>
      <c r="E57" s="77"/>
      <c r="F57" s="77"/>
      <c r="G57" s="77"/>
      <c r="H57" s="77"/>
      <c r="I57" s="77"/>
      <c r="J57" s="77"/>
      <c r="K57" s="77"/>
      <c r="L57" s="77"/>
      <c r="M57" s="77"/>
      <c r="N57" s="77"/>
      <c r="O57" s="77"/>
      <c r="P57" s="77"/>
      <c r="Q57" s="77"/>
      <c r="S57" s="77"/>
    </row>
    <row r="58" spans="1:19" s="39" customFormat="1">
      <c r="A58" s="77"/>
      <c r="B58" s="77"/>
      <c r="C58" s="77"/>
      <c r="D58" s="77"/>
      <c r="E58" s="77"/>
      <c r="F58" s="77"/>
      <c r="G58" s="77"/>
      <c r="H58" s="77"/>
      <c r="I58" s="77"/>
      <c r="J58" s="77"/>
      <c r="K58" s="77"/>
      <c r="L58" s="77"/>
      <c r="M58" s="77"/>
      <c r="N58" s="77"/>
      <c r="O58" s="77"/>
      <c r="P58" s="77"/>
      <c r="Q58" s="77"/>
      <c r="S58" s="77"/>
    </row>
    <row r="59" spans="1:19" s="39" customFormat="1">
      <c r="A59" s="77"/>
      <c r="B59" s="77"/>
      <c r="C59" s="77"/>
      <c r="D59" s="77"/>
      <c r="E59" s="77"/>
      <c r="F59" s="77"/>
      <c r="G59" s="77"/>
      <c r="H59" s="77"/>
      <c r="I59" s="77"/>
      <c r="J59" s="77"/>
      <c r="K59" s="77"/>
      <c r="L59" s="77"/>
      <c r="M59" s="77"/>
      <c r="N59" s="77"/>
      <c r="O59" s="77"/>
      <c r="P59" s="77"/>
      <c r="Q59" s="77"/>
      <c r="S59" s="77"/>
    </row>
    <row r="60" spans="1:19" s="39" customFormat="1">
      <c r="A60" s="77"/>
      <c r="B60" s="77"/>
      <c r="C60" s="77"/>
      <c r="D60" s="77"/>
      <c r="E60" s="77"/>
      <c r="F60" s="77"/>
      <c r="G60" s="77"/>
      <c r="H60" s="77"/>
      <c r="I60" s="77"/>
      <c r="J60" s="77"/>
      <c r="K60" s="77"/>
      <c r="L60" s="77"/>
      <c r="M60" s="77"/>
      <c r="N60" s="77"/>
      <c r="O60" s="77"/>
      <c r="P60" s="77"/>
      <c r="Q60" s="77"/>
      <c r="S60" s="77"/>
    </row>
    <row r="61" spans="1:19" s="39" customFormat="1">
      <c r="A61" s="77"/>
      <c r="B61" s="77"/>
      <c r="C61" s="77"/>
      <c r="D61" s="77"/>
      <c r="E61" s="77"/>
      <c r="F61" s="77"/>
      <c r="G61" s="77"/>
      <c r="H61" s="77"/>
      <c r="I61" s="77"/>
      <c r="J61" s="77"/>
      <c r="K61" s="77"/>
      <c r="L61" s="77"/>
      <c r="M61" s="77"/>
      <c r="N61" s="77"/>
      <c r="O61" s="77"/>
      <c r="P61" s="77"/>
      <c r="Q61" s="77"/>
      <c r="S61" s="77"/>
    </row>
    <row r="62" spans="1:19" s="39" customFormat="1">
      <c r="A62" s="77"/>
      <c r="B62" s="77"/>
      <c r="C62" s="77"/>
      <c r="D62" s="77"/>
      <c r="E62" s="77"/>
      <c r="F62" s="77"/>
      <c r="G62" s="77"/>
      <c r="H62" s="77"/>
      <c r="I62" s="77"/>
      <c r="J62" s="77"/>
      <c r="K62" s="77"/>
      <c r="L62" s="77"/>
      <c r="M62" s="77"/>
      <c r="N62" s="77"/>
      <c r="O62" s="77"/>
      <c r="P62" s="77"/>
      <c r="Q62" s="77"/>
      <c r="S62" s="77"/>
    </row>
    <row r="63" spans="1:19" s="39" customFormat="1">
      <c r="A63" s="77"/>
      <c r="B63" s="77"/>
      <c r="C63" s="77"/>
      <c r="D63" s="77"/>
      <c r="E63" s="77"/>
      <c r="F63" s="77"/>
      <c r="G63" s="77"/>
      <c r="H63" s="77"/>
      <c r="I63" s="77"/>
      <c r="J63" s="77"/>
      <c r="K63" s="77"/>
      <c r="L63" s="77"/>
      <c r="M63" s="77"/>
      <c r="N63" s="77"/>
      <c r="O63" s="77"/>
      <c r="P63" s="77"/>
      <c r="Q63" s="77"/>
      <c r="S63" s="77"/>
    </row>
    <row r="64" spans="1:19" s="39" customFormat="1">
      <c r="A64" s="77"/>
      <c r="B64" s="77"/>
      <c r="C64" s="77"/>
      <c r="D64" s="77"/>
      <c r="E64" s="77"/>
      <c r="F64" s="77"/>
      <c r="G64" s="77"/>
      <c r="H64" s="77"/>
      <c r="I64" s="77"/>
      <c r="J64" s="77"/>
      <c r="K64" s="77"/>
      <c r="L64" s="77"/>
      <c r="M64" s="77"/>
      <c r="N64" s="77"/>
      <c r="O64" s="77"/>
      <c r="P64" s="77"/>
      <c r="Q64" s="77"/>
      <c r="S64" s="77"/>
    </row>
    <row r="65" spans="1:19" s="39" customFormat="1">
      <c r="A65" s="77"/>
      <c r="B65" s="77"/>
      <c r="C65" s="77"/>
      <c r="D65" s="77"/>
      <c r="E65" s="77"/>
      <c r="F65" s="77"/>
      <c r="G65" s="77"/>
      <c r="H65" s="77"/>
      <c r="I65" s="77"/>
      <c r="J65" s="77"/>
      <c r="K65" s="77"/>
      <c r="L65" s="77"/>
      <c r="M65" s="77"/>
      <c r="N65" s="77"/>
      <c r="O65" s="77"/>
      <c r="P65" s="77"/>
      <c r="Q65" s="77"/>
      <c r="S65" s="77"/>
    </row>
    <row r="66" spans="1:19" s="39" customFormat="1">
      <c r="A66" s="77"/>
      <c r="B66" s="77"/>
      <c r="C66" s="77"/>
      <c r="D66" s="77"/>
      <c r="E66" s="77"/>
      <c r="F66" s="77"/>
      <c r="G66" s="77"/>
      <c r="H66" s="77"/>
      <c r="I66" s="77"/>
      <c r="J66" s="77"/>
      <c r="K66" s="77"/>
      <c r="L66" s="77"/>
      <c r="M66" s="77"/>
      <c r="N66" s="77"/>
      <c r="O66" s="77"/>
      <c r="P66" s="77"/>
      <c r="Q66" s="77"/>
      <c r="S66" s="77"/>
    </row>
    <row r="67" spans="1:19" s="39" customFormat="1">
      <c r="A67" s="77"/>
      <c r="B67" s="77"/>
      <c r="C67" s="77"/>
      <c r="D67" s="77"/>
      <c r="E67" s="77"/>
      <c r="F67" s="77"/>
      <c r="G67" s="77"/>
      <c r="H67" s="77"/>
      <c r="I67" s="77"/>
      <c r="J67" s="77"/>
      <c r="K67" s="77"/>
      <c r="L67" s="77"/>
      <c r="M67" s="77"/>
      <c r="N67" s="77"/>
      <c r="O67" s="77"/>
      <c r="P67" s="77"/>
      <c r="Q67" s="77"/>
      <c r="S67" s="77"/>
    </row>
    <row r="68" spans="1:19" s="39" customFormat="1">
      <c r="A68" s="77"/>
      <c r="B68" s="77"/>
      <c r="C68" s="77"/>
      <c r="D68" s="77"/>
      <c r="E68" s="77"/>
      <c r="F68" s="77"/>
      <c r="G68" s="77"/>
      <c r="H68" s="77"/>
      <c r="I68" s="77"/>
      <c r="J68" s="77"/>
      <c r="K68" s="77"/>
      <c r="L68" s="77"/>
      <c r="M68" s="77"/>
      <c r="N68" s="77"/>
      <c r="O68" s="77"/>
      <c r="P68" s="77"/>
      <c r="Q68" s="77"/>
      <c r="S68" s="77"/>
    </row>
    <row r="69" spans="1:19" s="39" customFormat="1">
      <c r="A69" s="77"/>
      <c r="B69" s="77"/>
      <c r="C69" s="77"/>
      <c r="D69" s="77"/>
      <c r="E69" s="77"/>
      <c r="F69" s="77"/>
      <c r="G69" s="77"/>
      <c r="H69" s="77"/>
      <c r="I69" s="77"/>
      <c r="J69" s="77"/>
      <c r="K69" s="77"/>
      <c r="L69" s="77"/>
      <c r="M69" s="77"/>
      <c r="N69" s="77"/>
      <c r="O69" s="77"/>
      <c r="P69" s="77"/>
      <c r="Q69" s="77"/>
      <c r="S69" s="77"/>
    </row>
    <row r="70" spans="1:19" s="39" customFormat="1">
      <c r="A70" s="77"/>
      <c r="B70" s="77"/>
      <c r="C70" s="77"/>
      <c r="D70" s="77"/>
      <c r="E70" s="77"/>
      <c r="F70" s="77"/>
      <c r="G70" s="77"/>
      <c r="H70" s="77"/>
      <c r="I70" s="77"/>
      <c r="J70" s="77"/>
      <c r="K70" s="77"/>
      <c r="L70" s="77"/>
      <c r="M70" s="77"/>
      <c r="N70" s="77"/>
      <c r="O70" s="77"/>
      <c r="P70" s="77"/>
      <c r="Q70" s="77"/>
      <c r="S70" s="77"/>
    </row>
    <row r="71" spans="1:19" s="39" customFormat="1">
      <c r="A71" s="77"/>
      <c r="B71" s="77"/>
      <c r="C71" s="77"/>
      <c r="D71" s="77"/>
      <c r="E71" s="77"/>
      <c r="F71" s="77"/>
      <c r="G71" s="77"/>
      <c r="H71" s="77"/>
      <c r="I71" s="77"/>
      <c r="J71" s="77"/>
      <c r="K71" s="77"/>
      <c r="L71" s="77"/>
      <c r="M71" s="77"/>
      <c r="N71" s="77"/>
      <c r="O71" s="77"/>
      <c r="P71" s="77"/>
      <c r="Q71" s="77"/>
      <c r="S71" s="77"/>
    </row>
    <row r="72" spans="1:19" s="39" customFormat="1">
      <c r="A72" s="77"/>
      <c r="B72" s="77"/>
      <c r="C72" s="77"/>
      <c r="D72" s="77"/>
      <c r="E72" s="77"/>
      <c r="F72" s="77"/>
      <c r="G72" s="77"/>
      <c r="H72" s="77"/>
      <c r="I72" s="77"/>
      <c r="J72" s="77"/>
      <c r="K72" s="77"/>
      <c r="L72" s="77"/>
      <c r="M72" s="77"/>
      <c r="N72" s="77"/>
      <c r="O72" s="77"/>
      <c r="P72" s="77"/>
      <c r="Q72" s="77"/>
      <c r="S72" s="77"/>
    </row>
    <row r="73" spans="1:19" s="39" customFormat="1">
      <c r="A73" s="77"/>
      <c r="B73" s="77"/>
      <c r="C73" s="77"/>
      <c r="D73" s="77"/>
      <c r="E73" s="77"/>
      <c r="F73" s="77"/>
      <c r="G73" s="77"/>
      <c r="H73" s="77"/>
      <c r="I73" s="77"/>
      <c r="J73" s="77"/>
      <c r="K73" s="77"/>
      <c r="L73" s="77"/>
      <c r="M73" s="77"/>
      <c r="N73" s="77"/>
      <c r="O73" s="77"/>
      <c r="P73" s="77"/>
      <c r="Q73" s="77"/>
      <c r="S73" s="77"/>
    </row>
    <row r="74" spans="1:19" s="39" customFormat="1">
      <c r="A74" s="77"/>
      <c r="B74" s="77"/>
      <c r="C74" s="77"/>
      <c r="D74" s="77"/>
      <c r="E74" s="77"/>
      <c r="F74" s="77"/>
      <c r="G74" s="77"/>
      <c r="H74" s="77"/>
      <c r="I74" s="77"/>
      <c r="J74" s="77"/>
      <c r="K74" s="77"/>
      <c r="L74" s="77"/>
      <c r="M74" s="77"/>
      <c r="N74" s="77"/>
      <c r="O74" s="77"/>
      <c r="P74" s="77"/>
      <c r="Q74" s="77"/>
      <c r="S74" s="77"/>
    </row>
    <row r="75" spans="1:19" s="39" customFormat="1">
      <c r="A75" s="77"/>
      <c r="B75" s="77"/>
      <c r="C75" s="77"/>
      <c r="D75" s="77"/>
      <c r="E75" s="77"/>
      <c r="F75" s="77"/>
      <c r="G75" s="77"/>
      <c r="H75" s="77"/>
      <c r="I75" s="77"/>
      <c r="J75" s="77"/>
      <c r="K75" s="77"/>
      <c r="L75" s="77"/>
      <c r="M75" s="77"/>
      <c r="N75" s="77"/>
      <c r="O75" s="77"/>
      <c r="P75" s="77"/>
      <c r="Q75" s="77"/>
      <c r="S75" s="77"/>
    </row>
    <row r="76" spans="1:19" s="39" customFormat="1">
      <c r="A76" s="77"/>
      <c r="B76" s="77"/>
      <c r="C76" s="77"/>
      <c r="D76" s="77"/>
      <c r="E76" s="77"/>
      <c r="F76" s="77"/>
      <c r="G76" s="77"/>
      <c r="H76" s="77"/>
      <c r="I76" s="77"/>
      <c r="J76" s="77"/>
      <c r="K76" s="77"/>
      <c r="L76" s="77"/>
      <c r="M76" s="77"/>
      <c r="N76" s="77"/>
      <c r="O76" s="77"/>
      <c r="P76" s="77"/>
      <c r="Q76" s="77"/>
      <c r="S76" s="77"/>
    </row>
    <row r="77" spans="1:19" s="39" customFormat="1">
      <c r="A77" s="77"/>
      <c r="B77" s="77"/>
      <c r="C77" s="77"/>
      <c r="D77" s="77"/>
      <c r="E77" s="77"/>
      <c r="F77" s="77"/>
      <c r="G77" s="77"/>
      <c r="H77" s="77"/>
      <c r="I77" s="77"/>
      <c r="J77" s="77"/>
      <c r="K77" s="77"/>
      <c r="L77" s="77"/>
      <c r="M77" s="77"/>
      <c r="N77" s="77"/>
      <c r="O77" s="77"/>
      <c r="P77" s="77"/>
      <c r="Q77" s="77"/>
      <c r="S77" s="77"/>
    </row>
    <row r="78" spans="1:19" s="39" customFormat="1">
      <c r="A78" s="77"/>
      <c r="B78" s="77"/>
      <c r="C78" s="77"/>
      <c r="D78" s="77"/>
      <c r="E78" s="77"/>
      <c r="F78" s="77"/>
      <c r="G78" s="77"/>
      <c r="H78" s="77"/>
      <c r="I78" s="77"/>
      <c r="J78" s="77"/>
      <c r="K78" s="77"/>
      <c r="L78" s="77"/>
      <c r="M78" s="77"/>
      <c r="N78" s="77"/>
      <c r="O78" s="77"/>
      <c r="P78" s="77"/>
      <c r="Q78" s="77"/>
      <c r="S78" s="77"/>
    </row>
    <row r="79" spans="1:19" s="39" customFormat="1">
      <c r="A79" s="77"/>
      <c r="B79" s="77"/>
      <c r="C79" s="77"/>
      <c r="D79" s="77"/>
      <c r="E79" s="77"/>
      <c r="F79" s="77"/>
      <c r="G79" s="77"/>
      <c r="H79" s="77"/>
      <c r="I79" s="77"/>
      <c r="J79" s="77"/>
      <c r="K79" s="77"/>
      <c r="L79" s="77"/>
      <c r="M79" s="77"/>
      <c r="N79" s="77"/>
      <c r="O79" s="77"/>
      <c r="P79" s="77"/>
      <c r="Q79" s="77"/>
      <c r="S79" s="77"/>
    </row>
    <row r="80" spans="1:19" s="39" customFormat="1">
      <c r="A80" s="77"/>
      <c r="B80" s="77"/>
      <c r="C80" s="77"/>
      <c r="D80" s="77"/>
      <c r="E80" s="77"/>
      <c r="F80" s="77"/>
      <c r="G80" s="77"/>
      <c r="H80" s="77"/>
      <c r="I80" s="77"/>
      <c r="J80" s="77"/>
      <c r="K80" s="77"/>
      <c r="L80" s="77"/>
      <c r="M80" s="77"/>
      <c r="N80" s="77"/>
      <c r="O80" s="77"/>
      <c r="P80" s="77"/>
      <c r="Q80" s="77"/>
      <c r="S80" s="77"/>
    </row>
    <row r="81" spans="1:19" s="39" customFormat="1">
      <c r="A81" s="77"/>
      <c r="B81" s="77"/>
      <c r="C81" s="77"/>
      <c r="D81" s="77"/>
      <c r="E81" s="77"/>
      <c r="F81" s="77"/>
      <c r="G81" s="77"/>
      <c r="H81" s="77"/>
      <c r="I81" s="77"/>
      <c r="J81" s="77"/>
      <c r="K81" s="77"/>
      <c r="L81" s="77"/>
      <c r="M81" s="77"/>
      <c r="N81" s="77"/>
      <c r="O81" s="77"/>
      <c r="P81" s="77"/>
      <c r="Q81" s="77"/>
      <c r="S81" s="77"/>
    </row>
    <row r="82" spans="1:19" s="39" customFormat="1">
      <c r="A82" s="77"/>
      <c r="B82" s="77"/>
      <c r="C82" s="77"/>
      <c r="D82" s="77"/>
      <c r="E82" s="77"/>
      <c r="F82" s="77"/>
      <c r="G82" s="77"/>
      <c r="H82" s="77"/>
      <c r="I82" s="77"/>
      <c r="J82" s="77"/>
      <c r="K82" s="77"/>
      <c r="L82" s="77"/>
      <c r="M82" s="77"/>
      <c r="N82" s="77"/>
      <c r="O82" s="77"/>
      <c r="P82" s="77"/>
      <c r="Q82" s="77"/>
      <c r="S82" s="77"/>
    </row>
    <row r="83" spans="1:19" s="39" customFormat="1">
      <c r="A83" s="77"/>
      <c r="B83" s="77"/>
      <c r="C83" s="77"/>
      <c r="D83" s="77"/>
      <c r="E83" s="77"/>
      <c r="F83" s="77"/>
      <c r="G83" s="77"/>
      <c r="H83" s="77"/>
      <c r="I83" s="77"/>
      <c r="J83" s="77"/>
      <c r="K83" s="77"/>
      <c r="L83" s="77"/>
      <c r="M83" s="77"/>
      <c r="N83" s="77"/>
      <c r="O83" s="77"/>
      <c r="P83" s="77"/>
      <c r="Q83" s="77"/>
      <c r="S83" s="77"/>
    </row>
    <row r="84" spans="1:19" s="39" customFormat="1">
      <c r="A84" s="77"/>
      <c r="B84" s="77"/>
      <c r="C84" s="77"/>
      <c r="D84" s="77"/>
      <c r="E84" s="77"/>
      <c r="F84" s="77"/>
      <c r="G84" s="77"/>
      <c r="H84" s="77"/>
      <c r="I84" s="77"/>
      <c r="J84" s="77"/>
      <c r="K84" s="77"/>
      <c r="L84" s="77"/>
      <c r="M84" s="77"/>
      <c r="N84" s="77"/>
      <c r="O84" s="77"/>
      <c r="P84" s="77"/>
      <c r="Q84" s="77"/>
      <c r="S84" s="77"/>
    </row>
    <row r="85" spans="1:19" s="39" customFormat="1">
      <c r="A85" s="77"/>
      <c r="B85" s="77"/>
      <c r="C85" s="77"/>
      <c r="D85" s="77"/>
      <c r="E85" s="77"/>
      <c r="F85" s="77"/>
      <c r="G85" s="77"/>
      <c r="H85" s="77"/>
      <c r="I85" s="77"/>
      <c r="J85" s="77"/>
      <c r="K85" s="77"/>
      <c r="L85" s="77"/>
      <c r="M85" s="77"/>
      <c r="N85" s="77"/>
      <c r="O85" s="77"/>
      <c r="P85" s="77"/>
      <c r="Q85" s="77"/>
      <c r="S85" s="77"/>
    </row>
    <row r="86" spans="1:19" s="39" customFormat="1">
      <c r="A86" s="77"/>
      <c r="B86" s="77"/>
      <c r="C86" s="77"/>
      <c r="D86" s="77"/>
      <c r="E86" s="77"/>
      <c r="F86" s="77"/>
      <c r="G86" s="77"/>
      <c r="H86" s="77"/>
      <c r="I86" s="77"/>
      <c r="J86" s="77"/>
      <c r="K86" s="77"/>
      <c r="L86" s="77"/>
      <c r="M86" s="77"/>
      <c r="N86" s="77"/>
      <c r="O86" s="77"/>
      <c r="P86" s="77"/>
      <c r="Q86" s="77"/>
      <c r="S86" s="77"/>
    </row>
    <row r="87" spans="1:19" s="39" customFormat="1">
      <c r="A87" s="77"/>
      <c r="B87" s="77"/>
      <c r="C87" s="77"/>
      <c r="D87" s="77"/>
      <c r="E87" s="77"/>
      <c r="F87" s="77"/>
      <c r="G87" s="77"/>
      <c r="H87" s="77"/>
      <c r="I87" s="77"/>
      <c r="J87" s="77"/>
      <c r="K87" s="77"/>
      <c r="L87" s="77"/>
      <c r="M87" s="77"/>
      <c r="N87" s="77"/>
      <c r="O87" s="77"/>
      <c r="P87" s="77"/>
      <c r="Q87" s="77"/>
      <c r="S87" s="77"/>
    </row>
    <row r="88" spans="1:19" s="39" customFormat="1">
      <c r="A88" s="77"/>
      <c r="B88" s="77"/>
      <c r="C88" s="77"/>
      <c r="D88" s="77"/>
      <c r="E88" s="77"/>
      <c r="F88" s="77"/>
      <c r="G88" s="77"/>
      <c r="H88" s="77"/>
      <c r="I88" s="77"/>
      <c r="J88" s="77"/>
      <c r="K88" s="77"/>
      <c r="L88" s="77"/>
      <c r="M88" s="77"/>
      <c r="N88" s="77"/>
      <c r="O88" s="77"/>
      <c r="P88" s="77"/>
      <c r="Q88" s="77"/>
      <c r="S88" s="77"/>
    </row>
    <row r="89" spans="1:19" s="39" customFormat="1">
      <c r="A89" s="77"/>
      <c r="B89" s="77"/>
      <c r="C89" s="77"/>
      <c r="D89" s="77"/>
      <c r="E89" s="77"/>
      <c r="F89" s="77"/>
      <c r="G89" s="77"/>
      <c r="H89" s="77"/>
      <c r="I89" s="77"/>
      <c r="J89" s="77"/>
      <c r="K89" s="77"/>
      <c r="L89" s="77"/>
      <c r="M89" s="77"/>
      <c r="N89" s="77"/>
      <c r="O89" s="77"/>
      <c r="P89" s="77"/>
      <c r="Q89" s="77"/>
      <c r="S89" s="77"/>
    </row>
    <row r="90" spans="1:19" s="39" customFormat="1">
      <c r="A90" s="77"/>
      <c r="B90" s="77"/>
      <c r="C90" s="77"/>
      <c r="D90" s="77"/>
      <c r="E90" s="77"/>
      <c r="F90" s="77"/>
      <c r="G90" s="77"/>
      <c r="H90" s="77"/>
      <c r="I90" s="77"/>
      <c r="J90" s="77"/>
      <c r="K90" s="77"/>
      <c r="L90" s="77"/>
      <c r="M90" s="77"/>
      <c r="N90" s="77"/>
      <c r="O90" s="77"/>
      <c r="P90" s="77"/>
      <c r="Q90" s="77"/>
      <c r="S90" s="77"/>
    </row>
    <row r="91" spans="1:19" s="39" customFormat="1">
      <c r="A91" s="77"/>
      <c r="B91" s="77"/>
      <c r="C91" s="77"/>
      <c r="D91" s="77"/>
      <c r="E91" s="77"/>
      <c r="F91" s="77"/>
      <c r="G91" s="77"/>
      <c r="H91" s="77"/>
      <c r="I91" s="77"/>
      <c r="J91" s="77"/>
      <c r="K91" s="77"/>
      <c r="L91" s="77"/>
      <c r="M91" s="77"/>
      <c r="N91" s="77"/>
      <c r="O91" s="77"/>
      <c r="P91" s="77"/>
      <c r="Q91" s="77"/>
      <c r="S91" s="77"/>
    </row>
    <row r="92" spans="1:19" s="39" customFormat="1">
      <c r="A92" s="77"/>
      <c r="B92" s="77"/>
      <c r="C92" s="77"/>
      <c r="D92" s="77"/>
      <c r="E92" s="77"/>
      <c r="F92" s="77"/>
      <c r="G92" s="77"/>
      <c r="H92" s="77"/>
      <c r="I92" s="77"/>
      <c r="J92" s="77"/>
      <c r="K92" s="77"/>
      <c r="L92" s="77"/>
      <c r="M92" s="77"/>
      <c r="N92" s="77"/>
      <c r="O92" s="77"/>
      <c r="P92" s="77"/>
      <c r="Q92" s="77"/>
      <c r="S92" s="77"/>
    </row>
    <row r="93" spans="1:19" s="39" customFormat="1">
      <c r="A93" s="77"/>
      <c r="B93" s="77"/>
      <c r="C93" s="77"/>
      <c r="D93" s="77"/>
      <c r="E93" s="77"/>
      <c r="F93" s="77"/>
      <c r="G93" s="77"/>
      <c r="H93" s="77"/>
      <c r="I93" s="77"/>
      <c r="J93" s="77"/>
      <c r="K93" s="77"/>
      <c r="L93" s="77"/>
      <c r="M93" s="77"/>
      <c r="N93" s="77"/>
      <c r="O93" s="77"/>
      <c r="P93" s="77"/>
      <c r="Q93" s="77"/>
      <c r="S93" s="77"/>
    </row>
    <row r="94" spans="1:19" s="39" customFormat="1">
      <c r="A94" s="77"/>
      <c r="B94" s="77"/>
      <c r="C94" s="77"/>
      <c r="D94" s="77"/>
      <c r="E94" s="77"/>
      <c r="F94" s="77"/>
      <c r="G94" s="77"/>
      <c r="H94" s="77"/>
      <c r="I94" s="77"/>
      <c r="J94" s="77"/>
      <c r="K94" s="77"/>
      <c r="L94" s="77"/>
      <c r="M94" s="77"/>
      <c r="N94" s="77"/>
      <c r="O94" s="77"/>
      <c r="P94" s="77"/>
      <c r="Q94" s="77"/>
      <c r="S94" s="77"/>
    </row>
    <row r="95" spans="1:19" s="39" customFormat="1">
      <c r="A95" s="77"/>
      <c r="B95" s="77"/>
      <c r="C95" s="77"/>
      <c r="D95" s="77"/>
      <c r="E95" s="77"/>
      <c r="F95" s="77"/>
      <c r="G95" s="77"/>
      <c r="H95" s="77"/>
      <c r="I95" s="77"/>
      <c r="J95" s="77"/>
      <c r="K95" s="77"/>
      <c r="L95" s="77"/>
      <c r="M95" s="77"/>
      <c r="N95" s="77"/>
      <c r="O95" s="77"/>
      <c r="P95" s="77"/>
      <c r="Q95" s="77"/>
      <c r="S95" s="77"/>
    </row>
    <row r="96" spans="1:19" s="39" customFormat="1">
      <c r="A96" s="77"/>
      <c r="B96" s="77"/>
      <c r="C96" s="77"/>
      <c r="D96" s="77"/>
      <c r="E96" s="77"/>
      <c r="F96" s="77"/>
      <c r="G96" s="77"/>
      <c r="H96" s="77"/>
      <c r="I96" s="77"/>
      <c r="J96" s="77"/>
      <c r="K96" s="77"/>
      <c r="L96" s="77"/>
      <c r="M96" s="77"/>
      <c r="N96" s="77"/>
      <c r="O96" s="77"/>
      <c r="P96" s="77"/>
      <c r="Q96" s="77"/>
      <c r="S96" s="77"/>
    </row>
    <row r="97" spans="1:19" s="39" customFormat="1">
      <c r="A97" s="77"/>
      <c r="B97" s="77"/>
      <c r="C97" s="77"/>
      <c r="D97" s="77"/>
      <c r="E97" s="77"/>
      <c r="F97" s="77"/>
      <c r="G97" s="77"/>
      <c r="H97" s="77"/>
      <c r="I97" s="77"/>
      <c r="J97" s="77"/>
      <c r="K97" s="77"/>
      <c r="L97" s="77"/>
      <c r="M97" s="77"/>
      <c r="N97" s="77"/>
      <c r="O97" s="77"/>
      <c r="P97" s="77"/>
      <c r="Q97" s="77"/>
      <c r="S97" s="77"/>
    </row>
    <row r="98" spans="1:19" s="39" customFormat="1">
      <c r="A98" s="77"/>
      <c r="B98" s="77"/>
      <c r="C98" s="77"/>
      <c r="D98" s="77"/>
      <c r="E98" s="77"/>
      <c r="F98" s="77"/>
      <c r="G98" s="77"/>
      <c r="H98" s="77"/>
      <c r="I98" s="77"/>
      <c r="J98" s="77"/>
      <c r="K98" s="77"/>
      <c r="L98" s="77"/>
      <c r="M98" s="77"/>
      <c r="N98" s="77"/>
      <c r="O98" s="77"/>
      <c r="P98" s="77"/>
      <c r="Q98" s="77"/>
      <c r="S98" s="77"/>
    </row>
    <row r="99" spans="1:19" s="39" customFormat="1">
      <c r="A99" s="77"/>
      <c r="B99" s="77"/>
      <c r="C99" s="77"/>
      <c r="D99" s="77"/>
      <c r="E99" s="77"/>
      <c r="F99" s="77"/>
      <c r="G99" s="77"/>
      <c r="H99" s="77"/>
      <c r="I99" s="77"/>
      <c r="J99" s="77"/>
      <c r="K99" s="77"/>
      <c r="L99" s="77"/>
      <c r="M99" s="77"/>
      <c r="N99" s="77"/>
      <c r="O99" s="77"/>
      <c r="P99" s="77"/>
      <c r="Q99" s="77"/>
      <c r="S99" s="77"/>
    </row>
    <row r="100" spans="1:19" s="39" customFormat="1">
      <c r="A100" s="77"/>
      <c r="B100" s="77"/>
      <c r="C100" s="77"/>
      <c r="D100" s="77"/>
      <c r="E100" s="77"/>
      <c r="F100" s="77"/>
      <c r="G100" s="77"/>
      <c r="H100" s="77"/>
      <c r="I100" s="77"/>
      <c r="J100" s="77"/>
      <c r="K100" s="77"/>
      <c r="L100" s="77"/>
      <c r="M100" s="77"/>
      <c r="N100" s="77"/>
      <c r="O100" s="77"/>
      <c r="P100" s="77"/>
      <c r="Q100" s="77"/>
      <c r="S100" s="77"/>
    </row>
    <row r="101" spans="1:19" s="39" customFormat="1">
      <c r="A101" s="77"/>
      <c r="B101" s="77"/>
      <c r="C101" s="77"/>
      <c r="D101" s="77"/>
      <c r="E101" s="77"/>
      <c r="F101" s="77"/>
      <c r="G101" s="77"/>
      <c r="H101" s="77"/>
      <c r="I101" s="77"/>
      <c r="J101" s="77"/>
      <c r="K101" s="77"/>
      <c r="L101" s="77"/>
      <c r="M101" s="77"/>
      <c r="N101" s="77"/>
      <c r="O101" s="77"/>
      <c r="P101" s="77"/>
      <c r="Q101" s="77"/>
      <c r="S101" s="77"/>
    </row>
    <row r="102" spans="1:19" s="39" customFormat="1">
      <c r="A102" s="77"/>
      <c r="B102" s="77"/>
      <c r="C102" s="77"/>
      <c r="D102" s="77"/>
      <c r="E102" s="77"/>
      <c r="F102" s="77"/>
      <c r="G102" s="77"/>
      <c r="H102" s="77"/>
      <c r="I102" s="77"/>
      <c r="J102" s="77"/>
      <c r="K102" s="77"/>
      <c r="L102" s="77"/>
      <c r="M102" s="77"/>
      <c r="N102" s="77"/>
      <c r="O102" s="77"/>
      <c r="P102" s="77"/>
      <c r="Q102" s="77"/>
      <c r="S102" s="77"/>
    </row>
    <row r="103" spans="1:19" s="39" customFormat="1">
      <c r="A103" s="77"/>
      <c r="B103" s="77"/>
      <c r="C103" s="77"/>
      <c r="D103" s="77"/>
      <c r="E103" s="77"/>
      <c r="F103" s="77"/>
      <c r="G103" s="77"/>
      <c r="H103" s="77"/>
      <c r="I103" s="77"/>
      <c r="J103" s="77"/>
      <c r="K103" s="77"/>
      <c r="L103" s="77"/>
      <c r="M103" s="77"/>
      <c r="N103" s="77"/>
      <c r="O103" s="77"/>
      <c r="P103" s="77"/>
      <c r="Q103" s="77"/>
      <c r="S103" s="77"/>
    </row>
    <row r="104" spans="1:19" s="39" customFormat="1">
      <c r="S104" s="77"/>
    </row>
    <row r="105" spans="1:19" s="39" customFormat="1">
      <c r="S105" s="77"/>
    </row>
    <row r="106" spans="1:19" s="39" customFormat="1">
      <c r="S106" s="77"/>
    </row>
    <row r="107" spans="1:19" s="39" customFormat="1">
      <c r="S107" s="77"/>
    </row>
    <row r="108" spans="1:19" s="39" customFormat="1">
      <c r="S108" s="77"/>
    </row>
    <row r="109" spans="1:19" s="39" customFormat="1">
      <c r="S109" s="77"/>
    </row>
    <row r="110" spans="1:19" s="39" customFormat="1">
      <c r="S110" s="77"/>
    </row>
    <row r="111" spans="1:19" s="39" customFormat="1">
      <c r="S111" s="77"/>
    </row>
    <row r="112" spans="1:19" s="39" customFormat="1">
      <c r="S112" s="77"/>
    </row>
    <row r="113" spans="1:19" s="39" customFormat="1">
      <c r="S113" s="77"/>
    </row>
    <row r="114" spans="1:19" s="39" customFormat="1">
      <c r="S114" s="77"/>
    </row>
    <row r="115" spans="1:19" s="39" customFormat="1">
      <c r="S115" s="77"/>
    </row>
    <row r="116" spans="1:19">
      <c r="A116" s="39"/>
      <c r="B116" s="39"/>
      <c r="C116" s="39"/>
      <c r="D116" s="39"/>
      <c r="E116" s="39"/>
      <c r="F116" s="39"/>
      <c r="G116" s="39"/>
      <c r="H116" s="39"/>
      <c r="I116" s="39"/>
      <c r="J116" s="39"/>
      <c r="K116" s="39"/>
      <c r="L116" s="39"/>
      <c r="M116" s="39"/>
      <c r="N116" s="39"/>
      <c r="O116" s="39"/>
      <c r="P116" s="39"/>
      <c r="Q116" s="39"/>
    </row>
  </sheetData>
  <mergeCells count="2">
    <mergeCell ref="A1:Q1"/>
    <mergeCell ref="A3:Q3"/>
  </mergeCells>
  <printOptions horizontalCentered="1" verticalCentered="1"/>
  <pageMargins left="0.39370078740157483" right="0.39370078740157483" top="0.23622047244094491" bottom="0.23622047244094491" header="0.31496062992125984" footer="0.31496062992125984"/>
  <pageSetup scale="62"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0"/>
  <sheetViews>
    <sheetView showGridLines="0" view="pageBreakPreview" zoomScale="70" zoomScaleNormal="70" zoomScaleSheetLayoutView="70" workbookViewId="0">
      <selection activeCell="R10" sqref="R10"/>
    </sheetView>
  </sheetViews>
  <sheetFormatPr baseColWidth="10" defaultColWidth="11.42578125" defaultRowHeight="15"/>
  <cols>
    <col min="1" max="1" width="12.7109375" style="77" customWidth="1"/>
    <col min="2" max="2" width="8.85546875" style="77" bestFit="1" customWidth="1"/>
    <col min="3" max="3" width="10.7109375" style="77" bestFit="1" customWidth="1"/>
    <col min="4" max="4" width="6" style="77" bestFit="1" customWidth="1"/>
    <col min="5" max="5" width="9.28515625" style="77" bestFit="1" customWidth="1"/>
    <col min="6" max="6" width="10" style="77" bestFit="1" customWidth="1"/>
    <col min="7" max="7" width="10.5703125" style="77" bestFit="1" customWidth="1"/>
    <col min="8" max="8" width="9" style="77" bestFit="1" customWidth="1"/>
    <col min="9" max="9" width="13.85546875" style="77" bestFit="1" customWidth="1"/>
    <col min="10" max="10" width="9.28515625" style="77" bestFit="1" customWidth="1"/>
    <col min="11" max="11" width="19.85546875" style="77" customWidth="1"/>
    <col min="12" max="15" width="20.140625" style="77" customWidth="1"/>
    <col min="16" max="16" width="12.42578125" style="77" customWidth="1"/>
    <col min="17" max="17" width="13.28515625" style="77" bestFit="1" customWidth="1"/>
    <col min="18" max="18" width="18.7109375" style="77" customWidth="1"/>
    <col min="19" max="16384" width="11.42578125" style="77"/>
  </cols>
  <sheetData>
    <row r="1" spans="1:20" ht="80.25" customHeight="1">
      <c r="A1" s="2107"/>
      <c r="B1" s="2107"/>
      <c r="C1" s="2107"/>
      <c r="D1" s="2107"/>
      <c r="E1" s="2107"/>
      <c r="F1" s="2107"/>
      <c r="G1" s="2107"/>
      <c r="H1" s="2107"/>
      <c r="I1" s="2107"/>
      <c r="J1" s="2107"/>
      <c r="K1" s="2107"/>
      <c r="L1" s="2107"/>
      <c r="M1" s="2107"/>
      <c r="N1" s="2107"/>
      <c r="O1" s="2107"/>
      <c r="P1" s="2107"/>
      <c r="Q1" s="2107"/>
      <c r="R1" s="2107"/>
      <c r="S1" s="2107"/>
    </row>
    <row r="2" spans="1:20" ht="10.5" customHeight="1">
      <c r="A2" s="2141"/>
      <c r="B2" s="2141"/>
      <c r="C2" s="2141"/>
      <c r="D2" s="2141"/>
      <c r="E2" s="2141"/>
      <c r="F2" s="2141"/>
      <c r="G2" s="2141"/>
      <c r="H2" s="2141"/>
      <c r="I2" s="2141"/>
      <c r="J2" s="2141"/>
      <c r="K2" s="2141"/>
      <c r="L2" s="2141"/>
      <c r="M2" s="2141"/>
      <c r="N2" s="2141"/>
      <c r="O2" s="2141"/>
      <c r="P2" s="2141"/>
      <c r="Q2" s="2141"/>
      <c r="R2" s="2141"/>
      <c r="S2" s="2141"/>
    </row>
    <row r="3" spans="1:20" ht="24.75" customHeight="1">
      <c r="A3" s="2142" t="s">
        <v>161</v>
      </c>
      <c r="B3" s="2143"/>
      <c r="C3" s="2143"/>
      <c r="D3" s="2143"/>
      <c r="E3" s="2143"/>
      <c r="F3" s="2143"/>
      <c r="G3" s="2143"/>
      <c r="H3" s="2143"/>
      <c r="I3" s="2143"/>
      <c r="J3" s="2143"/>
      <c r="K3" s="2143"/>
      <c r="L3" s="2143"/>
      <c r="M3" s="2143"/>
      <c r="N3" s="2143"/>
      <c r="O3" s="2143"/>
      <c r="P3" s="2144"/>
      <c r="R3" s="94"/>
      <c r="S3" s="94"/>
    </row>
    <row r="4" spans="1:20" ht="36" customHeight="1">
      <c r="A4" s="430" t="s">
        <v>0</v>
      </c>
      <c r="B4" s="433" t="s">
        <v>77</v>
      </c>
      <c r="C4" s="433" t="s">
        <v>78</v>
      </c>
      <c r="D4" s="433" t="s">
        <v>79</v>
      </c>
      <c r="E4" s="433" t="s">
        <v>80</v>
      </c>
      <c r="F4" s="433" t="s">
        <v>81</v>
      </c>
      <c r="G4" s="433" t="s">
        <v>82</v>
      </c>
      <c r="H4" s="433" t="s">
        <v>83</v>
      </c>
      <c r="I4" s="434" t="s">
        <v>84</v>
      </c>
      <c r="J4" s="433" t="s">
        <v>85</v>
      </c>
      <c r="K4" s="430" t="s">
        <v>86</v>
      </c>
      <c r="L4" s="433" t="s">
        <v>87</v>
      </c>
      <c r="M4" s="433" t="s">
        <v>88</v>
      </c>
      <c r="N4" s="433" t="s">
        <v>76</v>
      </c>
      <c r="O4" s="433" t="s">
        <v>562</v>
      </c>
      <c r="P4" s="431" t="s">
        <v>90</v>
      </c>
      <c r="R4" s="94"/>
      <c r="S4" s="94"/>
    </row>
    <row r="5" spans="1:20" ht="15.75">
      <c r="A5" s="435" t="s">
        <v>26</v>
      </c>
      <c r="B5" s="432">
        <f>+'III.5.12.Trasp. recibidos'!B4-'III.5.13.Trasp. cedidos'!B5</f>
        <v>0</v>
      </c>
      <c r="C5" s="432">
        <f>+'III.5.12.Trasp. recibidos'!C4-'III.5.13.Trasp. cedidos'!C5</f>
        <v>-53</v>
      </c>
      <c r="D5" s="432">
        <f>+'III.5.12.Trasp. recibidos'!D4-'III.5.13.Trasp. cedidos'!D5</f>
        <v>265</v>
      </c>
      <c r="E5" s="432">
        <f>+'III.5.12.Trasp. recibidos'!E4-'III.5.13.Trasp. cedidos'!E5</f>
        <v>-20</v>
      </c>
      <c r="F5" s="432">
        <f>+'III.5.12.Trasp. recibidos'!F4-'III.5.13.Trasp. cedidos'!F5</f>
        <v>0</v>
      </c>
      <c r="G5" s="432">
        <f>+'III.5.12.Trasp. recibidos'!G4-'III.5.13.Trasp. cedidos'!G5</f>
        <v>52</v>
      </c>
      <c r="H5" s="432">
        <f>+'III.5.12.Trasp. recibidos'!H4-'III.5.13.Trasp. cedidos'!H5</f>
        <v>-5</v>
      </c>
      <c r="I5" s="432">
        <f>+'III.5.12.Trasp. recibidos'!I4-'III.5.13.Trasp. cedidos'!I5</f>
        <v>-65</v>
      </c>
      <c r="J5" s="432">
        <f>+'III.5.12.Trasp. recibidos'!J4-'III.5.13.Trasp. cedidos'!J5</f>
        <v>-174</v>
      </c>
      <c r="K5" s="688">
        <f>SUM(B5:J5)</f>
        <v>0</v>
      </c>
      <c r="L5" s="432">
        <f>+'III.5.12.Trasp. recibidos'!L4-'III.5.13.Trasp. cedidos'!L5</f>
        <v>0</v>
      </c>
      <c r="M5" s="432">
        <f>+'III.5.12.Trasp. recibidos'!M4-'III.5.13.Trasp. cedidos'!M5</f>
        <v>0</v>
      </c>
      <c r="N5" s="432">
        <f>+'III.5.12.Trasp. recibidos'!N4-'III.5.13.Trasp. cedidos'!N5</f>
        <v>0</v>
      </c>
      <c r="O5" s="432">
        <f>+'III.5.12.Trasp. recibidos'!O4-'III.5.13.Trasp. cedidos'!O5</f>
        <v>0</v>
      </c>
      <c r="P5" s="688">
        <f>SUM(L5:O5)</f>
        <v>0</v>
      </c>
      <c r="T5" s="112"/>
    </row>
    <row r="6" spans="1:20" ht="15.75">
      <c r="A6" s="435" t="s">
        <v>27</v>
      </c>
      <c r="B6" s="432">
        <f>+'III.5.12.Trasp. recibidos'!B5-'III.5.13.Trasp. cedidos'!B6</f>
        <v>0</v>
      </c>
      <c r="C6" s="432">
        <f>+'III.5.12.Trasp. recibidos'!C5-'III.5.13.Trasp. cedidos'!C6</f>
        <v>-62</v>
      </c>
      <c r="D6" s="432">
        <f>+'III.5.12.Trasp. recibidos'!D5-'III.5.13.Trasp. cedidos'!D6</f>
        <v>336</v>
      </c>
      <c r="E6" s="432">
        <f>+'III.5.12.Trasp. recibidos'!E5-'III.5.13.Trasp. cedidos'!E6</f>
        <v>-5</v>
      </c>
      <c r="F6" s="432">
        <f>+'III.5.12.Trasp. recibidos'!F5-'III.5.13.Trasp. cedidos'!F6</f>
        <v>0</v>
      </c>
      <c r="G6" s="432">
        <f>+'III.5.12.Trasp. recibidos'!G5-'III.5.13.Trasp. cedidos'!G6</f>
        <v>989</v>
      </c>
      <c r="H6" s="432">
        <f>+'III.5.12.Trasp. recibidos'!H5-'III.5.13.Trasp. cedidos'!H6</f>
        <v>14</v>
      </c>
      <c r="I6" s="432">
        <f>+'III.5.12.Trasp. recibidos'!I5-'III.5.13.Trasp. cedidos'!I6</f>
        <v>-136</v>
      </c>
      <c r="J6" s="432">
        <f>+'III.5.12.Trasp. recibidos'!J5-'III.5.13.Trasp. cedidos'!J6</f>
        <v>-178</v>
      </c>
      <c r="K6" s="437">
        <f>SUM(B6:J6)</f>
        <v>958</v>
      </c>
      <c r="L6" s="432">
        <f>+'III.5.12.Trasp. recibidos'!L5-'III.5.13.Trasp. cedidos'!L6</f>
        <v>-259</v>
      </c>
      <c r="M6" s="432">
        <f>+'III.5.12.Trasp. recibidos'!M5-'III.5.13.Trasp. cedidos'!M6</f>
        <v>-719</v>
      </c>
      <c r="N6" s="432">
        <f>+'III.5.12.Trasp. recibidos'!N5-'III.5.13.Trasp. cedidos'!N6</f>
        <v>0</v>
      </c>
      <c r="O6" s="432">
        <f>+'III.5.12.Trasp. recibidos'!O5-'III.5.13.Trasp. cedidos'!O6</f>
        <v>20</v>
      </c>
      <c r="P6" s="437">
        <f>SUM(L6:O6)</f>
        <v>-958</v>
      </c>
      <c r="R6" s="94"/>
      <c r="S6" s="94"/>
      <c r="T6" s="112"/>
    </row>
    <row r="7" spans="1:20" ht="17.25" customHeight="1">
      <c r="A7" s="435" t="s">
        <v>28</v>
      </c>
      <c r="B7" s="432">
        <f>+'III.5.12.Trasp. recibidos'!B6-'III.5.13.Trasp. cedidos'!B7</f>
        <v>0</v>
      </c>
      <c r="C7" s="432">
        <f>+'III.5.12.Trasp. recibidos'!C6-'III.5.13.Trasp. cedidos'!C7</f>
        <v>-363</v>
      </c>
      <c r="D7" s="432">
        <f>+'III.5.12.Trasp. recibidos'!D6-'III.5.13.Trasp. cedidos'!D7</f>
        <v>47</v>
      </c>
      <c r="E7" s="432">
        <f>+'III.5.12.Trasp. recibidos'!E6-'III.5.13.Trasp. cedidos'!E7</f>
        <v>-72</v>
      </c>
      <c r="F7" s="432">
        <f>+'III.5.12.Trasp. recibidos'!F6-'III.5.13.Trasp. cedidos'!F7</f>
        <v>0</v>
      </c>
      <c r="G7" s="432">
        <f>+'III.5.12.Trasp. recibidos'!G6-'III.5.13.Trasp. cedidos'!G7</f>
        <v>530</v>
      </c>
      <c r="H7" s="432">
        <f>+'III.5.12.Trasp. recibidos'!H6-'III.5.13.Trasp. cedidos'!H7</f>
        <v>0</v>
      </c>
      <c r="I7" s="432">
        <f>+'III.5.12.Trasp. recibidos'!I6-'III.5.13.Trasp. cedidos'!I7</f>
        <v>-261</v>
      </c>
      <c r="J7" s="432">
        <f>+'III.5.12.Trasp. recibidos'!J6-'III.5.13.Trasp. cedidos'!J7</f>
        <v>221</v>
      </c>
      <c r="K7" s="437">
        <f t="shared" ref="K7:K16" si="0">SUM(B7:J7)</f>
        <v>102</v>
      </c>
      <c r="L7" s="432">
        <f>+'III.5.12.Trasp. recibidos'!L6-'III.5.13.Trasp. cedidos'!L7</f>
        <v>-25</v>
      </c>
      <c r="M7" s="432">
        <f>+'III.5.12.Trasp. recibidos'!M6-'III.5.13.Trasp. cedidos'!M7</f>
        <v>-77</v>
      </c>
      <c r="N7" s="432">
        <f>+'III.5.12.Trasp. recibidos'!N6-'III.5.13.Trasp. cedidos'!N7</f>
        <v>0</v>
      </c>
      <c r="O7" s="432">
        <f>+'III.5.12.Trasp. recibidos'!O6-'III.5.13.Trasp. cedidos'!O7</f>
        <v>0</v>
      </c>
      <c r="P7" s="437">
        <f t="shared" ref="P7:P16" si="1">SUM(L7:O7)</f>
        <v>-102</v>
      </c>
      <c r="R7" s="94"/>
      <c r="S7" s="94"/>
      <c r="T7" s="112"/>
    </row>
    <row r="8" spans="1:20" ht="17.25" customHeight="1">
      <c r="A8" s="435" t="s">
        <v>29</v>
      </c>
      <c r="B8" s="432">
        <f>+'III.5.12.Trasp. recibidos'!B7-'III.5.13.Trasp. cedidos'!B8</f>
        <v>0</v>
      </c>
      <c r="C8" s="432">
        <f>+'III.5.12.Trasp. recibidos'!C7-'III.5.13.Trasp. cedidos'!C8</f>
        <v>0</v>
      </c>
      <c r="D8" s="432">
        <f>+'III.5.12.Trasp. recibidos'!D7-'III.5.13.Trasp. cedidos'!D8</f>
        <v>0</v>
      </c>
      <c r="E8" s="432">
        <f>+'III.5.12.Trasp. recibidos'!E7-'III.5.13.Trasp. cedidos'!E8</f>
        <v>-71</v>
      </c>
      <c r="F8" s="432">
        <f>+'III.5.12.Trasp. recibidos'!F7-'III.5.13.Trasp. cedidos'!F8</f>
        <v>0</v>
      </c>
      <c r="G8" s="432">
        <f>+'III.5.12.Trasp. recibidos'!G7-'III.5.13.Trasp. cedidos'!G8</f>
        <v>432</v>
      </c>
      <c r="H8" s="432">
        <f>+'III.5.12.Trasp. recibidos'!H7-'III.5.13.Trasp. cedidos'!H8</f>
        <v>-16</v>
      </c>
      <c r="I8" s="432">
        <f>+'III.5.12.Trasp. recibidos'!I7-'III.5.13.Trasp. cedidos'!I8</f>
        <v>-231</v>
      </c>
      <c r="J8" s="432">
        <f>+'III.5.12.Trasp. recibidos'!J7-'III.5.13.Trasp. cedidos'!J8</f>
        <v>-48</v>
      </c>
      <c r="K8" s="437">
        <f t="shared" si="0"/>
        <v>66</v>
      </c>
      <c r="L8" s="432">
        <f>+'III.5.12.Trasp. recibidos'!L7-'III.5.13.Trasp. cedidos'!L8</f>
        <v>-7</v>
      </c>
      <c r="M8" s="432">
        <f>+'III.5.12.Trasp. recibidos'!M7-'III.5.13.Trasp. cedidos'!M8</f>
        <v>-59</v>
      </c>
      <c r="N8" s="432">
        <f>+'III.5.12.Trasp. recibidos'!N7-'III.5.13.Trasp. cedidos'!N8</f>
        <v>0</v>
      </c>
      <c r="O8" s="432">
        <f>+'III.5.12.Trasp. recibidos'!O7-'III.5.13.Trasp. cedidos'!O8</f>
        <v>0</v>
      </c>
      <c r="P8" s="437">
        <f t="shared" si="1"/>
        <v>-66</v>
      </c>
      <c r="R8" s="47"/>
      <c r="S8" s="82"/>
      <c r="T8" s="112"/>
    </row>
    <row r="9" spans="1:20" ht="15.75">
      <c r="A9" s="435" t="s">
        <v>30</v>
      </c>
      <c r="B9" s="432">
        <f>+'III.5.12.Trasp. recibidos'!B8-'III.5.13.Trasp. cedidos'!B9</f>
        <v>0</v>
      </c>
      <c r="C9" s="432">
        <f>+'III.5.12.Trasp. recibidos'!C8-'III.5.13.Trasp. cedidos'!C9</f>
        <v>0</v>
      </c>
      <c r="D9" s="432">
        <f>+'III.5.12.Trasp. recibidos'!D8-'III.5.13.Trasp. cedidos'!D9</f>
        <v>0</v>
      </c>
      <c r="E9" s="432">
        <f>+'III.5.12.Trasp. recibidos'!E8-'III.5.13.Trasp. cedidos'!E9</f>
        <v>-5808</v>
      </c>
      <c r="F9" s="432">
        <f>+'III.5.12.Trasp. recibidos'!F8-'III.5.13.Trasp. cedidos'!F9</f>
        <v>0</v>
      </c>
      <c r="G9" s="432">
        <f>+'III.5.12.Trasp. recibidos'!G8-'III.5.13.Trasp. cedidos'!G9</f>
        <v>-4380</v>
      </c>
      <c r="H9" s="432">
        <f>+'III.5.12.Trasp. recibidos'!H8-'III.5.13.Trasp. cedidos'!H9</f>
        <v>-56</v>
      </c>
      <c r="I9" s="432">
        <f>+'III.5.12.Trasp. recibidos'!I8-'III.5.13.Trasp. cedidos'!I9</f>
        <v>-9243</v>
      </c>
      <c r="J9" s="432">
        <f>+'III.5.12.Trasp. recibidos'!J8-'III.5.13.Trasp. cedidos'!J9</f>
        <v>-4163</v>
      </c>
      <c r="K9" s="437">
        <f t="shared" si="0"/>
        <v>-23650</v>
      </c>
      <c r="L9" s="432">
        <f>+'III.5.12.Trasp. recibidos'!L8-'III.5.13.Trasp. cedidos'!L9</f>
        <v>-7</v>
      </c>
      <c r="M9" s="432">
        <f>+'III.5.12.Trasp. recibidos'!M8-'III.5.13.Trasp. cedidos'!M9</f>
        <v>-64</v>
      </c>
      <c r="N9" s="432">
        <f>+'III.5.12.Trasp. recibidos'!N8-'III.5.13.Trasp. cedidos'!N9</f>
        <v>21139</v>
      </c>
      <c r="O9" s="432">
        <f>+'III.5.12.Trasp. recibidos'!O8-'III.5.13.Trasp. cedidos'!O9</f>
        <v>2582</v>
      </c>
      <c r="P9" s="437">
        <f t="shared" si="1"/>
        <v>23650</v>
      </c>
      <c r="R9" s="129"/>
      <c r="S9" s="94"/>
      <c r="T9" s="110"/>
    </row>
    <row r="10" spans="1:20" ht="15.75">
      <c r="A10" s="435" t="s">
        <v>183</v>
      </c>
      <c r="B10" s="432">
        <f>+'III.5.12.Trasp. recibidos'!B9-'III.5.13.Trasp. cedidos'!B10</f>
        <v>0</v>
      </c>
      <c r="C10" s="432">
        <f>+'III.5.12.Trasp. recibidos'!C9-'III.5.13.Trasp. cedidos'!C10</f>
        <v>0</v>
      </c>
      <c r="D10" s="432">
        <f>+'III.5.12.Trasp. recibidos'!D9-'III.5.13.Trasp. cedidos'!D10</f>
        <v>0</v>
      </c>
      <c r="E10" s="432">
        <f>+'III.5.12.Trasp. recibidos'!E9-'III.5.13.Trasp. cedidos'!E10</f>
        <v>-1840</v>
      </c>
      <c r="F10" s="432">
        <f>+'III.5.12.Trasp. recibidos'!F9-'III.5.13.Trasp. cedidos'!F10</f>
        <v>0</v>
      </c>
      <c r="G10" s="432">
        <f>+'III.5.12.Trasp. recibidos'!G9-'III.5.13.Trasp. cedidos'!G10</f>
        <v>-1137</v>
      </c>
      <c r="H10" s="432">
        <f>+'III.5.12.Trasp. recibidos'!H9-'III.5.13.Trasp. cedidos'!H10</f>
        <v>-20</v>
      </c>
      <c r="I10" s="432">
        <f>+'III.5.12.Trasp. recibidos'!I9-'III.5.13.Trasp. cedidos'!I10</f>
        <v>-2753</v>
      </c>
      <c r="J10" s="432">
        <f>+'III.5.12.Trasp. recibidos'!J9-'III.5.13.Trasp. cedidos'!J10</f>
        <v>-1627</v>
      </c>
      <c r="K10" s="437">
        <f t="shared" si="0"/>
        <v>-7377</v>
      </c>
      <c r="L10" s="432">
        <f>+'III.5.12.Trasp. recibidos'!L9-'III.5.13.Trasp. cedidos'!L10</f>
        <v>-5</v>
      </c>
      <c r="M10" s="432">
        <f>+'III.5.12.Trasp. recibidos'!M9-'III.5.13.Trasp. cedidos'!M10</f>
        <v>-42</v>
      </c>
      <c r="N10" s="432">
        <f>+'III.5.12.Trasp. recibidos'!N9-'III.5.13.Trasp. cedidos'!N10</f>
        <v>3310</v>
      </c>
      <c r="O10" s="432">
        <f>+'III.5.12.Trasp. recibidos'!O9-'III.5.13.Trasp. cedidos'!O10</f>
        <v>4114</v>
      </c>
      <c r="P10" s="437">
        <f t="shared" si="1"/>
        <v>7377</v>
      </c>
      <c r="R10" s="129"/>
      <c r="S10" s="94"/>
      <c r="T10" s="110"/>
    </row>
    <row r="11" spans="1:20" ht="15.75">
      <c r="A11" s="435" t="s">
        <v>223</v>
      </c>
      <c r="B11" s="432">
        <f>+'III.5.12.Trasp. recibidos'!B10-'III.5.13.Trasp. cedidos'!B11</f>
        <v>0</v>
      </c>
      <c r="C11" s="432">
        <f>+'III.5.12.Trasp. recibidos'!C10-'III.5.13.Trasp. cedidos'!C11</f>
        <v>0</v>
      </c>
      <c r="D11" s="432">
        <f>+'III.5.12.Trasp. recibidos'!D10-'III.5.13.Trasp. cedidos'!D11</f>
        <v>0</v>
      </c>
      <c r="E11" s="432">
        <f>+'III.5.12.Trasp. recibidos'!E10-'III.5.13.Trasp. cedidos'!E11</f>
        <v>-1031</v>
      </c>
      <c r="F11" s="432">
        <f>+'III.5.12.Trasp. recibidos'!F10-'III.5.13.Trasp. cedidos'!F11</f>
        <v>0</v>
      </c>
      <c r="G11" s="432">
        <f>+'III.5.12.Trasp. recibidos'!G10-'III.5.13.Trasp. cedidos'!G11</f>
        <v>2090</v>
      </c>
      <c r="H11" s="432">
        <f>+'III.5.12.Trasp. recibidos'!H10-'III.5.13.Trasp. cedidos'!H11</f>
        <v>-15</v>
      </c>
      <c r="I11" s="432">
        <f>+'III.5.12.Trasp. recibidos'!I10-'III.5.13.Trasp. cedidos'!I11</f>
        <v>-1867</v>
      </c>
      <c r="J11" s="432">
        <f>+'III.5.12.Trasp. recibidos'!J10-'III.5.13.Trasp. cedidos'!J11</f>
        <v>-1090</v>
      </c>
      <c r="K11" s="437">
        <f t="shared" si="0"/>
        <v>-1913</v>
      </c>
      <c r="L11" s="432">
        <f>+'III.5.12.Trasp. recibidos'!L10-'III.5.13.Trasp. cedidos'!L11</f>
        <v>-23</v>
      </c>
      <c r="M11" s="432">
        <f>+'III.5.12.Trasp. recibidos'!M10-'III.5.13.Trasp. cedidos'!M11</f>
        <v>-41</v>
      </c>
      <c r="N11" s="432">
        <f>+'III.5.12.Trasp. recibidos'!N10-'III.5.13.Trasp. cedidos'!N11</f>
        <v>1778</v>
      </c>
      <c r="O11" s="432">
        <f>+'III.5.12.Trasp. recibidos'!O10-'III.5.13.Trasp. cedidos'!O11</f>
        <v>199</v>
      </c>
      <c r="P11" s="437">
        <f t="shared" si="1"/>
        <v>1913</v>
      </c>
      <c r="R11" s="129"/>
      <c r="S11" s="94"/>
      <c r="T11" s="110"/>
    </row>
    <row r="12" spans="1:20" ht="15.75">
      <c r="A12" s="435" t="s">
        <v>456</v>
      </c>
      <c r="B12" s="432">
        <f>+'III.5.12.Trasp. recibidos'!B11-'III.5.13.Trasp. cedidos'!B12</f>
        <v>0</v>
      </c>
      <c r="C12" s="432">
        <f>+'III.5.12.Trasp. recibidos'!C11-'III.5.13.Trasp. cedidos'!C12</f>
        <v>0</v>
      </c>
      <c r="D12" s="432">
        <f>+'III.5.12.Trasp. recibidos'!D11-'III.5.13.Trasp. cedidos'!D12</f>
        <v>0</v>
      </c>
      <c r="E12" s="432">
        <f>+'III.5.12.Trasp. recibidos'!E11-'III.5.13.Trasp. cedidos'!E12</f>
        <v>-1617</v>
      </c>
      <c r="F12" s="432">
        <f>+'III.5.12.Trasp. recibidos'!F11-'III.5.13.Trasp. cedidos'!F12</f>
        <v>0</v>
      </c>
      <c r="G12" s="432">
        <f>+'III.5.12.Trasp. recibidos'!G11-'III.5.13.Trasp. cedidos'!G12</f>
        <v>1986</v>
      </c>
      <c r="H12" s="432">
        <f>+'III.5.12.Trasp. recibidos'!H11-'III.5.13.Trasp. cedidos'!H12</f>
        <v>-28</v>
      </c>
      <c r="I12" s="432">
        <f>+'III.5.12.Trasp. recibidos'!I11-'III.5.13.Trasp. cedidos'!I12</f>
        <v>-2359</v>
      </c>
      <c r="J12" s="432">
        <f>+'III.5.12.Trasp. recibidos'!J11-'III.5.13.Trasp. cedidos'!J12</f>
        <v>-1438</v>
      </c>
      <c r="K12" s="437">
        <f t="shared" si="0"/>
        <v>-3456</v>
      </c>
      <c r="L12" s="432">
        <f>+'III.5.12.Trasp. recibidos'!L11-'III.5.13.Trasp. cedidos'!L12</f>
        <v>-3</v>
      </c>
      <c r="M12" s="432">
        <f>+'III.5.12.Trasp. recibidos'!M11-'III.5.13.Trasp. cedidos'!M12</f>
        <v>497</v>
      </c>
      <c r="N12" s="432">
        <f>+'III.5.12.Trasp. recibidos'!N11-'III.5.13.Trasp. cedidos'!N12</f>
        <v>2945</v>
      </c>
      <c r="O12" s="432">
        <f>+'III.5.12.Trasp. recibidos'!O11-'III.5.13.Trasp. cedidos'!O12</f>
        <v>17</v>
      </c>
      <c r="P12" s="437">
        <f t="shared" si="1"/>
        <v>3456</v>
      </c>
      <c r="R12" s="129"/>
      <c r="S12" s="94"/>
      <c r="T12" s="110"/>
    </row>
    <row r="13" spans="1:20" ht="15.75">
      <c r="A13" s="435" t="s">
        <v>530</v>
      </c>
      <c r="B13" s="432">
        <f>+'III.5.12.Trasp. recibidos'!B12-'III.5.13.Trasp. cedidos'!B13</f>
        <v>0</v>
      </c>
      <c r="C13" s="432">
        <f>+'III.5.12.Trasp. recibidos'!C12-'III.5.13.Trasp. cedidos'!C13</f>
        <v>0</v>
      </c>
      <c r="D13" s="432">
        <f>+'III.5.12.Trasp. recibidos'!D12-'III.5.13.Trasp. cedidos'!D13</f>
        <v>0</v>
      </c>
      <c r="E13" s="432">
        <f>+'III.5.12.Trasp. recibidos'!E12-'III.5.13.Trasp. cedidos'!E13</f>
        <v>-2160</v>
      </c>
      <c r="F13" s="432">
        <f>+'III.5.12.Trasp. recibidos'!F12-'III.5.13.Trasp. cedidos'!F13</f>
        <v>0</v>
      </c>
      <c r="G13" s="432">
        <f>+'III.5.12.Trasp. recibidos'!G12-'III.5.13.Trasp. cedidos'!G13</f>
        <v>4515</v>
      </c>
      <c r="H13" s="432">
        <f>+'III.5.12.Trasp. recibidos'!H12-'III.5.13.Trasp. cedidos'!H13</f>
        <v>-26</v>
      </c>
      <c r="I13" s="432">
        <f>+'III.5.12.Trasp. recibidos'!I12-'III.5.13.Trasp. cedidos'!I13</f>
        <v>-3839</v>
      </c>
      <c r="J13" s="432">
        <f>+'III.5.12.Trasp. recibidos'!J12-'III.5.13.Trasp. cedidos'!J13</f>
        <v>-2232</v>
      </c>
      <c r="K13" s="437">
        <f t="shared" si="0"/>
        <v>-3742</v>
      </c>
      <c r="L13" s="432">
        <f>+'III.5.12.Trasp. recibidos'!L12-'III.5.13.Trasp. cedidos'!L13</f>
        <v>-7</v>
      </c>
      <c r="M13" s="432">
        <f>+'III.5.12.Trasp. recibidos'!M12-'III.5.13.Trasp. cedidos'!M13</f>
        <v>-32</v>
      </c>
      <c r="N13" s="432">
        <f>+'III.5.12.Trasp. recibidos'!N12-'III.5.13.Trasp. cedidos'!N13</f>
        <v>2249</v>
      </c>
      <c r="O13" s="432">
        <f>+'III.5.12.Trasp. recibidos'!O12-'III.5.13.Trasp. cedidos'!O13</f>
        <v>1532</v>
      </c>
      <c r="P13" s="437">
        <f t="shared" si="1"/>
        <v>3742</v>
      </c>
      <c r="R13" s="129"/>
      <c r="S13" s="94"/>
      <c r="T13" s="110"/>
    </row>
    <row r="14" spans="1:20" ht="15.75">
      <c r="A14" s="435" t="s">
        <v>542</v>
      </c>
      <c r="B14" s="432">
        <f>+'III.5.12.Trasp. recibidos'!B13-'III.5.13.Trasp. cedidos'!B14</f>
        <v>0</v>
      </c>
      <c r="C14" s="432">
        <f>+'III.5.12.Trasp. recibidos'!C13-'III.5.13.Trasp. cedidos'!C14</f>
        <v>0</v>
      </c>
      <c r="D14" s="432">
        <f>+'III.5.12.Trasp. recibidos'!D13-'III.5.13.Trasp. cedidos'!D14</f>
        <v>0</v>
      </c>
      <c r="E14" s="432">
        <f>+'III.5.12.Trasp. recibidos'!E13-'III.5.13.Trasp. cedidos'!E14</f>
        <v>-5285</v>
      </c>
      <c r="F14" s="432">
        <f>+'III.5.12.Trasp. recibidos'!F13-'III.5.13.Trasp. cedidos'!F14</f>
        <v>0</v>
      </c>
      <c r="G14" s="432">
        <f>+'III.5.12.Trasp. recibidos'!G13-'III.5.13.Trasp. cedidos'!G14</f>
        <v>7338</v>
      </c>
      <c r="H14" s="432">
        <f>+'III.5.12.Trasp. recibidos'!H13-'III.5.13.Trasp. cedidos'!H14</f>
        <v>661</v>
      </c>
      <c r="I14" s="432">
        <f>+'III.5.12.Trasp. recibidos'!I13-'III.5.13.Trasp. cedidos'!I14</f>
        <v>-6830</v>
      </c>
      <c r="J14" s="432">
        <f>+'III.5.12.Trasp. recibidos'!J13-'III.5.13.Trasp. cedidos'!J14</f>
        <v>-3337</v>
      </c>
      <c r="K14" s="437">
        <f t="shared" si="0"/>
        <v>-7453</v>
      </c>
      <c r="L14" s="432">
        <f>+'III.5.12.Trasp. recibidos'!L13-'III.5.13.Trasp. cedidos'!L14</f>
        <v>-5</v>
      </c>
      <c r="M14" s="432">
        <f>+'III.5.12.Trasp. recibidos'!M13-'III.5.13.Trasp. cedidos'!M14</f>
        <v>-32</v>
      </c>
      <c r="N14" s="432">
        <f>+'III.5.12.Trasp. recibidos'!N13-'III.5.13.Trasp. cedidos'!N14</f>
        <v>7035</v>
      </c>
      <c r="O14" s="432">
        <f>+'III.5.12.Trasp. recibidos'!O13-'III.5.13.Trasp. cedidos'!O14</f>
        <v>455</v>
      </c>
      <c r="P14" s="437">
        <f t="shared" si="1"/>
        <v>7453</v>
      </c>
      <c r="R14" s="129"/>
      <c r="S14" s="94"/>
      <c r="T14" s="110"/>
    </row>
    <row r="15" spans="1:20" ht="15.75">
      <c r="A15" s="435" t="s">
        <v>953</v>
      </c>
      <c r="B15" s="432">
        <f>+'III.5.12.Trasp. recibidos'!B14-'III.5.13.Trasp. cedidos'!B15</f>
        <v>0</v>
      </c>
      <c r="C15" s="432">
        <f>+'III.5.12.Trasp. recibidos'!C14-'III.5.13.Trasp. cedidos'!C15</f>
        <v>0</v>
      </c>
      <c r="D15" s="432">
        <f>+'III.5.12.Trasp. recibidos'!D14-'III.5.13.Trasp. cedidos'!D15</f>
        <v>0</v>
      </c>
      <c r="E15" s="432">
        <f>+'III.5.12.Trasp. recibidos'!E14-'III.5.13.Trasp. cedidos'!E15</f>
        <v>-5475</v>
      </c>
      <c r="F15" s="432">
        <f>+'III.5.12.Trasp. recibidos'!F14-'III.5.13.Trasp. cedidos'!F15</f>
        <v>0</v>
      </c>
      <c r="G15" s="432">
        <f>+'III.5.12.Trasp. recibidos'!G14-'III.5.13.Trasp. cedidos'!G15</f>
        <v>12142</v>
      </c>
      <c r="H15" s="432">
        <f>+'III.5.12.Trasp. recibidos'!H14-'III.5.13.Trasp. cedidos'!H15</f>
        <v>850</v>
      </c>
      <c r="I15" s="432">
        <f>+'III.5.12.Trasp. recibidos'!I14-'III.5.13.Trasp. cedidos'!I15</f>
        <v>-8701</v>
      </c>
      <c r="J15" s="432">
        <f>+'III.5.12.Trasp. recibidos'!J14-'III.5.13.Trasp. cedidos'!J15</f>
        <v>-4673</v>
      </c>
      <c r="K15" s="437">
        <f t="shared" si="0"/>
        <v>-5857</v>
      </c>
      <c r="L15" s="432">
        <f>+'III.5.12.Trasp. recibidos'!L14-'III.5.13.Trasp. cedidos'!L15</f>
        <v>-2</v>
      </c>
      <c r="M15" s="432">
        <f>+'III.5.12.Trasp. recibidos'!M14-'III.5.13.Trasp. cedidos'!M15</f>
        <v>-26</v>
      </c>
      <c r="N15" s="432">
        <f>+'III.5.12.Trasp. recibidos'!N14-'III.5.13.Trasp. cedidos'!N15</f>
        <v>5549</v>
      </c>
      <c r="O15" s="432">
        <f>+'III.5.12.Trasp. recibidos'!O14-'III.5.13.Trasp. cedidos'!O15</f>
        <v>336</v>
      </c>
      <c r="P15" s="437">
        <f t="shared" si="1"/>
        <v>5857</v>
      </c>
      <c r="R15" s="129"/>
      <c r="S15" s="94"/>
      <c r="T15" s="110"/>
    </row>
    <row r="16" spans="1:20" s="1458" customFormat="1" ht="15.75">
      <c r="A16" s="435" t="s">
        <v>1004</v>
      </c>
      <c r="B16" s="432">
        <f>+'III.5.12.Trasp. recibidos'!B15-'III.5.13.Trasp. cedidos'!B16</f>
        <v>0</v>
      </c>
      <c r="C16" s="432">
        <f>+'III.5.12.Trasp. recibidos'!C15-'III.5.13.Trasp. cedidos'!C16</f>
        <v>0</v>
      </c>
      <c r="D16" s="432">
        <f>+'III.5.12.Trasp. recibidos'!D15-'III.5.13.Trasp. cedidos'!D16</f>
        <v>0</v>
      </c>
      <c r="E16" s="432">
        <f>+'III.5.12.Trasp. recibidos'!E15-'III.5.13.Trasp. cedidos'!E16</f>
        <v>-1483</v>
      </c>
      <c r="F16" s="432">
        <f>+'III.5.12.Trasp. recibidos'!F15-'III.5.13.Trasp. cedidos'!F16</f>
        <v>0</v>
      </c>
      <c r="G16" s="432">
        <f>+'III.5.12.Trasp. recibidos'!G15-'III.5.13.Trasp. cedidos'!G16</f>
        <v>3759</v>
      </c>
      <c r="H16" s="432">
        <f>+'III.5.12.Trasp. recibidos'!H15-'III.5.13.Trasp. cedidos'!H16</f>
        <v>45</v>
      </c>
      <c r="I16" s="432">
        <f>+'III.5.12.Trasp. recibidos'!I15-'III.5.13.Trasp. cedidos'!I16</f>
        <v>-2744</v>
      </c>
      <c r="J16" s="432">
        <f>+'III.5.12.Trasp. recibidos'!J15-'III.5.13.Trasp. cedidos'!J16</f>
        <v>-471</v>
      </c>
      <c r="K16" s="437">
        <f t="shared" si="0"/>
        <v>-894</v>
      </c>
      <c r="L16" s="432">
        <f>+'III.5.12.Trasp. recibidos'!L15-'III.5.13.Trasp. cedidos'!L16</f>
        <v>-29</v>
      </c>
      <c r="M16" s="432">
        <f>+'III.5.12.Trasp. recibidos'!M15-'III.5.13.Trasp. cedidos'!M16</f>
        <v>-2</v>
      </c>
      <c r="N16" s="432">
        <f>+'III.5.12.Trasp. recibidos'!N15-'III.5.13.Trasp. cedidos'!N16</f>
        <v>676</v>
      </c>
      <c r="O16" s="432">
        <f>+'III.5.12.Trasp. recibidos'!O15-'III.5.13.Trasp. cedidos'!O16</f>
        <v>249</v>
      </c>
      <c r="P16" s="437">
        <f t="shared" si="1"/>
        <v>894</v>
      </c>
      <c r="R16" s="129"/>
      <c r="S16" s="1453"/>
      <c r="T16" s="110"/>
    </row>
    <row r="17" spans="1:20" s="134" customFormat="1" ht="20.25" customHeight="1">
      <c r="A17" s="430" t="s">
        <v>23</v>
      </c>
      <c r="B17" s="438">
        <f t="shared" ref="B17:J17" si="2">SUM(B5:B16)</f>
        <v>0</v>
      </c>
      <c r="C17" s="436">
        <f t="shared" si="2"/>
        <v>-478</v>
      </c>
      <c r="D17" s="436">
        <f t="shared" si="2"/>
        <v>648</v>
      </c>
      <c r="E17" s="436">
        <f t="shared" si="2"/>
        <v>-24867</v>
      </c>
      <c r="F17" s="436">
        <f t="shared" si="2"/>
        <v>0</v>
      </c>
      <c r="G17" s="436">
        <f t="shared" si="2"/>
        <v>28316</v>
      </c>
      <c r="H17" s="436">
        <f t="shared" si="2"/>
        <v>1404</v>
      </c>
      <c r="I17" s="436">
        <f t="shared" si="2"/>
        <v>-39029</v>
      </c>
      <c r="J17" s="436">
        <f t="shared" si="2"/>
        <v>-19210</v>
      </c>
      <c r="K17" s="860">
        <f t="shared" ref="K17:P17" si="3">SUM(K5:K16)</f>
        <v>-53216</v>
      </c>
      <c r="L17" s="436">
        <f t="shared" si="3"/>
        <v>-372</v>
      </c>
      <c r="M17" s="436">
        <f t="shared" si="3"/>
        <v>-597</v>
      </c>
      <c r="N17" s="436">
        <f t="shared" si="3"/>
        <v>44681</v>
      </c>
      <c r="O17" s="436">
        <f t="shared" si="3"/>
        <v>9504</v>
      </c>
      <c r="P17" s="860">
        <f t="shared" si="3"/>
        <v>53216</v>
      </c>
      <c r="R17" s="410"/>
      <c r="S17" s="411"/>
      <c r="T17" s="412"/>
    </row>
    <row r="18" spans="1:20">
      <c r="A18" s="96"/>
      <c r="B18" s="96"/>
      <c r="C18" s="96"/>
      <c r="D18" s="96"/>
      <c r="E18" s="96"/>
      <c r="F18" s="96"/>
      <c r="G18" s="77">
        <f>638+341</f>
        <v>979</v>
      </c>
      <c r="H18" s="96">
        <f>59+65</f>
        <v>124</v>
      </c>
      <c r="I18" s="96">
        <f>-550-711</f>
        <v>-1261</v>
      </c>
      <c r="J18" s="96">
        <f>-94-20</f>
        <v>-114</v>
      </c>
      <c r="K18" s="96"/>
      <c r="L18" s="96">
        <v>-1</v>
      </c>
      <c r="M18" s="96">
        <v>7</v>
      </c>
      <c r="N18" s="96">
        <f>568+112</f>
        <v>680</v>
      </c>
      <c r="O18" s="96">
        <f>37-5</f>
        <v>32</v>
      </c>
      <c r="P18" s="96"/>
      <c r="Q18" s="96"/>
      <c r="R18" s="96"/>
      <c r="T18" s="112"/>
    </row>
    <row r="19" spans="1:20">
      <c r="A19" s="96"/>
      <c r="B19" s="96"/>
      <c r="C19" s="96"/>
      <c r="D19" s="96"/>
      <c r="E19" s="96"/>
      <c r="F19" s="96"/>
      <c r="G19" s="96"/>
      <c r="H19" s="96"/>
      <c r="I19" s="96"/>
      <c r="J19" s="96"/>
      <c r="K19" s="96"/>
      <c r="L19" s="96"/>
      <c r="M19" s="96"/>
      <c r="N19" s="96"/>
      <c r="O19" s="96"/>
      <c r="P19" s="96"/>
      <c r="Q19" s="96"/>
      <c r="R19" s="96"/>
      <c r="T19" s="112"/>
    </row>
    <row r="20" spans="1:20">
      <c r="A20" s="96"/>
      <c r="B20" s="96"/>
      <c r="C20" s="96"/>
      <c r="D20" s="96"/>
      <c r="E20" s="96"/>
      <c r="F20" s="96"/>
      <c r="G20" s="96"/>
      <c r="H20" s="96"/>
      <c r="I20" s="96"/>
      <c r="J20" s="96"/>
      <c r="K20" s="96"/>
      <c r="L20" s="96"/>
      <c r="M20" s="96"/>
      <c r="N20" s="96"/>
      <c r="O20" s="96"/>
      <c r="P20" s="96"/>
      <c r="Q20" s="96"/>
      <c r="R20" s="96"/>
      <c r="T20" s="112"/>
    </row>
    <row r="21" spans="1:20">
      <c r="A21" s="96"/>
      <c r="B21" s="96"/>
      <c r="C21" s="96"/>
      <c r="D21" s="96"/>
      <c r="E21" s="96"/>
      <c r="F21" s="96"/>
      <c r="G21" s="96"/>
      <c r="H21" s="96"/>
      <c r="I21" s="96"/>
      <c r="J21" s="96"/>
      <c r="K21" s="96"/>
      <c r="L21" s="96"/>
      <c r="M21" s="96"/>
      <c r="N21" s="96"/>
      <c r="O21" s="96"/>
      <c r="P21" s="96"/>
      <c r="Q21" s="96"/>
      <c r="R21" s="96"/>
      <c r="T21" s="112"/>
    </row>
    <row r="22" spans="1:20">
      <c r="A22" s="96"/>
      <c r="B22" s="96"/>
      <c r="C22" s="96"/>
      <c r="D22" s="96"/>
      <c r="E22" s="96"/>
      <c r="F22" s="96"/>
      <c r="G22" s="96"/>
      <c r="H22" s="96"/>
      <c r="I22" s="96"/>
      <c r="J22" s="96"/>
      <c r="K22" s="96"/>
      <c r="L22" s="96"/>
      <c r="M22" s="96"/>
      <c r="N22" s="96"/>
      <c r="O22" s="96"/>
      <c r="P22" s="96"/>
      <c r="Q22" s="96"/>
      <c r="R22" s="96"/>
      <c r="T22" s="112"/>
    </row>
    <row r="23" spans="1:20">
      <c r="A23" s="96"/>
      <c r="B23" s="96"/>
      <c r="C23" s="96"/>
      <c r="D23" s="96"/>
      <c r="E23" s="96"/>
      <c r="F23" s="96"/>
      <c r="G23" s="96"/>
      <c r="H23" s="96"/>
      <c r="I23" s="96"/>
      <c r="J23" s="96"/>
      <c r="K23" s="96"/>
      <c r="L23" s="96"/>
      <c r="M23" s="96"/>
      <c r="N23" s="96"/>
      <c r="O23" s="96"/>
      <c r="P23" s="96"/>
      <c r="Q23" s="96"/>
      <c r="R23" s="96"/>
    </row>
    <row r="24" spans="1:20">
      <c r="A24" s="96"/>
      <c r="B24" s="96"/>
      <c r="C24" s="96"/>
      <c r="D24" s="96"/>
      <c r="E24" s="96"/>
      <c r="F24" s="96"/>
      <c r="G24" s="96"/>
      <c r="H24" s="96"/>
      <c r="I24" s="96"/>
      <c r="J24" s="96"/>
      <c r="K24" s="96"/>
      <c r="L24" s="96"/>
      <c r="M24" s="96"/>
      <c r="N24" s="96"/>
      <c r="O24" s="96"/>
      <c r="P24" s="96"/>
      <c r="Q24" s="96"/>
      <c r="R24" s="96"/>
    </row>
    <row r="25" spans="1:20">
      <c r="A25" s="96"/>
      <c r="B25" s="96"/>
      <c r="C25" s="96"/>
      <c r="D25" s="96"/>
      <c r="E25" s="96"/>
      <c r="F25" s="96"/>
      <c r="G25" s="96"/>
      <c r="H25" s="96"/>
      <c r="I25" s="96"/>
      <c r="J25" s="96"/>
      <c r="K25" s="96"/>
      <c r="L25" s="96"/>
      <c r="M25" s="96"/>
      <c r="N25" s="96"/>
      <c r="O25" s="96"/>
      <c r="P25" s="96"/>
      <c r="Q25" s="96"/>
      <c r="R25" s="96"/>
    </row>
    <row r="26" spans="1:20">
      <c r="A26" s="96"/>
      <c r="B26" s="96"/>
      <c r="C26" s="96"/>
      <c r="D26" s="96"/>
      <c r="E26" s="96"/>
      <c r="F26" s="96"/>
      <c r="G26" s="96"/>
      <c r="H26" s="96"/>
      <c r="I26" s="96"/>
      <c r="J26" s="96"/>
      <c r="K26" s="96"/>
      <c r="L26" s="96"/>
      <c r="M26" s="96"/>
      <c r="N26" s="96"/>
      <c r="O26" s="96"/>
      <c r="P26" s="96"/>
      <c r="Q26" s="96"/>
      <c r="R26" s="96"/>
    </row>
    <row r="27" spans="1:20">
      <c r="A27" s="96"/>
      <c r="B27" s="96"/>
      <c r="C27" s="96"/>
      <c r="D27" s="96"/>
      <c r="E27" s="96"/>
      <c r="F27" s="96"/>
      <c r="G27" s="96"/>
      <c r="H27" s="96"/>
      <c r="I27" s="96"/>
      <c r="J27" s="96"/>
      <c r="K27" s="96"/>
      <c r="L27" s="96"/>
      <c r="M27" s="96"/>
      <c r="N27" s="96"/>
      <c r="O27" s="96"/>
      <c r="P27" s="96"/>
      <c r="Q27" s="96"/>
      <c r="R27" s="96"/>
    </row>
    <row r="28" spans="1:20">
      <c r="A28" s="96"/>
      <c r="B28" s="96"/>
      <c r="C28" s="96"/>
      <c r="D28" s="96"/>
      <c r="E28" s="96"/>
      <c r="F28" s="96"/>
      <c r="G28" s="96"/>
      <c r="H28" s="96"/>
      <c r="I28" s="96"/>
      <c r="J28" s="96"/>
      <c r="K28" s="96"/>
      <c r="L28" s="96"/>
      <c r="M28" s="96"/>
      <c r="N28" s="96"/>
      <c r="O28" s="96"/>
      <c r="P28" s="96"/>
      <c r="Q28" s="96"/>
      <c r="R28" s="96"/>
      <c r="T28" s="112"/>
    </row>
    <row r="29" spans="1:20">
      <c r="A29" s="96"/>
      <c r="B29" s="96"/>
      <c r="C29" s="96"/>
      <c r="D29" s="96"/>
      <c r="E29" s="96"/>
      <c r="F29" s="96"/>
      <c r="G29" s="96"/>
      <c r="H29" s="96"/>
      <c r="I29" s="96"/>
      <c r="J29" s="96"/>
      <c r="K29" s="96"/>
      <c r="L29" s="96"/>
      <c r="M29" s="96"/>
      <c r="N29" s="96"/>
      <c r="O29" s="96"/>
      <c r="P29" s="96"/>
      <c r="Q29" s="96"/>
      <c r="R29" s="96"/>
      <c r="T29" s="112"/>
    </row>
    <row r="30" spans="1:20">
      <c r="A30" s="96"/>
      <c r="B30" s="96"/>
      <c r="C30" s="96"/>
      <c r="D30" s="96"/>
      <c r="E30" s="96"/>
      <c r="F30" s="96"/>
      <c r="G30" s="96"/>
      <c r="H30" s="96"/>
      <c r="I30" s="96"/>
      <c r="J30" s="96"/>
      <c r="K30" s="96"/>
      <c r="L30" s="96"/>
      <c r="M30" s="96"/>
      <c r="N30" s="96"/>
      <c r="O30" s="96"/>
      <c r="P30" s="96"/>
      <c r="Q30" s="96"/>
      <c r="R30" s="96"/>
      <c r="T30" s="112"/>
    </row>
    <row r="31" spans="1:20">
      <c r="A31" s="96"/>
      <c r="B31" s="96"/>
      <c r="C31" s="96"/>
      <c r="D31" s="96"/>
      <c r="E31" s="96"/>
      <c r="F31" s="96"/>
      <c r="G31" s="96"/>
      <c r="H31" s="96"/>
      <c r="I31" s="96"/>
      <c r="J31" s="96"/>
      <c r="K31" s="96"/>
      <c r="L31" s="96"/>
      <c r="M31" s="96"/>
      <c r="N31" s="96"/>
      <c r="O31" s="96"/>
      <c r="P31" s="96"/>
      <c r="Q31" s="96"/>
      <c r="R31" s="96"/>
      <c r="T31" s="112"/>
    </row>
    <row r="32" spans="1:20">
      <c r="A32" s="96"/>
      <c r="B32" s="96"/>
      <c r="C32" s="96"/>
      <c r="D32" s="96"/>
      <c r="E32" s="96"/>
      <c r="F32" s="96"/>
      <c r="G32" s="96"/>
      <c r="H32" s="96"/>
      <c r="I32" s="96"/>
      <c r="J32" s="96"/>
      <c r="K32" s="96"/>
      <c r="L32" s="96"/>
      <c r="M32" s="96"/>
      <c r="N32" s="96"/>
      <c r="O32" s="96"/>
      <c r="P32" s="96"/>
      <c r="Q32" s="96"/>
      <c r="R32" s="96"/>
      <c r="T32" s="112"/>
    </row>
    <row r="33" spans="1:18">
      <c r="A33" s="96"/>
      <c r="B33" s="96"/>
      <c r="C33" s="96"/>
      <c r="D33" s="96"/>
      <c r="E33" s="96"/>
      <c r="F33" s="96"/>
      <c r="G33" s="96"/>
      <c r="H33" s="96"/>
      <c r="I33" s="96"/>
      <c r="J33" s="96"/>
      <c r="K33" s="96"/>
      <c r="L33" s="96"/>
      <c r="M33" s="96"/>
      <c r="N33" s="96"/>
      <c r="O33" s="96"/>
      <c r="P33" s="96"/>
      <c r="Q33" s="96"/>
      <c r="R33" s="96"/>
    </row>
    <row r="34" spans="1:18">
      <c r="A34" s="96"/>
      <c r="B34" s="96"/>
      <c r="C34" s="96"/>
      <c r="D34" s="96"/>
      <c r="E34" s="96"/>
      <c r="F34" s="96"/>
      <c r="G34" s="96"/>
      <c r="H34" s="96"/>
      <c r="I34" s="96"/>
      <c r="J34" s="96"/>
      <c r="K34" s="96"/>
      <c r="L34" s="96"/>
      <c r="M34" s="96"/>
      <c r="N34" s="96"/>
      <c r="O34" s="96"/>
      <c r="P34" s="96"/>
      <c r="Q34" s="96"/>
      <c r="R34" s="96"/>
    </row>
    <row r="35" spans="1:18">
      <c r="A35" s="96"/>
      <c r="B35" s="96"/>
      <c r="C35" s="96"/>
      <c r="D35" s="96"/>
      <c r="E35" s="96"/>
      <c r="F35" s="96"/>
      <c r="G35" s="96"/>
      <c r="H35" s="96"/>
      <c r="I35" s="96"/>
      <c r="J35" s="96"/>
      <c r="K35" s="96"/>
      <c r="L35" s="96"/>
      <c r="M35" s="96"/>
      <c r="N35" s="96"/>
      <c r="O35" s="96"/>
      <c r="P35" s="96"/>
      <c r="Q35" s="96"/>
      <c r="R35" s="96"/>
    </row>
    <row r="36" spans="1:18">
      <c r="A36" s="96"/>
      <c r="B36" s="96"/>
      <c r="C36" s="96"/>
      <c r="D36" s="28"/>
      <c r="E36" s="96"/>
      <c r="F36" s="96"/>
      <c r="G36" s="96"/>
      <c r="H36" s="96"/>
      <c r="I36" s="96"/>
      <c r="J36" s="96"/>
      <c r="K36" s="96"/>
      <c r="L36" s="96"/>
      <c r="M36" s="96"/>
      <c r="N36" s="96"/>
      <c r="O36" s="96"/>
      <c r="P36" s="96"/>
      <c r="Q36" s="96"/>
      <c r="R36" s="96"/>
    </row>
    <row r="37" spans="1:18">
      <c r="A37" s="96"/>
      <c r="B37" s="96"/>
      <c r="C37" s="96"/>
      <c r="D37" s="96"/>
      <c r="E37" s="96"/>
      <c r="F37" s="96"/>
      <c r="G37" s="96"/>
      <c r="H37" s="96"/>
      <c r="I37" s="96"/>
      <c r="J37" s="96"/>
      <c r="K37" s="96"/>
      <c r="L37" s="96"/>
      <c r="M37" s="96"/>
      <c r="N37" s="96"/>
      <c r="O37" s="96"/>
      <c r="P37" s="96"/>
      <c r="Q37" s="96"/>
      <c r="R37" s="96"/>
    </row>
    <row r="38" spans="1:18">
      <c r="A38" s="96"/>
      <c r="B38" s="96"/>
      <c r="C38" s="96"/>
      <c r="D38" s="96"/>
      <c r="E38" s="96"/>
      <c r="F38" s="96"/>
      <c r="G38" s="96"/>
      <c r="H38" s="96"/>
      <c r="I38" s="96"/>
      <c r="J38" s="96"/>
      <c r="K38" s="96"/>
      <c r="L38" s="96"/>
      <c r="M38" s="96"/>
      <c r="N38" s="96"/>
      <c r="O38" s="96"/>
      <c r="P38" s="96"/>
      <c r="Q38" s="96"/>
      <c r="R38" s="96"/>
    </row>
    <row r="39" spans="1:18">
      <c r="A39" s="96"/>
      <c r="B39" s="96"/>
      <c r="C39" s="96"/>
      <c r="D39" s="96"/>
      <c r="E39" s="96"/>
      <c r="F39" s="96"/>
      <c r="G39" s="96"/>
      <c r="H39" s="96"/>
      <c r="I39" s="96"/>
      <c r="J39" s="96"/>
      <c r="K39" s="96"/>
      <c r="L39" s="96"/>
      <c r="M39" s="96"/>
      <c r="N39" s="96"/>
      <c r="O39" s="96"/>
      <c r="P39" s="96"/>
      <c r="Q39" s="96"/>
      <c r="R39" s="96"/>
    </row>
    <row r="40" spans="1:18">
      <c r="A40" s="96"/>
      <c r="B40" s="96"/>
      <c r="C40" s="96"/>
      <c r="D40" s="96"/>
      <c r="E40" s="96"/>
      <c r="F40" s="96"/>
      <c r="G40" s="96"/>
      <c r="H40" s="96"/>
      <c r="I40" s="96"/>
      <c r="J40" s="96"/>
      <c r="K40" s="96"/>
      <c r="L40" s="96"/>
      <c r="M40" s="96"/>
      <c r="N40" s="96"/>
      <c r="O40" s="96"/>
      <c r="P40" s="96"/>
      <c r="Q40" s="96"/>
      <c r="R40" s="96"/>
    </row>
    <row r="41" spans="1:18">
      <c r="A41" s="96"/>
      <c r="B41" s="96"/>
      <c r="C41" s="96"/>
      <c r="D41" s="96"/>
      <c r="E41" s="96"/>
      <c r="F41" s="96"/>
      <c r="G41" s="96"/>
      <c r="H41" s="96"/>
      <c r="I41" s="96"/>
      <c r="J41" s="96"/>
      <c r="K41" s="96"/>
      <c r="L41" s="96"/>
      <c r="M41" s="96"/>
      <c r="N41" s="96"/>
      <c r="O41" s="96"/>
      <c r="P41" s="96"/>
      <c r="Q41" s="96"/>
      <c r="R41" s="96"/>
    </row>
    <row r="42" spans="1:18">
      <c r="A42" s="96"/>
      <c r="B42" s="96"/>
      <c r="C42" s="96"/>
      <c r="D42" s="96"/>
      <c r="E42" s="96"/>
      <c r="F42" s="96"/>
      <c r="G42" s="96"/>
      <c r="H42" s="96"/>
      <c r="I42" s="96"/>
      <c r="J42" s="96"/>
      <c r="K42" s="96"/>
      <c r="L42" s="96"/>
      <c r="M42" s="96"/>
      <c r="N42" s="96"/>
      <c r="O42" s="96"/>
      <c r="P42" s="96"/>
      <c r="Q42" s="96"/>
      <c r="R42" s="96"/>
    </row>
    <row r="43" spans="1:18">
      <c r="A43" s="96"/>
      <c r="B43" s="96"/>
      <c r="C43" s="96"/>
      <c r="D43" s="96"/>
      <c r="E43" s="96"/>
      <c r="F43" s="96"/>
      <c r="G43" s="96"/>
      <c r="H43" s="96"/>
      <c r="I43" s="96"/>
      <c r="J43" s="96"/>
      <c r="K43" s="96"/>
      <c r="L43" s="96"/>
      <c r="M43" s="96"/>
      <c r="N43" s="96"/>
      <c r="O43" s="96"/>
      <c r="P43" s="96"/>
    </row>
    <row r="87" spans="1:16" s="39" customFormat="1">
      <c r="A87" s="77"/>
      <c r="B87" s="77"/>
      <c r="C87" s="77"/>
      <c r="D87" s="77"/>
      <c r="E87" s="77"/>
      <c r="F87" s="77"/>
      <c r="G87" s="77"/>
      <c r="H87" s="77"/>
      <c r="I87" s="77"/>
      <c r="J87" s="77"/>
      <c r="K87" s="77"/>
      <c r="L87" s="77"/>
      <c r="M87" s="77"/>
      <c r="N87" s="77"/>
      <c r="O87" s="77"/>
      <c r="P87" s="77"/>
    </row>
    <row r="88" spans="1:16" s="39" customFormat="1"/>
    <row r="89" spans="1:16" s="39" customFormat="1"/>
    <row r="90" spans="1:16" s="39" customFormat="1"/>
    <row r="91" spans="1:16" s="39" customFormat="1"/>
    <row r="92" spans="1:16" s="39" customFormat="1"/>
    <row r="93" spans="1:16" s="39" customFormat="1"/>
    <row r="94" spans="1:16" s="39" customFormat="1"/>
    <row r="95" spans="1:16" s="39" customFormat="1"/>
    <row r="96" spans="1:16" s="39" customFormat="1"/>
    <row r="97" s="39" customFormat="1"/>
    <row r="98" s="39" customFormat="1"/>
    <row r="99" s="39" customFormat="1"/>
    <row r="100" s="39" customFormat="1"/>
    <row r="101" s="39" customFormat="1"/>
    <row r="102" s="39" customFormat="1"/>
    <row r="103" s="39" customFormat="1"/>
    <row r="104" s="39" customFormat="1"/>
    <row r="105" s="39" customFormat="1"/>
    <row r="106" s="39" customFormat="1"/>
    <row r="107" s="39" customFormat="1"/>
    <row r="108" s="39" customFormat="1"/>
    <row r="109" s="39" customFormat="1"/>
    <row r="110" s="39" customFormat="1"/>
    <row r="111" s="39" customFormat="1"/>
    <row r="112" s="39" customFormat="1"/>
    <row r="113" spans="1:16" s="39" customFormat="1"/>
    <row r="114" spans="1:16" s="39" customFormat="1"/>
    <row r="115" spans="1:16" s="39" customFormat="1"/>
    <row r="116" spans="1:16" s="39" customFormat="1"/>
    <row r="117" spans="1:16" s="39" customFormat="1"/>
    <row r="118" spans="1:16" s="39" customFormat="1"/>
    <row r="119" spans="1:16" s="39" customFormat="1"/>
    <row r="120" spans="1:16">
      <c r="A120" s="39"/>
      <c r="B120" s="39"/>
      <c r="C120" s="39"/>
      <c r="D120" s="39"/>
      <c r="E120" s="39"/>
      <c r="F120" s="39"/>
      <c r="G120" s="39"/>
      <c r="H120" s="39"/>
      <c r="I120" s="39"/>
      <c r="J120" s="39"/>
      <c r="K120" s="39"/>
      <c r="L120" s="39"/>
      <c r="M120" s="39"/>
      <c r="N120" s="39"/>
      <c r="O120" s="39"/>
      <c r="P120" s="39"/>
    </row>
  </sheetData>
  <mergeCells count="3">
    <mergeCell ref="A1:S1"/>
    <mergeCell ref="A2:S2"/>
    <mergeCell ref="A3:P3"/>
  </mergeCells>
  <printOptions horizontalCentered="1" verticalCentered="1"/>
  <pageMargins left="0.4" right="0.4" top="0.25" bottom="0.25" header="0.31496062992126" footer="0.31496062992126"/>
  <pageSetup scale="50" orientation="landscape" r:id="rId1"/>
  <rowBreaks count="1" manualBreakCount="1">
    <brk id="16" max="1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K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L33" sqref="L33"/>
    </sheetView>
  </sheetViews>
  <sheetFormatPr baseColWidth="10" defaultColWidth="11.42578125" defaultRowHeight="15"/>
  <cols>
    <col min="1" max="1" width="31.140625" style="197" customWidth="1"/>
    <col min="2" max="2" width="18.7109375" style="77" customWidth="1"/>
    <col min="3" max="3" width="15.42578125" style="77" customWidth="1"/>
    <col min="4" max="4" width="15" style="77" customWidth="1"/>
    <col min="5" max="5" width="21.140625" style="77" customWidth="1"/>
    <col min="6" max="6" width="13.28515625" style="77" customWidth="1"/>
    <col min="7" max="7" width="19.28515625" style="77" customWidth="1"/>
    <col min="8" max="8" width="16.140625" style="77" customWidth="1"/>
    <col min="9" max="9" width="16.5703125" style="77" customWidth="1"/>
    <col min="10" max="10" width="16.140625" style="77" customWidth="1"/>
    <col min="11" max="11" width="17.140625" style="77" customWidth="1"/>
    <col min="12" max="16384" width="11.42578125" style="77"/>
  </cols>
  <sheetData>
    <row r="1" spans="1:11" ht="95.25" customHeight="1">
      <c r="A1" s="2116" t="s">
        <v>176</v>
      </c>
      <c r="B1" s="2116"/>
      <c r="C1" s="2116"/>
      <c r="D1" s="2116"/>
      <c r="E1" s="2116"/>
      <c r="F1" s="2116"/>
      <c r="G1" s="2116"/>
      <c r="H1" s="2116"/>
      <c r="I1" s="2116"/>
      <c r="J1" s="2116"/>
      <c r="K1" s="2116"/>
    </row>
    <row r="2" spans="1:11" s="931" customFormat="1" ht="21" customHeight="1">
      <c r="A2" s="1828" t="s">
        <v>683</v>
      </c>
      <c r="B2" s="310" t="s">
        <v>684</v>
      </c>
      <c r="C2" s="310" t="s">
        <v>93</v>
      </c>
      <c r="D2" s="310" t="s">
        <v>83</v>
      </c>
      <c r="E2" s="310" t="s">
        <v>84</v>
      </c>
      <c r="F2" s="310" t="s">
        <v>685</v>
      </c>
      <c r="G2" s="1351" t="s">
        <v>23</v>
      </c>
      <c r="H2" s="1351" t="s">
        <v>686</v>
      </c>
      <c r="I2" s="930"/>
      <c r="J2" s="930"/>
      <c r="K2" s="930"/>
    </row>
    <row r="3" spans="1:11" ht="16.5" customHeight="1">
      <c r="A3" s="1826" t="s">
        <v>131</v>
      </c>
      <c r="B3" s="1254">
        <v>217912</v>
      </c>
      <c r="C3" s="1254">
        <v>54741</v>
      </c>
      <c r="D3" s="1254">
        <v>161</v>
      </c>
      <c r="E3" s="1254">
        <v>171782</v>
      </c>
      <c r="F3" s="1254">
        <v>212909</v>
      </c>
      <c r="G3" s="1424">
        <f>SUM(B3:F3)</f>
        <v>657505</v>
      </c>
      <c r="H3" s="1352">
        <f t="shared" ref="H3:H35" si="0">G3/$G$36</f>
        <v>0.19828161263395594</v>
      </c>
      <c r="I3" s="47"/>
    </row>
    <row r="4" spans="1:11" ht="16.5" customHeight="1">
      <c r="A4" s="1827" t="s">
        <v>132</v>
      </c>
      <c r="B4" s="1255">
        <v>117229</v>
      </c>
      <c r="C4" s="1255">
        <v>66161</v>
      </c>
      <c r="D4" s="1255">
        <v>612</v>
      </c>
      <c r="E4" s="1255">
        <v>231589</v>
      </c>
      <c r="F4" s="1255">
        <v>33323</v>
      </c>
      <c r="G4" s="1426">
        <f>SUM(B4:F4)</f>
        <v>448914</v>
      </c>
      <c r="H4" s="1353">
        <f t="shared" si="0"/>
        <v>0.13537751325687211</v>
      </c>
      <c r="I4" s="47"/>
    </row>
    <row r="5" spans="1:11" ht="16.5" customHeight="1">
      <c r="A5" s="1827" t="s">
        <v>687</v>
      </c>
      <c r="B5" s="1255">
        <v>126083</v>
      </c>
      <c r="C5" s="1255">
        <v>40482</v>
      </c>
      <c r="D5" s="1255">
        <v>8</v>
      </c>
      <c r="E5" s="1255">
        <v>119968</v>
      </c>
      <c r="F5" s="1255">
        <v>52330</v>
      </c>
      <c r="G5" s="1426">
        <f t="shared" ref="G5:G34" si="1">SUM(B5:F5)</f>
        <v>338871</v>
      </c>
      <c r="H5" s="1353">
        <f t="shared" si="0"/>
        <v>0.10219220896400982</v>
      </c>
      <c r="I5" s="47"/>
    </row>
    <row r="6" spans="1:11" ht="16.5" customHeight="1">
      <c r="A6" s="1827" t="s">
        <v>271</v>
      </c>
      <c r="B6" s="1255">
        <v>56380</v>
      </c>
      <c r="C6" s="1255">
        <v>17522</v>
      </c>
      <c r="D6" s="1255">
        <v>51</v>
      </c>
      <c r="E6" s="1255">
        <v>39969</v>
      </c>
      <c r="F6" s="1255">
        <v>17664</v>
      </c>
      <c r="G6" s="1426">
        <f t="shared" si="1"/>
        <v>131586</v>
      </c>
      <c r="H6" s="1353">
        <f t="shared" si="0"/>
        <v>3.9681955696233069E-2</v>
      </c>
      <c r="I6" s="47"/>
    </row>
    <row r="7" spans="1:11" ht="16.5" customHeight="1">
      <c r="A7" s="1827" t="s">
        <v>282</v>
      </c>
      <c r="B7" s="1255">
        <v>31980</v>
      </c>
      <c r="C7" s="1255">
        <v>9756</v>
      </c>
      <c r="D7" s="1255">
        <v>11957</v>
      </c>
      <c r="E7" s="1255">
        <v>26161</v>
      </c>
      <c r="F7" s="1255">
        <v>9562</v>
      </c>
      <c r="G7" s="1426">
        <f t="shared" si="1"/>
        <v>89416</v>
      </c>
      <c r="H7" s="1353">
        <f t="shared" si="0"/>
        <v>2.6964887986065205E-2</v>
      </c>
      <c r="I7" s="47"/>
      <c r="J7" s="47"/>
      <c r="K7" s="47"/>
    </row>
    <row r="8" spans="1:11" ht="16.5" customHeight="1">
      <c r="A8" s="1827" t="s">
        <v>268</v>
      </c>
      <c r="B8" s="1255">
        <v>30448</v>
      </c>
      <c r="C8" s="1255">
        <v>9616</v>
      </c>
      <c r="D8" s="1255">
        <v>371</v>
      </c>
      <c r="E8" s="1255">
        <v>30034</v>
      </c>
      <c r="F8" s="1255">
        <v>16294</v>
      </c>
      <c r="G8" s="1426">
        <f t="shared" si="1"/>
        <v>86763</v>
      </c>
      <c r="H8" s="1353">
        <f t="shared" si="0"/>
        <v>2.6164831532779095E-2</v>
      </c>
      <c r="I8" s="47"/>
      <c r="J8" s="47"/>
      <c r="K8" s="47"/>
    </row>
    <row r="9" spans="1:11" ht="16.5" customHeight="1">
      <c r="A9" s="1827" t="s">
        <v>281</v>
      </c>
      <c r="B9" s="1255">
        <v>25881</v>
      </c>
      <c r="C9" s="1255">
        <v>10696</v>
      </c>
      <c r="D9" s="1255">
        <v>5</v>
      </c>
      <c r="E9" s="1255">
        <v>29549</v>
      </c>
      <c r="F9" s="1255">
        <v>13482</v>
      </c>
      <c r="G9" s="1426">
        <f t="shared" si="1"/>
        <v>79613</v>
      </c>
      <c r="H9" s="1353">
        <f t="shared" si="0"/>
        <v>2.4008629632667634E-2</v>
      </c>
      <c r="I9" s="47"/>
      <c r="J9" s="47"/>
      <c r="K9" s="47"/>
    </row>
    <row r="10" spans="1:11" ht="16.5" customHeight="1">
      <c r="A10" s="1827" t="s">
        <v>274</v>
      </c>
      <c r="B10" s="1255">
        <v>31957</v>
      </c>
      <c r="C10" s="1255">
        <v>8828</v>
      </c>
      <c r="D10" s="1255">
        <v>10</v>
      </c>
      <c r="E10" s="1255">
        <v>22582</v>
      </c>
      <c r="F10" s="1255">
        <v>13006</v>
      </c>
      <c r="G10" s="1426">
        <f t="shared" si="1"/>
        <v>76383</v>
      </c>
      <c r="H10" s="1353">
        <f t="shared" si="0"/>
        <v>2.3034569193876024E-2</v>
      </c>
      <c r="I10" s="47"/>
      <c r="J10" s="47"/>
      <c r="K10" s="47"/>
    </row>
    <row r="11" spans="1:11" ht="16.5" customHeight="1">
      <c r="A11" s="1827" t="s">
        <v>539</v>
      </c>
      <c r="B11" s="1255">
        <v>28429</v>
      </c>
      <c r="C11" s="1255">
        <v>8423</v>
      </c>
      <c r="D11" s="1255">
        <v>994</v>
      </c>
      <c r="E11" s="1255">
        <v>14144</v>
      </c>
      <c r="F11" s="1255">
        <v>7769</v>
      </c>
      <c r="G11" s="1426">
        <f t="shared" si="1"/>
        <v>59759</v>
      </c>
      <c r="H11" s="1353">
        <f t="shared" si="0"/>
        <v>1.8021324384442053E-2</v>
      </c>
      <c r="I11" s="47"/>
      <c r="J11" s="47"/>
      <c r="K11" s="47"/>
    </row>
    <row r="12" spans="1:11" ht="16.5" customHeight="1">
      <c r="A12" s="1827" t="s">
        <v>285</v>
      </c>
      <c r="B12" s="1255">
        <v>24124</v>
      </c>
      <c r="C12" s="1255">
        <v>7795</v>
      </c>
      <c r="D12" s="1255">
        <v>2</v>
      </c>
      <c r="E12" s="1255">
        <v>14331</v>
      </c>
      <c r="F12" s="1255">
        <v>5262</v>
      </c>
      <c r="G12" s="1426">
        <f t="shared" si="1"/>
        <v>51514</v>
      </c>
      <c r="H12" s="1353">
        <f t="shared" si="0"/>
        <v>1.553490694857926E-2</v>
      </c>
      <c r="I12" s="47"/>
      <c r="J12" s="47"/>
      <c r="K12" s="47"/>
    </row>
    <row r="13" spans="1:11" ht="16.5" customHeight="1">
      <c r="A13" s="1827" t="s">
        <v>287</v>
      </c>
      <c r="B13" s="1255">
        <v>15646</v>
      </c>
      <c r="C13" s="1255">
        <v>9577</v>
      </c>
      <c r="D13" s="1255">
        <v>4</v>
      </c>
      <c r="E13" s="1255">
        <v>14355</v>
      </c>
      <c r="F13" s="1255">
        <v>6820</v>
      </c>
      <c r="G13" s="1426">
        <f t="shared" si="1"/>
        <v>46402</v>
      </c>
      <c r="H13" s="1353">
        <f t="shared" si="0"/>
        <v>1.3993297981674395E-2</v>
      </c>
      <c r="I13" s="47"/>
      <c r="J13" s="47"/>
      <c r="K13" s="47"/>
    </row>
    <row r="14" spans="1:11" ht="16.5" customHeight="1">
      <c r="A14" s="1827" t="s">
        <v>279</v>
      </c>
      <c r="B14" s="1255">
        <v>14900</v>
      </c>
      <c r="C14" s="1255">
        <v>4889</v>
      </c>
      <c r="D14" s="1255">
        <v>4</v>
      </c>
      <c r="E14" s="1255">
        <v>11150</v>
      </c>
      <c r="F14" s="1255">
        <v>7682</v>
      </c>
      <c r="G14" s="1426">
        <f t="shared" si="1"/>
        <v>38625</v>
      </c>
      <c r="H14" s="1353">
        <f t="shared" si="0"/>
        <v>1.1648013761091622E-2</v>
      </c>
      <c r="I14" s="47"/>
      <c r="J14" s="47"/>
      <c r="K14" s="47"/>
    </row>
    <row r="15" spans="1:11" ht="16.5" customHeight="1">
      <c r="A15" s="1827" t="s">
        <v>688</v>
      </c>
      <c r="B15" s="1255">
        <v>7883</v>
      </c>
      <c r="C15" s="1255">
        <v>4689</v>
      </c>
      <c r="D15" s="1255">
        <v>0</v>
      </c>
      <c r="E15" s="1255">
        <v>20969</v>
      </c>
      <c r="F15" s="1255">
        <v>3843</v>
      </c>
      <c r="G15" s="1426">
        <f t="shared" si="1"/>
        <v>37384</v>
      </c>
      <c r="H15" s="1353">
        <f t="shared" si="0"/>
        <v>1.1273769487240111E-2</v>
      </c>
      <c r="I15" s="47"/>
      <c r="J15" s="47"/>
      <c r="K15" s="47"/>
    </row>
    <row r="16" spans="1:11" ht="16.5" customHeight="1">
      <c r="A16" s="1827" t="s">
        <v>275</v>
      </c>
      <c r="B16" s="1255">
        <v>7825</v>
      </c>
      <c r="C16" s="1255">
        <v>4053</v>
      </c>
      <c r="D16" s="1255">
        <v>8</v>
      </c>
      <c r="E16" s="1255">
        <v>10923</v>
      </c>
      <c r="F16" s="1255">
        <v>5410</v>
      </c>
      <c r="G16" s="1426">
        <f t="shared" si="1"/>
        <v>28219</v>
      </c>
      <c r="H16" s="1353">
        <f t="shared" si="0"/>
        <v>8.5099106880063297E-3</v>
      </c>
      <c r="I16" s="47"/>
      <c r="J16" s="47"/>
      <c r="K16" s="47"/>
    </row>
    <row r="17" spans="1:11" ht="16.5" customHeight="1">
      <c r="A17" s="1827" t="s">
        <v>406</v>
      </c>
      <c r="B17" s="1255">
        <v>7652</v>
      </c>
      <c r="C17" s="1255">
        <v>5360</v>
      </c>
      <c r="D17" s="1255">
        <v>9</v>
      </c>
      <c r="E17" s="1255">
        <v>6692</v>
      </c>
      <c r="F17" s="1255">
        <v>6227</v>
      </c>
      <c r="G17" s="1426">
        <f t="shared" si="1"/>
        <v>25940</v>
      </c>
      <c r="H17" s="1353">
        <f t="shared" si="0"/>
        <v>7.8226401802645104E-3</v>
      </c>
      <c r="I17" s="47"/>
      <c r="J17" s="47"/>
      <c r="K17" s="47"/>
    </row>
    <row r="18" spans="1:11" ht="16.5" customHeight="1">
      <c r="A18" s="1827" t="s">
        <v>291</v>
      </c>
      <c r="B18" s="1255">
        <v>7978</v>
      </c>
      <c r="C18" s="1255">
        <v>6159</v>
      </c>
      <c r="D18" s="1255">
        <v>10</v>
      </c>
      <c r="E18" s="1255">
        <v>7190</v>
      </c>
      <c r="F18" s="1255">
        <v>4442</v>
      </c>
      <c r="G18" s="1426">
        <f t="shared" si="1"/>
        <v>25779</v>
      </c>
      <c r="H18" s="1353">
        <f t="shared" si="0"/>
        <v>7.774087941674588E-3</v>
      </c>
      <c r="I18" s="47"/>
      <c r="J18" s="47"/>
      <c r="K18" s="47"/>
    </row>
    <row r="19" spans="1:11" ht="16.5" customHeight="1">
      <c r="A19" s="1827" t="s">
        <v>289</v>
      </c>
      <c r="B19" s="1255">
        <v>6783</v>
      </c>
      <c r="C19" s="1255">
        <v>8083</v>
      </c>
      <c r="D19" s="1255">
        <v>2</v>
      </c>
      <c r="E19" s="1255">
        <v>4470</v>
      </c>
      <c r="F19" s="1255">
        <v>5358</v>
      </c>
      <c r="G19" s="1426">
        <f t="shared" si="1"/>
        <v>24696</v>
      </c>
      <c r="H19" s="1353">
        <f t="shared" si="0"/>
        <v>7.447491206315048E-3</v>
      </c>
      <c r="I19" s="47"/>
      <c r="J19" s="47"/>
      <c r="K19" s="47"/>
    </row>
    <row r="20" spans="1:11" ht="16.5" customHeight="1">
      <c r="A20" s="1827" t="s">
        <v>267</v>
      </c>
      <c r="B20" s="1255">
        <v>8189</v>
      </c>
      <c r="C20" s="1255">
        <v>6150</v>
      </c>
      <c r="D20" s="1255">
        <v>0</v>
      </c>
      <c r="E20" s="1255">
        <v>6761</v>
      </c>
      <c r="F20" s="1255">
        <v>1814</v>
      </c>
      <c r="G20" s="1426">
        <f t="shared" si="1"/>
        <v>22914</v>
      </c>
      <c r="H20" s="1353">
        <f t="shared" si="0"/>
        <v>6.9100993481334225E-3</v>
      </c>
      <c r="I20" s="47"/>
      <c r="J20" s="47"/>
      <c r="K20" s="47"/>
    </row>
    <row r="21" spans="1:11" ht="16.5" customHeight="1">
      <c r="A21" s="1827" t="s">
        <v>278</v>
      </c>
      <c r="B21" s="1255">
        <v>7351</v>
      </c>
      <c r="C21" s="1255">
        <v>1647</v>
      </c>
      <c r="D21" s="1255">
        <v>4</v>
      </c>
      <c r="E21" s="1255">
        <v>5919</v>
      </c>
      <c r="F21" s="1255">
        <v>2669</v>
      </c>
      <c r="G21" s="1426">
        <f t="shared" si="1"/>
        <v>17590</v>
      </c>
      <c r="H21" s="1353">
        <f t="shared" si="0"/>
        <v>5.3045582409735059E-3</v>
      </c>
      <c r="I21" s="47"/>
      <c r="J21" s="47"/>
      <c r="K21" s="47"/>
    </row>
    <row r="22" spans="1:11" ht="16.5" customHeight="1">
      <c r="A22" s="1827" t="s">
        <v>280</v>
      </c>
      <c r="B22" s="1255">
        <v>5695</v>
      </c>
      <c r="C22" s="1255">
        <v>4189</v>
      </c>
      <c r="D22" s="1255">
        <v>0</v>
      </c>
      <c r="E22" s="1255">
        <v>6019</v>
      </c>
      <c r="F22" s="1255">
        <v>1651</v>
      </c>
      <c r="G22" s="1426">
        <f t="shared" si="1"/>
        <v>17554</v>
      </c>
      <c r="H22" s="1353">
        <f t="shared" si="0"/>
        <v>5.2937018397981195E-3</v>
      </c>
      <c r="I22" s="47"/>
      <c r="J22" s="47"/>
      <c r="K22" s="47"/>
    </row>
    <row r="23" spans="1:11" ht="16.5" customHeight="1">
      <c r="A23" s="1827" t="s">
        <v>284</v>
      </c>
      <c r="B23" s="1255">
        <v>7714</v>
      </c>
      <c r="C23" s="1255">
        <v>2339</v>
      </c>
      <c r="D23" s="1255">
        <v>26</v>
      </c>
      <c r="E23" s="1255">
        <v>3360</v>
      </c>
      <c r="F23" s="1255">
        <v>2041</v>
      </c>
      <c r="G23" s="1426">
        <f t="shared" si="1"/>
        <v>15480</v>
      </c>
      <c r="H23" s="1353">
        <f t="shared" si="0"/>
        <v>4.6682525054161381E-3</v>
      </c>
      <c r="I23" s="47"/>
      <c r="J23" s="47"/>
      <c r="K23" s="47"/>
    </row>
    <row r="24" spans="1:11" ht="16.5" customHeight="1">
      <c r="A24" s="1827" t="s">
        <v>277</v>
      </c>
      <c r="B24" s="1255">
        <v>4447</v>
      </c>
      <c r="C24" s="1255">
        <v>3201</v>
      </c>
      <c r="D24" s="1255">
        <v>1</v>
      </c>
      <c r="E24" s="1255">
        <v>4441</v>
      </c>
      <c r="F24" s="1255">
        <v>2204</v>
      </c>
      <c r="G24" s="1426">
        <f t="shared" si="1"/>
        <v>14294</v>
      </c>
      <c r="H24" s="1353">
        <f t="shared" si="0"/>
        <v>4.3105944000270202E-3</v>
      </c>
      <c r="I24" s="47"/>
      <c r="J24" s="47"/>
      <c r="K24" s="47"/>
    </row>
    <row r="25" spans="1:11" ht="16.5" customHeight="1">
      <c r="A25" s="1827" t="s">
        <v>272</v>
      </c>
      <c r="B25" s="1255">
        <v>6237</v>
      </c>
      <c r="C25" s="1255">
        <v>1518</v>
      </c>
      <c r="D25" s="1255">
        <v>2</v>
      </c>
      <c r="E25" s="1255">
        <v>4484</v>
      </c>
      <c r="F25" s="1255">
        <v>1186</v>
      </c>
      <c r="G25" s="1426">
        <f t="shared" si="1"/>
        <v>13427</v>
      </c>
      <c r="H25" s="1353">
        <f t="shared" si="0"/>
        <v>4.0491360717197986E-3</v>
      </c>
      <c r="I25" s="47"/>
      <c r="J25" s="47"/>
      <c r="K25" s="47"/>
    </row>
    <row r="26" spans="1:11" ht="16.5" customHeight="1">
      <c r="A26" s="1827" t="s">
        <v>405</v>
      </c>
      <c r="B26" s="1255">
        <v>3324</v>
      </c>
      <c r="C26" s="1255">
        <v>4018</v>
      </c>
      <c r="D26" s="1255">
        <v>0</v>
      </c>
      <c r="E26" s="1255">
        <v>3864</v>
      </c>
      <c r="F26" s="1255">
        <v>1495</v>
      </c>
      <c r="G26" s="1426">
        <f t="shared" si="1"/>
        <v>12701</v>
      </c>
      <c r="H26" s="1353">
        <f t="shared" si="0"/>
        <v>3.8301986480161736E-3</v>
      </c>
      <c r="I26" s="47"/>
      <c r="J26" s="47"/>
      <c r="K26" s="47"/>
    </row>
    <row r="27" spans="1:11" ht="16.5" customHeight="1">
      <c r="A27" s="1827" t="s">
        <v>971</v>
      </c>
      <c r="B27" s="1255">
        <v>6030</v>
      </c>
      <c r="C27" s="1255">
        <v>1651</v>
      </c>
      <c r="D27" s="1256">
        <v>903</v>
      </c>
      <c r="E27" s="1255">
        <v>1759</v>
      </c>
      <c r="F27" s="1255">
        <v>1845</v>
      </c>
      <c r="G27" s="1426">
        <f t="shared" si="1"/>
        <v>12188</v>
      </c>
      <c r="H27" s="1353">
        <f t="shared" si="0"/>
        <v>3.6754949312669178E-3</v>
      </c>
      <c r="I27" s="47"/>
      <c r="J27" s="47"/>
      <c r="K27" s="47"/>
    </row>
    <row r="28" spans="1:11" ht="16.5" customHeight="1">
      <c r="A28" s="1827" t="s">
        <v>290</v>
      </c>
      <c r="B28" s="1255">
        <v>2601</v>
      </c>
      <c r="C28" s="1255">
        <v>2407</v>
      </c>
      <c r="D28" s="1255">
        <v>1</v>
      </c>
      <c r="E28" s="1255">
        <v>2278</v>
      </c>
      <c r="F28" s="1255">
        <v>1638</v>
      </c>
      <c r="G28" s="1426">
        <f t="shared" si="1"/>
        <v>8925</v>
      </c>
      <c r="H28" s="1353">
        <f t="shared" si="0"/>
        <v>2.6914827913978702E-3</v>
      </c>
      <c r="I28" s="47"/>
      <c r="J28" s="47"/>
      <c r="K28" s="47"/>
    </row>
    <row r="29" spans="1:11" ht="16.5" customHeight="1">
      <c r="A29" s="1827" t="s">
        <v>288</v>
      </c>
      <c r="B29" s="1255">
        <v>2489</v>
      </c>
      <c r="C29" s="1255">
        <v>2715</v>
      </c>
      <c r="D29" s="1255">
        <v>2</v>
      </c>
      <c r="E29" s="1255">
        <v>2625</v>
      </c>
      <c r="F29" s="1255">
        <v>750</v>
      </c>
      <c r="G29" s="1426">
        <f t="shared" si="1"/>
        <v>8581</v>
      </c>
      <c r="H29" s="1353">
        <f t="shared" si="0"/>
        <v>2.5877438468330672E-3</v>
      </c>
      <c r="I29" s="47"/>
      <c r="J29" s="47"/>
      <c r="K29" s="47"/>
    </row>
    <row r="30" spans="1:11" ht="16.5" customHeight="1">
      <c r="A30" s="1827" t="s">
        <v>265</v>
      </c>
      <c r="B30" s="1255">
        <v>2297</v>
      </c>
      <c r="C30" s="1255">
        <v>2530</v>
      </c>
      <c r="D30" s="1255">
        <v>0</v>
      </c>
      <c r="E30" s="1255">
        <v>1914</v>
      </c>
      <c r="F30" s="1255">
        <v>267</v>
      </c>
      <c r="G30" s="1426">
        <f t="shared" si="1"/>
        <v>7008</v>
      </c>
      <c r="H30" s="1353">
        <f t="shared" si="0"/>
        <v>2.1133794288085463E-3</v>
      </c>
      <c r="I30" s="47"/>
      <c r="J30" s="47"/>
      <c r="K30" s="47"/>
    </row>
    <row r="31" spans="1:11" ht="16.5" customHeight="1">
      <c r="A31" s="1827" t="s">
        <v>283</v>
      </c>
      <c r="B31" s="1255">
        <v>1535</v>
      </c>
      <c r="C31" s="1255">
        <v>1971</v>
      </c>
      <c r="D31" s="1255">
        <v>0</v>
      </c>
      <c r="E31" s="1255">
        <v>1157</v>
      </c>
      <c r="F31" s="1255">
        <v>600</v>
      </c>
      <c r="G31" s="1426">
        <f t="shared" si="1"/>
        <v>5263</v>
      </c>
      <c r="H31" s="1353">
        <f t="shared" si="0"/>
        <v>1.5871455385016236E-3</v>
      </c>
      <c r="I31" s="47"/>
      <c r="J31" s="47"/>
      <c r="K31" s="47"/>
    </row>
    <row r="32" spans="1:11" ht="16.5" customHeight="1">
      <c r="A32" s="1827" t="s">
        <v>270</v>
      </c>
      <c r="B32" s="1255">
        <v>1740</v>
      </c>
      <c r="C32" s="1255">
        <v>750</v>
      </c>
      <c r="D32" s="1255">
        <v>1</v>
      </c>
      <c r="E32" s="1255">
        <v>2248</v>
      </c>
      <c r="F32" s="1255">
        <v>316</v>
      </c>
      <c r="G32" s="1426">
        <f t="shared" si="1"/>
        <v>5055</v>
      </c>
      <c r="H32" s="1353">
        <f t="shared" si="0"/>
        <v>1.5244196650438357E-3</v>
      </c>
      <c r="I32" s="47"/>
      <c r="J32" s="47"/>
      <c r="K32" s="47"/>
    </row>
    <row r="33" spans="1:11" ht="16.5" customHeight="1">
      <c r="A33" s="1827" t="s">
        <v>276</v>
      </c>
      <c r="B33" s="1255">
        <v>882</v>
      </c>
      <c r="C33" s="1255">
        <v>1524</v>
      </c>
      <c r="D33" s="1255">
        <v>0</v>
      </c>
      <c r="E33" s="1255">
        <v>1157</v>
      </c>
      <c r="F33" s="1255">
        <v>773</v>
      </c>
      <c r="G33" s="1426">
        <f t="shared" si="1"/>
        <v>4336</v>
      </c>
      <c r="H33" s="1353">
        <f t="shared" si="0"/>
        <v>1.3075932082354247E-3</v>
      </c>
      <c r="I33" s="47"/>
      <c r="J33" s="47"/>
      <c r="K33" s="47"/>
    </row>
    <row r="34" spans="1:11" ht="16.5" customHeight="1">
      <c r="A34" s="1827" t="s">
        <v>703</v>
      </c>
      <c r="B34" s="1255">
        <v>1432</v>
      </c>
      <c r="C34" s="1255">
        <v>1157</v>
      </c>
      <c r="D34" s="1255">
        <v>0</v>
      </c>
      <c r="E34" s="1255">
        <v>922</v>
      </c>
      <c r="F34" s="1255">
        <v>737</v>
      </c>
      <c r="G34" s="1426">
        <f t="shared" si="1"/>
        <v>4248</v>
      </c>
      <c r="H34" s="1353">
        <f t="shared" si="0"/>
        <v>1.2810553386955912E-3</v>
      </c>
      <c r="I34" s="47"/>
      <c r="J34" s="47"/>
      <c r="K34" s="47"/>
    </row>
    <row r="35" spans="1:11" s="1458" customFormat="1" ht="16.5" customHeight="1">
      <c r="A35" s="1827" t="s">
        <v>689</v>
      </c>
      <c r="B35" s="1255">
        <v>163371</v>
      </c>
      <c r="C35" s="1255">
        <v>101278</v>
      </c>
      <c r="D35" s="1255">
        <v>8503</v>
      </c>
      <c r="E35" s="1255">
        <v>204976</v>
      </c>
      <c r="F35" s="1255">
        <v>207168</v>
      </c>
      <c r="G35" s="1426">
        <v>899083</v>
      </c>
      <c r="H35" s="1353">
        <f t="shared" si="0"/>
        <v>0.27113349272138615</v>
      </c>
      <c r="I35" s="47"/>
      <c r="J35" s="47"/>
      <c r="K35" s="47"/>
    </row>
    <row r="36" spans="1:11" ht="16.5" customHeight="1">
      <c r="A36" s="1945" t="s">
        <v>23</v>
      </c>
      <c r="B36" s="1946">
        <f>SUM(B3:B35)</f>
        <v>984424</v>
      </c>
      <c r="C36" s="1946">
        <f>SUM(C3:C35)</f>
        <v>415875</v>
      </c>
      <c r="D36" s="1946">
        <f t="shared" ref="D36:H36" si="2">SUM(D3:D35)</f>
        <v>23651</v>
      </c>
      <c r="E36" s="1946">
        <f t="shared" si="2"/>
        <v>1029742</v>
      </c>
      <c r="F36" s="1946">
        <f t="shared" si="2"/>
        <v>648537</v>
      </c>
      <c r="G36" s="1989">
        <f>SUM(G3:G35)</f>
        <v>3316016</v>
      </c>
      <c r="H36" s="1947">
        <f t="shared" si="2"/>
        <v>0.99999999999999956</v>
      </c>
      <c r="I36" s="1130"/>
      <c r="J36" s="47"/>
      <c r="K36" s="47"/>
    </row>
    <row r="37" spans="1:11" s="908" customFormat="1" ht="18.75">
      <c r="A37" s="2145" t="s">
        <v>990</v>
      </c>
      <c r="B37" s="2145"/>
      <c r="C37" s="2145"/>
      <c r="D37" s="2145"/>
      <c r="E37" s="2145"/>
      <c r="F37" s="2145"/>
      <c r="G37" s="2145"/>
      <c r="H37" s="2145"/>
      <c r="I37" s="47"/>
      <c r="J37" s="1130"/>
      <c r="K37" s="1130"/>
    </row>
    <row r="38" spans="1:11" ht="23.25" customHeight="1">
      <c r="J38" s="47"/>
      <c r="K38" s="47"/>
    </row>
    <row r="44" spans="1:11" ht="18.75" customHeight="1">
      <c r="A44" s="2146"/>
      <c r="B44" s="2146"/>
      <c r="C44" s="2146"/>
      <c r="D44" s="2146"/>
      <c r="E44" s="2146"/>
      <c r="F44" s="2146"/>
      <c r="G44" s="2146"/>
      <c r="H44" s="2146"/>
      <c r="I44" s="2146"/>
      <c r="J44" s="2146"/>
      <c r="K44" s="2146"/>
    </row>
    <row r="45" spans="1:11">
      <c r="A45" s="2146"/>
      <c r="B45" s="2146"/>
      <c r="C45" s="2146"/>
      <c r="D45" s="2146"/>
      <c r="E45" s="2146"/>
      <c r="F45" s="2146"/>
      <c r="G45" s="2146"/>
      <c r="H45" s="2146"/>
      <c r="I45" s="2146"/>
      <c r="J45" s="2146"/>
      <c r="K45" s="2146"/>
    </row>
    <row r="46" spans="1:11">
      <c r="A46" s="2146"/>
      <c r="B46" s="2146"/>
      <c r="C46" s="2146"/>
      <c r="D46" s="2146"/>
      <c r="E46" s="2146"/>
      <c r="F46" s="2146"/>
      <c r="G46" s="2146"/>
      <c r="H46" s="2146"/>
      <c r="I46" s="2146"/>
      <c r="J46" s="2146"/>
      <c r="K46" s="2146"/>
    </row>
    <row r="47" spans="1:11">
      <c r="A47" s="2146"/>
      <c r="B47" s="2146"/>
      <c r="C47" s="2146"/>
      <c r="D47" s="2146"/>
      <c r="E47" s="2146"/>
      <c r="F47" s="2146"/>
      <c r="G47" s="2146"/>
      <c r="H47" s="2146"/>
      <c r="I47" s="2146"/>
      <c r="J47" s="2146"/>
      <c r="K47" s="2146"/>
    </row>
    <row r="48" spans="1:11">
      <c r="A48" s="2146"/>
      <c r="B48" s="2146"/>
      <c r="C48" s="2146"/>
      <c r="D48" s="2146"/>
      <c r="E48" s="2146"/>
      <c r="F48" s="2146"/>
      <c r="G48" s="2146"/>
      <c r="H48" s="2146"/>
      <c r="I48" s="2146"/>
      <c r="J48" s="2146"/>
      <c r="K48" s="2146"/>
    </row>
    <row r="49" spans="1:11">
      <c r="A49" s="2146"/>
      <c r="B49" s="2146"/>
      <c r="C49" s="2146"/>
      <c r="D49" s="2146"/>
      <c r="E49" s="2146"/>
      <c r="F49" s="2146"/>
      <c r="G49" s="2146"/>
      <c r="H49" s="2146"/>
      <c r="I49" s="2146"/>
      <c r="J49" s="2146"/>
      <c r="K49" s="2146"/>
    </row>
    <row r="50" spans="1:11">
      <c r="A50" s="2146"/>
      <c r="B50" s="2146"/>
      <c r="C50" s="2146"/>
      <c r="D50" s="2146"/>
      <c r="E50" s="2146"/>
      <c r="F50" s="2146"/>
      <c r="G50" s="2146"/>
      <c r="H50" s="2146"/>
      <c r="I50" s="2146"/>
      <c r="J50" s="2146"/>
      <c r="K50" s="2146"/>
    </row>
  </sheetData>
  <mergeCells count="3">
    <mergeCell ref="A1:K1"/>
    <mergeCell ref="A37:H37"/>
    <mergeCell ref="A44:K50"/>
  </mergeCells>
  <printOptions horizontalCentered="1" verticalCentered="1"/>
  <pageMargins left="0.4" right="0.4" top="0.25" bottom="0.25" header="0.31496062992126" footer="0.31496062992126"/>
  <pageSetup scale="6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topLeftCell="A5" zoomScaleNormal="100" zoomScaleSheetLayoutView="100" workbookViewId="0">
      <selection activeCell="N27" sqref="N27"/>
    </sheetView>
  </sheetViews>
  <sheetFormatPr baseColWidth="10" defaultColWidth="11.42578125" defaultRowHeight="15"/>
  <cols>
    <col min="1" max="6" width="11.42578125" style="77"/>
    <col min="7" max="7" width="8.85546875" style="77" customWidth="1"/>
    <col min="8" max="16384" width="11.42578125" style="77"/>
  </cols>
  <sheetData>
    <row r="27" spans="14:14">
      <c r="N27" s="77" t="s">
        <v>31</v>
      </c>
    </row>
  </sheetData>
  <pageMargins left="0.7" right="0.7" top="0.75" bottom="0.75" header="0.3" footer="0.3"/>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33" sqref="P33"/>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P24" sqref="P24"/>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J11:M28"/>
  <sheetViews>
    <sheetView showGridLines="0" view="pageBreakPreview" topLeftCell="B1" zoomScale="115" zoomScaleNormal="100" zoomScaleSheetLayoutView="115" workbookViewId="0">
      <selection activeCell="K27" sqref="K27"/>
    </sheetView>
  </sheetViews>
  <sheetFormatPr baseColWidth="10" defaultColWidth="11.42578125" defaultRowHeight="15"/>
  <cols>
    <col min="1" max="1" width="11.42578125" style="77"/>
    <col min="2" max="2" width="14.28515625" style="77" customWidth="1"/>
    <col min="3" max="3" width="13.85546875" style="77" customWidth="1"/>
    <col min="4" max="4" width="11.42578125" style="77"/>
    <col min="5" max="5" width="12.85546875" style="77" customWidth="1"/>
    <col min="6" max="6" width="13.85546875" style="77" customWidth="1"/>
    <col min="7" max="7" width="14.28515625" style="77" customWidth="1"/>
    <col min="8" max="8" width="12.28515625" style="77" customWidth="1"/>
    <col min="9" max="9" width="17.85546875" style="77" customWidth="1"/>
    <col min="10" max="10" width="9.85546875" style="77" customWidth="1"/>
    <col min="11" max="16384" width="11.42578125" style="77"/>
  </cols>
  <sheetData>
    <row r="11" spans="10:13">
      <c r="J11" s="997"/>
    </row>
    <row r="12" spans="10:13">
      <c r="J12" s="268"/>
    </row>
    <row r="15" spans="10:13">
      <c r="J15" s="144"/>
    </row>
    <row r="16" spans="10:13">
      <c r="K16" s="268"/>
      <c r="M16" s="173"/>
    </row>
    <row r="17" spans="12:13">
      <c r="M17" s="173"/>
    </row>
    <row r="20" spans="12:13">
      <c r="L20" s="18"/>
    </row>
    <row r="21" spans="12:13">
      <c r="L21" s="18"/>
    </row>
    <row r="23" spans="12:13">
      <c r="M23" s="18"/>
    </row>
    <row r="28" spans="12:13">
      <c r="M28" s="268"/>
    </row>
  </sheetData>
  <pageMargins left="0.70866141732283472" right="0.70866141732283472" top="0.74803149606299213" bottom="0.74803149606299213" header="0.31496062992125984" footer="0.31496062992125984"/>
  <pageSetup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39"/>
  <sheetViews>
    <sheetView showGridLines="0" view="pageBreakPreview" zoomScale="55" zoomScaleNormal="100" zoomScaleSheetLayoutView="55" workbookViewId="0">
      <selection activeCell="P3" sqref="P3:X24"/>
    </sheetView>
  </sheetViews>
  <sheetFormatPr baseColWidth="10" defaultColWidth="11.42578125" defaultRowHeight="15"/>
  <cols>
    <col min="1" max="1" width="18.42578125" style="57" customWidth="1"/>
    <col min="2" max="2" width="28.28515625" style="57" customWidth="1"/>
    <col min="3" max="3" width="27" style="57" customWidth="1"/>
    <col min="4" max="4" width="26" style="57" customWidth="1"/>
    <col min="5" max="5" width="24.42578125" style="57" customWidth="1"/>
    <col min="6" max="6" width="11.42578125" style="57"/>
    <col min="7" max="7" width="20.5703125" style="57" customWidth="1"/>
    <col min="8" max="8" width="16.85546875" style="57" bestFit="1" customWidth="1"/>
    <col min="9" max="9" width="15" style="57" bestFit="1" customWidth="1"/>
    <col min="10" max="11" width="15" style="57" customWidth="1"/>
    <col min="12" max="12" width="16.5703125" style="57" customWidth="1"/>
    <col min="13" max="13" width="11.42578125" style="57"/>
    <col min="14" max="14" width="15.85546875" style="57" customWidth="1"/>
    <col min="15" max="15" width="17.42578125" style="57" customWidth="1"/>
    <col min="16" max="16" width="11.42578125" style="57"/>
    <col min="17" max="17" width="17.42578125" style="57" customWidth="1"/>
    <col min="18" max="16384" width="11.42578125" style="57"/>
  </cols>
  <sheetData>
    <row r="1" spans="1:17" s="77" customFormat="1" ht="108.75" customHeight="1">
      <c r="A1" s="2114"/>
      <c r="B1" s="2114"/>
      <c r="C1" s="2114"/>
      <c r="D1" s="2114"/>
      <c r="E1" s="2114"/>
      <c r="F1" s="2114"/>
      <c r="G1" s="2114"/>
      <c r="H1" s="2114"/>
      <c r="I1" s="2114"/>
      <c r="J1" s="2114"/>
      <c r="K1" s="2114"/>
      <c r="L1" s="2114"/>
      <c r="M1" s="2114"/>
      <c r="N1" s="2114"/>
      <c r="O1" s="2114"/>
    </row>
    <row r="2" spans="1:17" s="77" customFormat="1" ht="11.25" customHeight="1">
      <c r="A2" s="94"/>
      <c r="B2" s="94"/>
      <c r="C2" s="94"/>
      <c r="D2" s="94"/>
      <c r="E2" s="94"/>
      <c r="F2" s="94"/>
      <c r="G2" s="94"/>
      <c r="H2" s="94"/>
      <c r="I2" s="94"/>
      <c r="J2" s="94"/>
      <c r="K2" s="94"/>
      <c r="L2" s="94"/>
      <c r="M2" s="94"/>
      <c r="N2" s="94"/>
      <c r="O2" s="94"/>
    </row>
    <row r="3" spans="1:17" s="77" customFormat="1" ht="60.75" customHeight="1">
      <c r="A3" s="1732" t="s">
        <v>0</v>
      </c>
      <c r="B3" s="1612" t="s">
        <v>423</v>
      </c>
      <c r="C3" s="1612" t="s">
        <v>435</v>
      </c>
      <c r="D3" s="1928" t="s">
        <v>202</v>
      </c>
      <c r="E3" s="1614" t="s">
        <v>535</v>
      </c>
      <c r="F3" s="19"/>
      <c r="G3" s="19"/>
      <c r="H3" s="195"/>
      <c r="I3" s="19"/>
      <c r="J3" s="19"/>
      <c r="K3" s="19"/>
      <c r="L3" s="19"/>
      <c r="M3" s="19"/>
      <c r="N3" s="19"/>
      <c r="O3" s="19"/>
      <c r="Q3" s="736"/>
    </row>
    <row r="4" spans="1:17" s="77" customFormat="1" ht="18.75">
      <c r="A4" s="1690" t="s">
        <v>461</v>
      </c>
      <c r="B4" s="442">
        <v>1566047</v>
      </c>
      <c r="C4" s="442">
        <v>1188229</v>
      </c>
      <c r="D4" s="1929"/>
      <c r="E4" s="443">
        <f t="shared" ref="E4:E12" si="0">C4/B4</f>
        <v>0.75874415007978691</v>
      </c>
      <c r="F4" s="19"/>
      <c r="G4" s="19"/>
      <c r="H4" s="195"/>
      <c r="Q4" s="736"/>
    </row>
    <row r="5" spans="1:17" s="77" customFormat="1" ht="18.75">
      <c r="A5" s="346" t="s">
        <v>187</v>
      </c>
      <c r="B5" s="439">
        <v>1560994</v>
      </c>
      <c r="C5" s="439">
        <v>1227725</v>
      </c>
      <c r="D5" s="1930">
        <f>C5/C4-1</f>
        <v>3.323938399079629E-2</v>
      </c>
      <c r="E5" s="440">
        <f t="shared" si="0"/>
        <v>0.78650206214758034</v>
      </c>
      <c r="F5" s="20"/>
      <c r="G5" s="20"/>
      <c r="H5" s="195"/>
      <c r="I5" s="77" t="s">
        <v>176</v>
      </c>
      <c r="Q5" s="736"/>
    </row>
    <row r="6" spans="1:17" s="77" customFormat="1" ht="18.75">
      <c r="A6" s="346" t="s">
        <v>188</v>
      </c>
      <c r="B6" s="439">
        <v>1631129</v>
      </c>
      <c r="C6" s="439">
        <v>1299087</v>
      </c>
      <c r="D6" s="1930">
        <f t="shared" ref="D6:D10" si="1">C6/C5-1</f>
        <v>5.8125394530534225E-2</v>
      </c>
      <c r="E6" s="440">
        <f t="shared" si="0"/>
        <v>0.79643424891593495</v>
      </c>
      <c r="F6" s="23"/>
      <c r="G6" s="23"/>
      <c r="H6" s="195"/>
      <c r="I6" s="23"/>
      <c r="J6" s="23"/>
      <c r="K6" s="23"/>
      <c r="L6" s="23"/>
      <c r="M6" s="23"/>
      <c r="N6" s="23"/>
      <c r="O6" s="23"/>
      <c r="Q6" s="736"/>
    </row>
    <row r="7" spans="1:17" s="77" customFormat="1" ht="18.75">
      <c r="A7" s="346" t="s">
        <v>462</v>
      </c>
      <c r="B7" s="439">
        <v>1686216</v>
      </c>
      <c r="C7" s="439">
        <v>1367790</v>
      </c>
      <c r="D7" s="1930">
        <f t="shared" si="1"/>
        <v>5.2885603504615242E-2</v>
      </c>
      <c r="E7" s="440">
        <f t="shared" si="0"/>
        <v>0.81115942441537736</v>
      </c>
      <c r="H7" s="195"/>
      <c r="Q7" s="736"/>
    </row>
    <row r="8" spans="1:17" s="77" customFormat="1" ht="18.75">
      <c r="A8" s="346" t="s">
        <v>463</v>
      </c>
      <c r="B8" s="439">
        <v>1716228</v>
      </c>
      <c r="C8" s="267">
        <v>1430273</v>
      </c>
      <c r="D8" s="1930">
        <f t="shared" si="1"/>
        <v>4.5681720147098703E-2</v>
      </c>
      <c r="E8" s="440">
        <f t="shared" si="0"/>
        <v>0.83338169520599825</v>
      </c>
      <c r="H8" s="195"/>
      <c r="M8" s="77" t="s">
        <v>31</v>
      </c>
      <c r="Q8" s="736"/>
    </row>
    <row r="9" spans="1:17" s="77" customFormat="1" ht="18.75">
      <c r="A9" s="346" t="s">
        <v>525</v>
      </c>
      <c r="B9" s="439">
        <v>1769801</v>
      </c>
      <c r="C9" s="267">
        <v>1530322</v>
      </c>
      <c r="D9" s="1930">
        <f t="shared" si="1"/>
        <v>6.9950981386071032E-2</v>
      </c>
      <c r="E9" s="440">
        <f t="shared" si="0"/>
        <v>0.864685916665207</v>
      </c>
      <c r="F9" s="23"/>
      <c r="G9" s="23"/>
      <c r="H9" s="195"/>
      <c r="I9" s="23"/>
      <c r="J9" s="23"/>
      <c r="K9" s="23"/>
      <c r="L9" s="23"/>
      <c r="M9" s="23"/>
      <c r="N9" s="23"/>
      <c r="O9" s="23"/>
      <c r="Q9" s="201"/>
    </row>
    <row r="10" spans="1:17" s="77" customFormat="1" ht="18.75">
      <c r="A10" s="346" t="s">
        <v>544</v>
      </c>
      <c r="B10" s="439">
        <v>1865496</v>
      </c>
      <c r="C10" s="439">
        <f>+'II.3. Empl x sector '!I10</f>
        <v>1651202</v>
      </c>
      <c r="D10" s="1930">
        <f t="shared" si="1"/>
        <v>7.8989911927032308E-2</v>
      </c>
      <c r="E10" s="440">
        <f t="shared" si="0"/>
        <v>0.88512760145291114</v>
      </c>
      <c r="F10" s="23"/>
      <c r="G10" s="23"/>
      <c r="H10" s="195"/>
      <c r="I10" s="23"/>
      <c r="J10" s="23"/>
      <c r="K10" s="23"/>
      <c r="L10" s="23"/>
      <c r="M10" s="23"/>
      <c r="N10" s="23"/>
      <c r="O10" s="23"/>
      <c r="Q10" s="737"/>
    </row>
    <row r="11" spans="1:17" s="1458" customFormat="1" ht="18.75">
      <c r="A11" s="346" t="s">
        <v>954</v>
      </c>
      <c r="B11" s="439">
        <v>1965498</v>
      </c>
      <c r="C11" s="439">
        <f>+'II.3. Empl x sector '!I11</f>
        <v>1759458</v>
      </c>
      <c r="D11" s="1930">
        <f>C11/C9-1</f>
        <v>0.14973057957737002</v>
      </c>
      <c r="E11" s="440">
        <f t="shared" ref="E11" si="2">C11/B11</f>
        <v>0.89517160536413676</v>
      </c>
      <c r="F11" s="23"/>
      <c r="G11" s="23"/>
      <c r="H11" s="195"/>
      <c r="I11" s="23"/>
      <c r="J11" s="23"/>
      <c r="K11" s="23"/>
      <c r="L11" s="23"/>
      <c r="M11" s="23"/>
      <c r="N11" s="23"/>
      <c r="O11" s="23"/>
      <c r="Q11" s="737"/>
    </row>
    <row r="12" spans="1:17" s="77" customFormat="1" ht="18.75">
      <c r="A12" s="365" t="s">
        <v>1004</v>
      </c>
      <c r="B12" s="1259">
        <v>1965498</v>
      </c>
      <c r="C12" s="1259">
        <f>+'II.3. Empl x sector '!I12</f>
        <v>1836699</v>
      </c>
      <c r="D12" s="1931">
        <f>C12/C10-1</f>
        <v>0.11234058582777884</v>
      </c>
      <c r="E12" s="441">
        <f t="shared" si="0"/>
        <v>0.93447004270673384</v>
      </c>
      <c r="F12" s="23"/>
      <c r="I12" s="23"/>
      <c r="J12" s="23"/>
      <c r="K12" s="23"/>
      <c r="L12" s="23"/>
      <c r="M12" s="23"/>
      <c r="N12" s="23"/>
      <c r="O12" s="23"/>
    </row>
    <row r="13" spans="1:17" s="77" customFormat="1">
      <c r="B13" s="23"/>
      <c r="C13" s="23"/>
      <c r="D13" s="23"/>
      <c r="E13" s="23"/>
      <c r="F13" s="23"/>
      <c r="G13" s="23"/>
      <c r="I13" s="23"/>
      <c r="J13" s="23"/>
      <c r="K13" s="23"/>
      <c r="L13" s="23"/>
      <c r="M13" s="23"/>
      <c r="N13" s="23"/>
      <c r="O13" s="23"/>
    </row>
    <row r="14" spans="1:17" s="77" customFormat="1">
      <c r="B14" s="23"/>
      <c r="C14" s="23"/>
      <c r="D14" s="23"/>
      <c r="E14" s="23"/>
      <c r="F14" s="23"/>
      <c r="G14" s="23"/>
      <c r="H14" s="23"/>
      <c r="I14" s="23"/>
      <c r="J14" s="23"/>
      <c r="K14" s="23"/>
      <c r="L14" s="23"/>
      <c r="M14" s="23"/>
      <c r="N14" s="23"/>
      <c r="O14" s="23"/>
    </row>
    <row r="15" spans="1:17" s="77" customFormat="1">
      <c r="B15" s="23"/>
      <c r="C15" s="23"/>
      <c r="D15" s="23"/>
      <c r="E15" s="23"/>
      <c r="F15" s="23"/>
      <c r="G15" s="23"/>
      <c r="H15" s="23"/>
      <c r="I15" s="23"/>
      <c r="J15" s="23"/>
      <c r="K15" s="23"/>
      <c r="L15" s="23"/>
      <c r="M15" s="23"/>
      <c r="N15" s="23"/>
      <c r="O15" s="23"/>
    </row>
    <row r="16" spans="1:17" s="77" customFormat="1">
      <c r="B16" s="23"/>
      <c r="C16" s="23"/>
      <c r="D16" s="23"/>
      <c r="E16" s="23"/>
      <c r="F16" s="23"/>
      <c r="G16" s="23"/>
      <c r="H16" s="23"/>
      <c r="I16" s="23"/>
      <c r="J16" s="23"/>
      <c r="K16" s="23"/>
      <c r="L16" s="23"/>
      <c r="M16" s="23"/>
      <c r="N16" s="23"/>
      <c r="O16" s="23"/>
    </row>
    <row r="17" spans="2:15" s="77" customFormat="1">
      <c r="B17" s="23"/>
      <c r="C17" s="23"/>
      <c r="D17" s="23"/>
      <c r="E17" s="23"/>
      <c r="F17" s="23"/>
      <c r="G17" s="23"/>
      <c r="H17" s="23"/>
      <c r="I17" s="23"/>
      <c r="J17" s="23"/>
      <c r="K17" s="23"/>
      <c r="L17" s="23"/>
      <c r="M17" s="23"/>
      <c r="N17" s="23"/>
      <c r="O17" s="23"/>
    </row>
    <row r="18" spans="2:15" s="77" customFormat="1">
      <c r="B18" s="23"/>
      <c r="C18" s="23"/>
      <c r="D18" s="23"/>
      <c r="E18" s="23"/>
      <c r="F18" s="23"/>
      <c r="G18" s="23"/>
      <c r="H18" s="23"/>
      <c r="I18" s="23"/>
      <c r="J18" s="23"/>
      <c r="K18" s="23"/>
      <c r="L18" s="23"/>
      <c r="M18" s="23"/>
      <c r="N18" s="23"/>
      <c r="O18" s="23"/>
    </row>
    <row r="19" spans="2:15" s="77" customFormat="1">
      <c r="B19" s="23"/>
      <c r="C19" s="23"/>
      <c r="D19" s="23"/>
      <c r="E19" s="23"/>
      <c r="F19" s="23"/>
      <c r="G19" s="23"/>
      <c r="H19" s="23"/>
      <c r="I19" s="23"/>
      <c r="J19" s="23"/>
      <c r="K19" s="23"/>
      <c r="L19" s="23"/>
      <c r="M19" s="23"/>
      <c r="N19" s="23"/>
      <c r="O19" s="23"/>
    </row>
    <row r="20" spans="2:15" s="77" customFormat="1">
      <c r="B20" s="23"/>
      <c r="C20" s="23"/>
      <c r="D20" s="23"/>
      <c r="E20" s="23"/>
      <c r="F20" s="23"/>
      <c r="G20" s="23"/>
      <c r="H20" s="23"/>
      <c r="I20" s="23"/>
      <c r="J20" s="23"/>
      <c r="K20" s="23"/>
      <c r="L20" s="23"/>
      <c r="M20" s="23"/>
      <c r="N20" s="23"/>
      <c r="O20" s="23"/>
    </row>
    <row r="21" spans="2:15" s="77" customFormat="1">
      <c r="B21" s="23"/>
      <c r="C21" s="23"/>
      <c r="D21" s="23"/>
      <c r="E21" s="23"/>
      <c r="F21" s="23"/>
      <c r="G21" s="23"/>
      <c r="H21" s="23"/>
      <c r="I21" s="23"/>
      <c r="J21" s="23"/>
      <c r="K21" s="23"/>
      <c r="L21" s="23"/>
      <c r="M21" s="23"/>
      <c r="N21" s="23"/>
      <c r="O21" s="23"/>
    </row>
    <row r="22" spans="2:15" s="77" customFormat="1">
      <c r="B22" s="23"/>
      <c r="C22" s="23"/>
      <c r="D22" s="23"/>
      <c r="E22" s="23"/>
      <c r="F22" s="23"/>
      <c r="G22" s="23"/>
      <c r="H22" s="23"/>
      <c r="I22" s="23"/>
      <c r="J22" s="23"/>
      <c r="K22" s="23"/>
      <c r="L22" s="23"/>
      <c r="M22" s="23"/>
      <c r="N22" s="23"/>
      <c r="O22" s="23"/>
    </row>
    <row r="23" spans="2:15" s="77" customFormat="1">
      <c r="B23" s="23"/>
      <c r="C23" s="23"/>
      <c r="D23" s="23"/>
      <c r="E23" s="23"/>
      <c r="F23" s="23"/>
      <c r="G23" s="23"/>
      <c r="H23" s="23"/>
      <c r="I23" s="23"/>
      <c r="J23" s="23"/>
      <c r="K23" s="23"/>
      <c r="L23" s="23"/>
      <c r="M23" s="23"/>
      <c r="N23" s="23"/>
      <c r="O23" s="23"/>
    </row>
    <row r="24" spans="2:15" s="77" customFormat="1">
      <c r="B24" s="23"/>
      <c r="C24" s="23"/>
      <c r="D24" s="23"/>
      <c r="E24" s="23"/>
      <c r="F24" s="23"/>
      <c r="G24" s="23"/>
      <c r="H24" s="23"/>
      <c r="I24" s="23"/>
      <c r="J24" s="23"/>
      <c r="K24" s="23"/>
      <c r="L24" s="23"/>
      <c r="M24" s="23"/>
      <c r="N24" s="23"/>
      <c r="O24" s="23"/>
    </row>
    <row r="25" spans="2:15" s="77" customFormat="1">
      <c r="B25" s="23"/>
      <c r="C25" s="23"/>
      <c r="D25" s="23"/>
      <c r="E25" s="23"/>
      <c r="F25" s="23"/>
      <c r="G25" s="23"/>
      <c r="H25" s="23"/>
      <c r="I25" s="23"/>
      <c r="J25" s="23"/>
      <c r="K25" s="23"/>
      <c r="L25" s="23"/>
      <c r="M25" s="23"/>
      <c r="N25" s="23"/>
      <c r="O25" s="23"/>
    </row>
    <row r="26" spans="2:15" s="77" customFormat="1">
      <c r="B26" s="23"/>
      <c r="C26" s="23"/>
      <c r="D26" s="23"/>
      <c r="E26" s="23"/>
      <c r="F26" s="23"/>
      <c r="G26" s="23"/>
      <c r="H26" s="23"/>
      <c r="I26" s="23"/>
      <c r="J26" s="23"/>
      <c r="K26" s="23"/>
      <c r="L26" s="23"/>
      <c r="M26" s="23"/>
      <c r="N26" s="23"/>
      <c r="O26" s="23"/>
    </row>
    <row r="27" spans="2:15" s="77" customFormat="1">
      <c r="B27" s="23"/>
      <c r="C27" s="23"/>
      <c r="D27" s="23"/>
      <c r="E27" s="23"/>
      <c r="F27" s="23"/>
      <c r="G27" s="23"/>
      <c r="H27" s="23"/>
      <c r="I27" s="23"/>
      <c r="J27" s="23"/>
      <c r="K27" s="23"/>
      <c r="L27" s="23"/>
      <c r="M27" s="23"/>
      <c r="N27" s="23"/>
      <c r="O27" s="23"/>
    </row>
    <row r="28" spans="2:15" s="77" customFormat="1">
      <c r="B28" s="23"/>
      <c r="C28" s="23"/>
      <c r="D28" s="23"/>
      <c r="E28" s="23"/>
      <c r="F28" s="23"/>
      <c r="G28" s="23"/>
      <c r="H28" s="23"/>
      <c r="I28" s="23"/>
      <c r="J28" s="23"/>
      <c r="K28" s="23"/>
      <c r="L28" s="23"/>
      <c r="M28" s="23"/>
      <c r="N28" s="23"/>
      <c r="O28" s="23"/>
    </row>
    <row r="29" spans="2:15" s="77" customFormat="1">
      <c r="B29" s="23"/>
      <c r="C29" s="23"/>
      <c r="D29" s="23"/>
      <c r="E29" s="23"/>
      <c r="F29" s="23"/>
      <c r="G29" s="23"/>
      <c r="H29" s="23"/>
      <c r="I29" s="23"/>
      <c r="J29" s="23"/>
      <c r="K29" s="23"/>
      <c r="L29" s="23"/>
      <c r="M29" s="23"/>
      <c r="N29" s="23"/>
      <c r="O29" s="23"/>
    </row>
    <row r="30" spans="2:15" s="77" customFormat="1">
      <c r="B30" s="23"/>
      <c r="C30" s="23"/>
      <c r="D30" s="23"/>
      <c r="E30" s="23"/>
      <c r="F30" s="23"/>
      <c r="G30" s="23"/>
      <c r="H30" s="23"/>
      <c r="I30" s="23"/>
      <c r="J30" s="23"/>
      <c r="K30" s="23"/>
      <c r="L30" s="23"/>
      <c r="M30" s="23"/>
      <c r="N30" s="23"/>
      <c r="O30" s="23"/>
    </row>
    <row r="31" spans="2:15" s="77" customFormat="1">
      <c r="B31" s="23"/>
      <c r="C31" s="23"/>
      <c r="D31" s="23"/>
      <c r="E31" s="23"/>
      <c r="F31" s="23"/>
      <c r="G31" s="23"/>
      <c r="H31" s="23"/>
      <c r="I31" s="23"/>
      <c r="J31" s="23"/>
      <c r="K31" s="23"/>
      <c r="L31" s="23"/>
      <c r="M31" s="23"/>
      <c r="N31" s="23"/>
      <c r="O31" s="23"/>
    </row>
    <row r="32" spans="2:15" s="77" customFormat="1">
      <c r="B32" s="23"/>
      <c r="C32" s="23"/>
      <c r="D32" s="23"/>
      <c r="E32" s="23"/>
      <c r="F32" s="23"/>
      <c r="G32" s="23"/>
      <c r="H32" s="23"/>
      <c r="I32" s="23"/>
      <c r="J32" s="23"/>
      <c r="K32" s="23"/>
      <c r="L32" s="23"/>
      <c r="M32" s="23"/>
      <c r="N32" s="23"/>
      <c r="O32" s="23"/>
    </row>
    <row r="33" spans="2:15" s="77" customFormat="1">
      <c r="B33" s="23"/>
      <c r="C33" s="23"/>
      <c r="D33" s="23"/>
      <c r="E33" s="23"/>
      <c r="F33" s="23"/>
      <c r="G33" s="23"/>
      <c r="H33" s="23"/>
      <c r="I33" s="23"/>
      <c r="J33" s="23"/>
      <c r="K33" s="23"/>
      <c r="L33" s="23"/>
      <c r="M33" s="23"/>
      <c r="N33" s="23"/>
      <c r="O33" s="23"/>
    </row>
    <row r="34" spans="2:15" s="77" customFormat="1"/>
    <row r="35" spans="2:15" s="77" customFormat="1"/>
    <row r="36" spans="2:15" s="77" customFormat="1"/>
    <row r="37" spans="2:15" s="77" customFormat="1"/>
    <row r="38" spans="2:15" s="77" customFormat="1"/>
    <row r="39" spans="2:15" s="77" customFormat="1"/>
  </sheetData>
  <mergeCells count="1">
    <mergeCell ref="A1:O1"/>
  </mergeCells>
  <printOptions horizontalCentered="1" verticalCentered="1"/>
  <pageMargins left="0.4" right="0.4" top="0.25" bottom="0.25" header="0.31496062992126" footer="0.31496062992126"/>
  <pageSetup scale="46"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Q48"/>
  <sheetViews>
    <sheetView showGridLines="0" view="pageBreakPreview" zoomScale="55" zoomScaleNormal="100" zoomScaleSheetLayoutView="55" workbookViewId="0">
      <selection activeCell="I10" sqref="I10"/>
    </sheetView>
  </sheetViews>
  <sheetFormatPr baseColWidth="10" defaultColWidth="11.5703125" defaultRowHeight="15"/>
  <cols>
    <col min="1" max="1" width="19.7109375" style="77" customWidth="1"/>
    <col min="2" max="2" width="22.140625" style="77" customWidth="1"/>
    <col min="3" max="3" width="16.42578125" style="77" customWidth="1"/>
    <col min="4" max="4" width="20.28515625" style="77" customWidth="1"/>
    <col min="5" max="5" width="17.7109375" style="77" customWidth="1"/>
    <col min="6" max="6" width="20.5703125" style="77" customWidth="1"/>
    <col min="7" max="7" width="19.85546875" style="77" customWidth="1"/>
    <col min="8" max="8" width="17.28515625" style="77" customWidth="1"/>
    <col min="9" max="9" width="22.42578125" style="77" customWidth="1"/>
    <col min="10" max="10" width="21.28515625" style="77" customWidth="1"/>
    <col min="11" max="11" width="27" style="77" customWidth="1"/>
    <col min="12" max="12" width="18.28515625" style="77" customWidth="1"/>
    <col min="13" max="13" width="22.140625" style="77" customWidth="1"/>
    <col min="14" max="14" width="6.42578125" style="77" customWidth="1"/>
    <col min="15" max="15" width="15.42578125" style="77" bestFit="1" customWidth="1"/>
    <col min="16" max="16" width="5.5703125" style="77" customWidth="1"/>
    <col min="17" max="17" width="15.42578125" style="77" bestFit="1" customWidth="1"/>
    <col min="18" max="33" width="11.5703125" style="77"/>
    <col min="34" max="36" width="15.140625" style="77" customWidth="1"/>
    <col min="37" max="37" width="20.85546875" style="77" customWidth="1"/>
    <col min="38" max="39" width="11.5703125" style="77"/>
    <col min="40" max="43" width="0" style="77" hidden="1" customWidth="1"/>
    <col min="44" max="16384" width="11.5703125" style="77"/>
  </cols>
  <sheetData>
    <row r="1" spans="1:43" ht="100.5" customHeight="1">
      <c r="A1" s="2147"/>
      <c r="B1" s="2147"/>
      <c r="C1" s="2147"/>
      <c r="D1" s="2147"/>
      <c r="E1" s="2147"/>
      <c r="F1" s="2147"/>
      <c r="G1" s="2147"/>
      <c r="H1" s="2147"/>
      <c r="I1" s="2147"/>
      <c r="J1" s="2147"/>
      <c r="K1" s="2147"/>
      <c r="L1" s="2147"/>
      <c r="M1" s="2147"/>
    </row>
    <row r="2" spans="1:43" ht="55.5" customHeight="1">
      <c r="A2" s="739" t="s">
        <v>119</v>
      </c>
      <c r="B2" s="739" t="s">
        <v>946</v>
      </c>
      <c r="C2" s="843" t="s">
        <v>35</v>
      </c>
      <c r="D2" s="843" t="s">
        <v>120</v>
      </c>
      <c r="E2" s="843" t="s">
        <v>135</v>
      </c>
      <c r="F2" s="843" t="s">
        <v>68</v>
      </c>
      <c r="G2" s="844" t="s">
        <v>136</v>
      </c>
      <c r="H2" s="19"/>
      <c r="M2" s="58"/>
    </row>
    <row r="3" spans="1:43" ht="20.100000000000001" customHeight="1">
      <c r="A3" s="740" t="s">
        <v>121</v>
      </c>
      <c r="B3" s="1581">
        <f>+D3+F3</f>
        <v>26825</v>
      </c>
      <c r="C3" s="1542">
        <f>+B3/$B$18</f>
        <v>1.4605006046173053E-2</v>
      </c>
      <c r="D3" s="1948">
        <v>16040</v>
      </c>
      <c r="E3" s="1949">
        <f>D3/B3</f>
        <v>0.5979496738117428</v>
      </c>
      <c r="F3" s="1948">
        <v>10785</v>
      </c>
      <c r="G3" s="1543">
        <f>+F3/B3</f>
        <v>0.4020503261882572</v>
      </c>
      <c r="H3" s="19"/>
      <c r="I3" s="933"/>
      <c r="K3" s="184"/>
      <c r="M3" s="58"/>
      <c r="AN3" s="2150" t="s">
        <v>118</v>
      </c>
      <c r="AO3" s="2151"/>
      <c r="AP3" s="2151"/>
    </row>
    <row r="4" spans="1:43" ht="20.100000000000001" customHeight="1">
      <c r="A4" s="740" t="s">
        <v>43</v>
      </c>
      <c r="B4" s="1581">
        <f t="shared" ref="B4:B17" si="0">+D4+F4</f>
        <v>228179</v>
      </c>
      <c r="C4" s="1542">
        <f t="shared" ref="C4:C17" si="1">+B4/$B$18</f>
        <v>0.12423320315413686</v>
      </c>
      <c r="D4" s="1948">
        <v>132644</v>
      </c>
      <c r="E4" s="1949">
        <f t="shared" ref="E4:E18" si="2">D4/B4</f>
        <v>0.58131554612825898</v>
      </c>
      <c r="F4" s="1948">
        <v>95535</v>
      </c>
      <c r="G4" s="1543">
        <f t="shared" ref="G4:G18" si="3">+F4/B4</f>
        <v>0.41868445387174102</v>
      </c>
      <c r="H4" s="19"/>
      <c r="M4" s="58"/>
      <c r="N4" s="932"/>
      <c r="O4" s="1544"/>
      <c r="P4" s="1544"/>
      <c r="Q4" s="1544"/>
      <c r="R4" s="50"/>
      <c r="AN4" s="101" t="s">
        <v>119</v>
      </c>
      <c r="AO4" s="101" t="s">
        <v>120</v>
      </c>
      <c r="AP4" s="101" t="s">
        <v>68</v>
      </c>
    </row>
    <row r="5" spans="1:43" ht="20.100000000000001" customHeight="1">
      <c r="A5" s="740" t="s">
        <v>44</v>
      </c>
      <c r="B5" s="1581">
        <f t="shared" si="0"/>
        <v>292600</v>
      </c>
      <c r="C5" s="1542">
        <f t="shared" si="1"/>
        <v>0.15930754032097802</v>
      </c>
      <c r="D5" s="1948">
        <v>165049</v>
      </c>
      <c r="E5" s="1949">
        <f t="shared" si="2"/>
        <v>0.56407723855092273</v>
      </c>
      <c r="F5" s="1948">
        <v>127551</v>
      </c>
      <c r="G5" s="1543">
        <f t="shared" si="3"/>
        <v>0.43592276144907721</v>
      </c>
      <c r="H5" s="19"/>
      <c r="M5" s="58"/>
      <c r="N5" s="932"/>
      <c r="O5" s="741"/>
      <c r="P5" s="741"/>
      <c r="Q5" s="741"/>
      <c r="AN5" s="102" t="s">
        <v>121</v>
      </c>
      <c r="AO5" s="63">
        <v>13968</v>
      </c>
      <c r="AP5" s="63">
        <f>8829*-1</f>
        <v>-8829</v>
      </c>
    </row>
    <row r="6" spans="1:43" ht="20.100000000000001" customHeight="1">
      <c r="A6" s="740" t="s">
        <v>45</v>
      </c>
      <c r="B6" s="1581">
        <f t="shared" si="0"/>
        <v>268997</v>
      </c>
      <c r="C6" s="1542">
        <f t="shared" si="1"/>
        <v>0.14645676836542079</v>
      </c>
      <c r="D6" s="1948">
        <v>147011</v>
      </c>
      <c r="E6" s="1949">
        <f t="shared" si="2"/>
        <v>0.54651538864745708</v>
      </c>
      <c r="F6" s="1948">
        <v>121986</v>
      </c>
      <c r="G6" s="1543">
        <f t="shared" si="3"/>
        <v>0.45348461135254298</v>
      </c>
      <c r="H6" s="19"/>
      <c r="L6" s="173"/>
      <c r="M6" s="58"/>
      <c r="N6" s="932"/>
      <c r="O6" s="934"/>
      <c r="P6" s="934"/>
      <c r="Q6" s="934"/>
      <c r="AN6" s="102" t="s">
        <v>43</v>
      </c>
      <c r="AO6" s="63">
        <v>94691</v>
      </c>
      <c r="AP6" s="63">
        <f>65301*-1</f>
        <v>-65301</v>
      </c>
    </row>
    <row r="7" spans="1:43" ht="20.100000000000001" customHeight="1">
      <c r="A7" s="740" t="s">
        <v>46</v>
      </c>
      <c r="B7" s="1581">
        <f t="shared" si="0"/>
        <v>250078</v>
      </c>
      <c r="C7" s="1542">
        <f t="shared" si="1"/>
        <v>0.13615622374705927</v>
      </c>
      <c r="D7" s="1948">
        <v>134228</v>
      </c>
      <c r="E7" s="1949">
        <f t="shared" si="2"/>
        <v>0.53674453570486014</v>
      </c>
      <c r="F7" s="1948">
        <v>115850</v>
      </c>
      <c r="G7" s="1543">
        <f t="shared" si="3"/>
        <v>0.46325546429513992</v>
      </c>
      <c r="H7" s="19"/>
      <c r="I7" s="933"/>
      <c r="M7" s="58"/>
      <c r="N7" s="932"/>
      <c r="O7" s="932"/>
      <c r="P7" s="932"/>
      <c r="Q7" s="932"/>
      <c r="AN7" s="102" t="s">
        <v>44</v>
      </c>
      <c r="AO7" s="63">
        <v>114856</v>
      </c>
      <c r="AP7" s="63">
        <v>-87226</v>
      </c>
      <c r="AQ7" s="63" t="e">
        <f t="shared" ref="AQ7:AQ19" si="4">AP7*$C$31</f>
        <v>#VALUE!</v>
      </c>
    </row>
    <row r="8" spans="1:43" ht="20.100000000000001" customHeight="1">
      <c r="A8" s="740" t="s">
        <v>47</v>
      </c>
      <c r="B8" s="1581">
        <f t="shared" si="0"/>
        <v>209320</v>
      </c>
      <c r="C8" s="1542">
        <f t="shared" si="1"/>
        <v>0.11396532583727655</v>
      </c>
      <c r="D8" s="1948">
        <v>112791</v>
      </c>
      <c r="E8" s="1949">
        <f t="shared" si="2"/>
        <v>0.53884483088094781</v>
      </c>
      <c r="F8" s="1948">
        <v>96529</v>
      </c>
      <c r="G8" s="1543">
        <f t="shared" si="3"/>
        <v>0.46115516911905219</v>
      </c>
      <c r="H8" s="19"/>
      <c r="I8" s="933"/>
      <c r="M8" s="58"/>
      <c r="O8" s="934"/>
      <c r="AN8" s="102" t="s">
        <v>45</v>
      </c>
      <c r="AO8" s="63">
        <v>110599</v>
      </c>
      <c r="AP8" s="63">
        <v>-88163</v>
      </c>
      <c r="AQ8" s="63" t="e">
        <f t="shared" si="4"/>
        <v>#VALUE!</v>
      </c>
    </row>
    <row r="9" spans="1:43" ht="20.100000000000001" customHeight="1">
      <c r="A9" s="740" t="s">
        <v>48</v>
      </c>
      <c r="B9" s="1581">
        <f t="shared" si="0"/>
        <v>180301</v>
      </c>
      <c r="C9" s="1542">
        <f t="shared" si="1"/>
        <v>9.8165785466208674E-2</v>
      </c>
      <c r="D9" s="1948">
        <v>97738</v>
      </c>
      <c r="E9" s="1949">
        <f t="shared" si="2"/>
        <v>0.54208240664222607</v>
      </c>
      <c r="F9" s="1948">
        <v>82563</v>
      </c>
      <c r="G9" s="1543">
        <f t="shared" si="3"/>
        <v>0.45791759335777393</v>
      </c>
      <c r="H9" s="19"/>
      <c r="I9" s="933"/>
      <c r="M9" s="58"/>
      <c r="O9" s="934"/>
      <c r="AN9" s="102" t="s">
        <v>46</v>
      </c>
      <c r="AO9" s="63">
        <v>94068</v>
      </c>
      <c r="AP9" s="63">
        <v>-78209</v>
      </c>
      <c r="AQ9" s="63" t="e">
        <f t="shared" si="4"/>
        <v>#VALUE!</v>
      </c>
    </row>
    <row r="10" spans="1:43" ht="20.100000000000001" customHeight="1">
      <c r="A10" s="740" t="s">
        <v>49</v>
      </c>
      <c r="B10" s="1581">
        <f t="shared" si="0"/>
        <v>143710</v>
      </c>
      <c r="C10" s="1542">
        <f t="shared" si="1"/>
        <v>7.8243631645686096E-2</v>
      </c>
      <c r="D10" s="1948">
        <v>79678</v>
      </c>
      <c r="E10" s="1949">
        <f t="shared" si="2"/>
        <v>0.55443601697863754</v>
      </c>
      <c r="F10" s="1948">
        <v>64032</v>
      </c>
      <c r="G10" s="1543">
        <f t="shared" si="3"/>
        <v>0.44556398302136246</v>
      </c>
      <c r="H10" s="19"/>
      <c r="I10" s="933"/>
      <c r="M10" s="58"/>
      <c r="AN10" s="102" t="s">
        <v>47</v>
      </c>
      <c r="AO10" s="63">
        <v>82896</v>
      </c>
      <c r="AP10" s="63">
        <v>-70646</v>
      </c>
      <c r="AQ10" s="63" t="e">
        <f t="shared" si="4"/>
        <v>#VALUE!</v>
      </c>
    </row>
    <row r="11" spans="1:43" ht="20.100000000000001" customHeight="1">
      <c r="A11" s="740" t="s">
        <v>50</v>
      </c>
      <c r="B11" s="1581">
        <f t="shared" si="0"/>
        <v>100450</v>
      </c>
      <c r="C11" s="1542">
        <f t="shared" si="1"/>
        <v>5.4690507263302261E-2</v>
      </c>
      <c r="D11" s="1948">
        <v>57605</v>
      </c>
      <c r="E11" s="1949">
        <f t="shared" si="2"/>
        <v>0.57346938775510203</v>
      </c>
      <c r="F11" s="1948">
        <v>42845</v>
      </c>
      <c r="G11" s="1543">
        <f t="shared" si="3"/>
        <v>0.42653061224489797</v>
      </c>
      <c r="H11" s="19"/>
      <c r="I11" s="933"/>
      <c r="M11" s="58"/>
      <c r="AN11" s="102" t="s">
        <v>48</v>
      </c>
      <c r="AO11" s="63">
        <v>68381</v>
      </c>
      <c r="AP11" s="63">
        <v>-56998</v>
      </c>
      <c r="AQ11" s="63" t="e">
        <f t="shared" si="4"/>
        <v>#VALUE!</v>
      </c>
    </row>
    <row r="12" spans="1:43" ht="20.100000000000001" customHeight="1">
      <c r="A12" s="740" t="s">
        <v>51</v>
      </c>
      <c r="B12" s="1581">
        <f t="shared" si="0"/>
        <v>65648</v>
      </c>
      <c r="C12" s="1542">
        <f t="shared" si="1"/>
        <v>3.5742383482541232E-2</v>
      </c>
      <c r="D12" s="1948">
        <v>39674</v>
      </c>
      <c r="E12" s="1949">
        <f t="shared" si="2"/>
        <v>0.60434438215939557</v>
      </c>
      <c r="F12" s="1948">
        <v>25974</v>
      </c>
      <c r="G12" s="1543">
        <f t="shared" si="3"/>
        <v>0.39565561784060443</v>
      </c>
      <c r="H12" s="19"/>
      <c r="I12" s="933"/>
      <c r="M12" s="58"/>
      <c r="AN12" s="102" t="s">
        <v>49</v>
      </c>
      <c r="AO12" s="63">
        <v>53231</v>
      </c>
      <c r="AP12" s="63">
        <v>-40454</v>
      </c>
      <c r="AQ12" s="63" t="e">
        <f t="shared" si="4"/>
        <v>#VALUE!</v>
      </c>
    </row>
    <row r="13" spans="1:43" ht="20.100000000000001" customHeight="1">
      <c r="A13" s="740" t="s">
        <v>122</v>
      </c>
      <c r="B13" s="1581">
        <f t="shared" si="0"/>
        <v>36042</v>
      </c>
      <c r="C13" s="1542">
        <f t="shared" si="1"/>
        <v>1.9623248011786363E-2</v>
      </c>
      <c r="D13" s="1948">
        <v>22813</v>
      </c>
      <c r="E13" s="1949">
        <f t="shared" si="2"/>
        <v>0.63295599578269801</v>
      </c>
      <c r="F13" s="1948">
        <v>13229</v>
      </c>
      <c r="G13" s="1543">
        <f t="shared" si="3"/>
        <v>0.36704400421730204</v>
      </c>
      <c r="H13" s="19"/>
      <c r="I13" s="933"/>
      <c r="L13" s="94"/>
      <c r="M13" s="58"/>
      <c r="AN13" s="102" t="s">
        <v>50</v>
      </c>
      <c r="AO13" s="63">
        <v>39299</v>
      </c>
      <c r="AP13" s="63">
        <v>-25509</v>
      </c>
      <c r="AQ13" s="63" t="e">
        <f t="shared" si="4"/>
        <v>#VALUE!</v>
      </c>
    </row>
    <row r="14" spans="1:43" ht="20.100000000000001" customHeight="1">
      <c r="A14" s="740" t="s">
        <v>123</v>
      </c>
      <c r="B14" s="1581">
        <f t="shared" si="0"/>
        <v>17652</v>
      </c>
      <c r="C14" s="1542">
        <f t="shared" si="1"/>
        <v>9.6107201016606431E-3</v>
      </c>
      <c r="D14" s="1948">
        <v>11770</v>
      </c>
      <c r="E14" s="1949">
        <f t="shared" si="2"/>
        <v>0.66677996827554953</v>
      </c>
      <c r="F14" s="1948">
        <v>5882</v>
      </c>
      <c r="G14" s="1543">
        <f t="shared" si="3"/>
        <v>0.33322003172445047</v>
      </c>
      <c r="H14" s="19"/>
      <c r="I14" s="933"/>
      <c r="L14" s="94"/>
      <c r="M14" s="58"/>
      <c r="AN14" s="102" t="s">
        <v>51</v>
      </c>
      <c r="AO14" s="63">
        <v>25049</v>
      </c>
      <c r="AP14" s="63">
        <v>-13161</v>
      </c>
      <c r="AQ14" s="63" t="e">
        <f t="shared" si="4"/>
        <v>#VALUE!</v>
      </c>
    </row>
    <row r="15" spans="1:43" ht="20.100000000000001" customHeight="1">
      <c r="A15" s="740" t="s">
        <v>124</v>
      </c>
      <c r="B15" s="1581">
        <f t="shared" si="0"/>
        <v>9456</v>
      </c>
      <c r="C15" s="1542">
        <f t="shared" si="1"/>
        <v>5.1483667165931925E-3</v>
      </c>
      <c r="D15" s="1948">
        <v>6287</v>
      </c>
      <c r="E15" s="1949">
        <f t="shared" si="2"/>
        <v>0.66486886632825715</v>
      </c>
      <c r="F15" s="1948">
        <v>3169</v>
      </c>
      <c r="G15" s="1543">
        <f t="shared" si="3"/>
        <v>0.3351311336717428</v>
      </c>
      <c r="H15" s="19"/>
      <c r="I15" s="933"/>
      <c r="L15" s="94"/>
      <c r="M15" s="58"/>
      <c r="AN15" s="102" t="s">
        <v>122</v>
      </c>
      <c r="AO15" s="63">
        <v>13405</v>
      </c>
      <c r="AP15" s="63">
        <v>-5601</v>
      </c>
      <c r="AQ15" s="63" t="e">
        <f t="shared" si="4"/>
        <v>#VALUE!</v>
      </c>
    </row>
    <row r="16" spans="1:43" ht="20.100000000000001" customHeight="1">
      <c r="A16" s="740" t="s">
        <v>125</v>
      </c>
      <c r="B16" s="1581">
        <f t="shared" si="0"/>
        <v>4473</v>
      </c>
      <c r="C16" s="1542">
        <f t="shared" si="1"/>
        <v>2.4353473269163864E-3</v>
      </c>
      <c r="D16" s="1948">
        <v>2944</v>
      </c>
      <c r="E16" s="1949">
        <f t="shared" si="2"/>
        <v>0.65817124972054553</v>
      </c>
      <c r="F16" s="1948">
        <v>1529</v>
      </c>
      <c r="G16" s="1543">
        <f t="shared" si="3"/>
        <v>0.34182875027945453</v>
      </c>
      <c r="H16" s="19"/>
      <c r="I16" s="933"/>
      <c r="L16" s="94"/>
      <c r="M16" s="39"/>
      <c r="AN16" s="102" t="s">
        <v>123</v>
      </c>
      <c r="AO16" s="63">
        <v>7875</v>
      </c>
      <c r="AP16" s="63">
        <v>-2898</v>
      </c>
      <c r="AQ16" s="63" t="e">
        <f t="shared" si="4"/>
        <v>#VALUE!</v>
      </c>
    </row>
    <row r="17" spans="1:43" ht="20.100000000000001" customHeight="1">
      <c r="A17" s="740" t="s">
        <v>126</v>
      </c>
      <c r="B17" s="1581">
        <f t="shared" si="0"/>
        <v>2968</v>
      </c>
      <c r="C17" s="1542">
        <f t="shared" si="1"/>
        <v>1.6159425142606382E-3</v>
      </c>
      <c r="D17" s="1948">
        <v>1972</v>
      </c>
      <c r="E17" s="1949">
        <f t="shared" si="2"/>
        <v>0.66442048517520214</v>
      </c>
      <c r="F17" s="1948">
        <v>996</v>
      </c>
      <c r="G17" s="1543">
        <f t="shared" si="3"/>
        <v>0.33557951482479786</v>
      </c>
      <c r="H17" s="19"/>
      <c r="I17" s="933"/>
      <c r="L17" s="94"/>
      <c r="M17" s="39"/>
      <c r="AN17" s="102" t="s">
        <v>124</v>
      </c>
      <c r="AO17" s="63">
        <v>3939</v>
      </c>
      <c r="AP17" s="63">
        <v>-1434</v>
      </c>
      <c r="AQ17" s="63" t="e">
        <f t="shared" si="4"/>
        <v>#VALUE!</v>
      </c>
    </row>
    <row r="18" spans="1:43" ht="23.25" customHeight="1">
      <c r="A18" s="742" t="s">
        <v>23</v>
      </c>
      <c r="B18" s="1619">
        <f>SUM(B3:B17)</f>
        <v>1836699</v>
      </c>
      <c r="C18" s="1615">
        <f>SUM(C3:C17)</f>
        <v>1</v>
      </c>
      <c r="D18" s="1616">
        <f>SUM(D3:D17)</f>
        <v>1028244</v>
      </c>
      <c r="E18" s="1617">
        <f t="shared" si="2"/>
        <v>0.55983261274710772</v>
      </c>
      <c r="F18" s="1616">
        <f>SUM(F3:F17)</f>
        <v>808455</v>
      </c>
      <c r="G18" s="1618">
        <f t="shared" si="3"/>
        <v>0.44016738725289228</v>
      </c>
      <c r="H18" s="19"/>
      <c r="I18" s="61"/>
      <c r="J18" s="61"/>
      <c r="L18" s="94"/>
      <c r="AN18" s="102" t="s">
        <v>125</v>
      </c>
      <c r="AO18" s="63">
        <v>1841</v>
      </c>
      <c r="AP18" s="63">
        <v>-673</v>
      </c>
      <c r="AQ18" s="63" t="e">
        <f t="shared" si="4"/>
        <v>#VALUE!</v>
      </c>
    </row>
    <row r="19" spans="1:43">
      <c r="A19" s="23"/>
      <c r="B19" s="23"/>
      <c r="C19" s="23"/>
      <c r="D19" s="23"/>
      <c r="E19" s="23"/>
      <c r="F19" s="23"/>
      <c r="G19" s="23"/>
      <c r="H19" s="23"/>
      <c r="I19" s="61"/>
      <c r="J19" s="60"/>
      <c r="L19" s="59"/>
      <c r="M19" s="39"/>
      <c r="AN19" s="102" t="s">
        <v>126</v>
      </c>
      <c r="AO19" s="63">
        <v>855</v>
      </c>
      <c r="AP19" s="63">
        <v>-303</v>
      </c>
      <c r="AQ19" s="63" t="e">
        <f t="shared" si="4"/>
        <v>#VALUE!</v>
      </c>
    </row>
    <row r="20" spans="1:43">
      <c r="B20" s="23"/>
      <c r="C20" s="23"/>
      <c r="D20" s="23"/>
      <c r="E20" s="23"/>
      <c r="F20" s="23"/>
      <c r="G20" s="23"/>
      <c r="H20" s="23"/>
      <c r="I20" s="61"/>
      <c r="J20" s="38"/>
      <c r="L20" s="38"/>
      <c r="M20" s="38"/>
      <c r="AN20" s="102" t="s">
        <v>23</v>
      </c>
      <c r="AO20" s="64">
        <f>SUM(AO5:AO19)</f>
        <v>724953</v>
      </c>
      <c r="AP20" s="64">
        <f>SUM(AP5:AP19)</f>
        <v>-545405</v>
      </c>
    </row>
    <row r="21" spans="1:43">
      <c r="B21" s="23"/>
      <c r="C21" s="23"/>
      <c r="D21" s="23"/>
      <c r="E21" s="23"/>
      <c r="F21" s="23"/>
      <c r="G21" s="23"/>
      <c r="H21" s="23"/>
      <c r="I21" s="23"/>
      <c r="J21" s="23"/>
      <c r="L21" s="23"/>
      <c r="M21" s="23"/>
    </row>
    <row r="22" spans="1:43">
      <c r="B22" s="23"/>
      <c r="C22" s="23"/>
      <c r="D22" s="23"/>
      <c r="E22" s="23"/>
      <c r="F22" s="23"/>
      <c r="G22" s="23"/>
      <c r="H22" s="23"/>
      <c r="I22" s="23"/>
      <c r="J22" s="23"/>
      <c r="K22" s="23"/>
      <c r="L22" s="23"/>
      <c r="M22" s="23"/>
    </row>
    <row r="23" spans="1:43">
      <c r="B23" s="23"/>
      <c r="C23" s="23"/>
      <c r="D23" s="23"/>
      <c r="E23" s="23"/>
      <c r="F23" s="23"/>
      <c r="G23" s="23"/>
      <c r="H23" s="23"/>
      <c r="I23" s="23"/>
      <c r="J23" s="23"/>
      <c r="K23" s="23"/>
      <c r="L23" s="23"/>
      <c r="M23" s="23"/>
    </row>
    <row r="24" spans="1:43">
      <c r="B24" s="23"/>
      <c r="C24" s="23"/>
      <c r="D24" s="23"/>
      <c r="E24" s="23"/>
      <c r="F24" s="23"/>
      <c r="G24" s="23"/>
      <c r="H24" s="23"/>
      <c r="I24" s="23"/>
      <c r="J24" s="23"/>
      <c r="K24" s="23"/>
      <c r="L24" s="23"/>
      <c r="M24" s="23"/>
    </row>
    <row r="25" spans="1:43">
      <c r="B25" s="23"/>
      <c r="C25" s="23"/>
      <c r="D25" s="23"/>
      <c r="E25" s="23"/>
      <c r="F25" s="23"/>
      <c r="G25" s="23"/>
      <c r="H25" s="23"/>
      <c r="I25" s="23"/>
      <c r="J25" s="23"/>
      <c r="K25" s="23"/>
      <c r="L25" s="23"/>
      <c r="M25" s="23"/>
    </row>
    <row r="26" spans="1:43">
      <c r="B26" s="23"/>
      <c r="C26" s="23"/>
      <c r="D26" s="23"/>
      <c r="E26" s="23"/>
      <c r="F26" s="23"/>
      <c r="G26" s="23"/>
      <c r="H26" s="23"/>
      <c r="I26" s="23"/>
      <c r="J26" s="23"/>
      <c r="K26" s="23"/>
      <c r="L26" s="23"/>
      <c r="M26" s="23"/>
    </row>
    <row r="27" spans="1:43">
      <c r="B27" s="23"/>
      <c r="G27" s="23"/>
      <c r="H27" s="23"/>
      <c r="I27" s="23"/>
      <c r="J27" s="23"/>
      <c r="K27" s="23"/>
      <c r="L27" s="23"/>
      <c r="M27" s="23"/>
    </row>
    <row r="28" spans="1:43">
      <c r="B28" s="23"/>
      <c r="C28" s="2148" t="s">
        <v>119</v>
      </c>
      <c r="G28" s="23"/>
      <c r="H28" s="23"/>
      <c r="I28" s="23"/>
      <c r="J28" s="23"/>
      <c r="K28" s="23"/>
      <c r="L28" s="23"/>
      <c r="M28" s="23"/>
    </row>
    <row r="29" spans="1:43" ht="15.75">
      <c r="B29" s="23"/>
      <c r="C29" s="2149"/>
      <c r="D29" s="130" t="s">
        <v>68</v>
      </c>
      <c r="E29" s="196" t="s">
        <v>120</v>
      </c>
      <c r="G29" s="23"/>
      <c r="H29" s="23"/>
      <c r="I29" s="23"/>
      <c r="J29" s="23"/>
      <c r="K29" s="23"/>
      <c r="L29" s="23"/>
      <c r="M29" s="23"/>
    </row>
    <row r="30" spans="1:43" ht="15.75">
      <c r="B30" s="23"/>
      <c r="C30" s="137" t="s">
        <v>121</v>
      </c>
      <c r="D30" s="133">
        <f t="shared" ref="D30:D44" si="5">F3*-1</f>
        <v>-10785</v>
      </c>
      <c r="E30" s="131">
        <f t="shared" ref="E30:E44" si="6">+D3</f>
        <v>16040</v>
      </c>
      <c r="G30" s="23"/>
      <c r="H30" s="23"/>
      <c r="I30" s="23"/>
      <c r="J30" s="23"/>
      <c r="K30" s="23"/>
      <c r="L30" s="23"/>
      <c r="M30" s="23"/>
    </row>
    <row r="31" spans="1:43" ht="15.75">
      <c r="B31" s="23"/>
      <c r="C31" s="137" t="s">
        <v>43</v>
      </c>
      <c r="D31" s="133">
        <f t="shared" si="5"/>
        <v>-95535</v>
      </c>
      <c r="E31" s="131">
        <f t="shared" si="6"/>
        <v>132644</v>
      </c>
      <c r="G31" s="23"/>
      <c r="H31" s="23"/>
      <c r="I31" s="23"/>
      <c r="J31" s="23"/>
      <c r="K31" s="23"/>
      <c r="L31" s="23"/>
      <c r="M31" s="23"/>
    </row>
    <row r="32" spans="1:43" ht="15.75">
      <c r="B32" s="23"/>
      <c r="C32" s="137" t="s">
        <v>44</v>
      </c>
      <c r="D32" s="133">
        <f t="shared" si="5"/>
        <v>-127551</v>
      </c>
      <c r="E32" s="131">
        <f t="shared" si="6"/>
        <v>165049</v>
      </c>
      <c r="G32" s="23"/>
      <c r="H32" s="23"/>
      <c r="I32" s="23"/>
      <c r="J32" s="23"/>
      <c r="K32" s="23"/>
      <c r="L32" s="23"/>
      <c r="M32" s="23"/>
    </row>
    <row r="33" spans="2:36" ht="15.75">
      <c r="B33" s="23"/>
      <c r="C33" s="137" t="s">
        <v>45</v>
      </c>
      <c r="D33" s="133">
        <f t="shared" si="5"/>
        <v>-121986</v>
      </c>
      <c r="E33" s="131">
        <f t="shared" si="6"/>
        <v>147011</v>
      </c>
      <c r="G33" s="23"/>
      <c r="H33" s="23"/>
      <c r="I33" s="23"/>
      <c r="J33" s="23"/>
      <c r="K33" s="23"/>
      <c r="L33" s="23"/>
      <c r="M33" s="23"/>
    </row>
    <row r="34" spans="2:36" ht="15.75">
      <c r="B34" s="23"/>
      <c r="C34" s="137" t="s">
        <v>46</v>
      </c>
      <c r="D34" s="133">
        <f t="shared" si="5"/>
        <v>-115850</v>
      </c>
      <c r="E34" s="131">
        <f t="shared" si="6"/>
        <v>134228</v>
      </c>
      <c r="G34" s="23"/>
      <c r="H34" s="23"/>
      <c r="I34" s="23"/>
      <c r="J34" s="23"/>
      <c r="K34" s="23"/>
      <c r="L34" s="23"/>
      <c r="M34" s="23"/>
      <c r="N34" s="61"/>
      <c r="O34" s="61"/>
      <c r="P34" s="61"/>
      <c r="Q34" s="61"/>
      <c r="R34" s="61"/>
      <c r="S34" s="61"/>
      <c r="T34" s="61"/>
      <c r="U34" s="61"/>
      <c r="V34" s="61"/>
      <c r="W34" s="61"/>
      <c r="X34" s="61"/>
      <c r="Y34" s="61"/>
      <c r="Z34" s="61"/>
      <c r="AA34" s="61"/>
      <c r="AB34" s="61"/>
      <c r="AC34" s="61"/>
      <c r="AD34" s="61"/>
      <c r="AE34" s="61"/>
      <c r="AF34" s="61"/>
      <c r="AG34" s="61"/>
      <c r="AH34" s="61"/>
      <c r="AI34" s="24"/>
      <c r="AJ34" s="24"/>
    </row>
    <row r="35" spans="2:36" ht="15.75">
      <c r="B35" s="23"/>
      <c r="C35" s="137" t="s">
        <v>47</v>
      </c>
      <c r="D35" s="133">
        <f t="shared" si="5"/>
        <v>-96529</v>
      </c>
      <c r="E35" s="131">
        <f t="shared" si="6"/>
        <v>112791</v>
      </c>
      <c r="G35" s="23"/>
      <c r="H35" s="23"/>
      <c r="I35" s="23"/>
      <c r="J35" s="23"/>
      <c r="K35" s="23"/>
      <c r="L35" s="23"/>
      <c r="M35" s="23"/>
      <c r="N35" s="61"/>
      <c r="O35" s="61"/>
      <c r="P35" s="61"/>
      <c r="Q35" s="61"/>
      <c r="R35" s="61"/>
      <c r="S35" s="61"/>
      <c r="T35" s="61"/>
      <c r="U35" s="61"/>
      <c r="V35" s="61"/>
      <c r="W35" s="61"/>
      <c r="X35" s="61"/>
      <c r="Y35" s="61"/>
      <c r="Z35" s="61"/>
      <c r="AA35" s="61"/>
      <c r="AB35" s="61"/>
      <c r="AC35" s="61"/>
      <c r="AD35" s="61"/>
      <c r="AE35" s="61"/>
      <c r="AF35" s="61"/>
      <c r="AG35" s="61"/>
      <c r="AH35" s="61"/>
      <c r="AI35" s="24"/>
      <c r="AJ35" s="24"/>
    </row>
    <row r="36" spans="2:36" ht="15.75">
      <c r="B36" s="23"/>
      <c r="C36" s="137" t="s">
        <v>48</v>
      </c>
      <c r="D36" s="133">
        <f t="shared" si="5"/>
        <v>-82563</v>
      </c>
      <c r="E36" s="131">
        <f t="shared" si="6"/>
        <v>97738</v>
      </c>
      <c r="G36" s="23"/>
      <c r="H36" s="23"/>
      <c r="I36" s="23"/>
      <c r="J36" s="23"/>
      <c r="K36" s="23"/>
      <c r="L36" s="23"/>
      <c r="M36" s="23"/>
      <c r="N36" s="61"/>
      <c r="O36" s="61"/>
      <c r="P36" s="61"/>
      <c r="Q36" s="61"/>
      <c r="R36" s="61"/>
      <c r="S36" s="61"/>
      <c r="T36" s="61"/>
      <c r="U36" s="61"/>
      <c r="V36" s="61"/>
      <c r="W36" s="61"/>
      <c r="X36" s="61"/>
      <c r="Y36" s="61"/>
      <c r="Z36" s="61"/>
      <c r="AA36" s="61"/>
      <c r="AB36" s="61"/>
      <c r="AC36" s="61"/>
      <c r="AD36" s="61"/>
      <c r="AE36" s="61"/>
      <c r="AF36" s="61"/>
      <c r="AG36" s="61"/>
      <c r="AH36" s="61"/>
      <c r="AI36" s="24"/>
      <c r="AJ36" s="24"/>
    </row>
    <row r="37" spans="2:36" ht="15.75">
      <c r="B37" s="23"/>
      <c r="C37" s="137" t="s">
        <v>49</v>
      </c>
      <c r="D37" s="133">
        <f t="shared" si="5"/>
        <v>-64032</v>
      </c>
      <c r="E37" s="131">
        <f t="shared" si="6"/>
        <v>79678</v>
      </c>
      <c r="G37" s="23"/>
      <c r="H37" s="23"/>
      <c r="I37" s="23"/>
      <c r="J37" s="23"/>
      <c r="K37" s="23"/>
      <c r="L37" s="23"/>
      <c r="M37" s="23"/>
      <c r="N37" s="61"/>
      <c r="O37" s="61"/>
      <c r="P37" s="61"/>
      <c r="Q37" s="61"/>
      <c r="R37" s="61"/>
      <c r="S37" s="61"/>
      <c r="T37" s="61"/>
      <c r="U37" s="61"/>
      <c r="V37" s="61"/>
      <c r="W37" s="61"/>
      <c r="X37" s="61"/>
      <c r="Y37" s="61"/>
      <c r="Z37" s="61"/>
      <c r="AA37" s="61"/>
      <c r="AB37" s="61"/>
      <c r="AC37" s="61"/>
      <c r="AD37" s="61"/>
      <c r="AE37" s="61"/>
      <c r="AF37" s="61"/>
      <c r="AG37" s="61"/>
      <c r="AH37" s="61"/>
      <c r="AI37" s="24"/>
      <c r="AJ37" s="24"/>
    </row>
    <row r="38" spans="2:36" ht="15.75">
      <c r="B38" s="23"/>
      <c r="C38" s="137" t="s">
        <v>50</v>
      </c>
      <c r="D38" s="133">
        <f t="shared" si="5"/>
        <v>-42845</v>
      </c>
      <c r="E38" s="131">
        <f t="shared" si="6"/>
        <v>57605</v>
      </c>
      <c r="G38" s="23"/>
      <c r="H38" s="23"/>
      <c r="I38" s="23"/>
      <c r="J38" s="23"/>
      <c r="K38" s="23"/>
      <c r="L38" s="23"/>
      <c r="M38" s="23"/>
      <c r="N38" s="61"/>
      <c r="O38" s="61"/>
      <c r="P38" s="61"/>
      <c r="Q38" s="61"/>
      <c r="R38" s="61"/>
      <c r="S38" s="61"/>
      <c r="T38" s="61"/>
      <c r="U38" s="61"/>
      <c r="V38" s="61"/>
      <c r="W38" s="61"/>
      <c r="X38" s="61"/>
      <c r="Y38" s="61"/>
      <c r="Z38" s="61"/>
      <c r="AA38" s="61"/>
      <c r="AB38" s="61"/>
      <c r="AC38" s="61"/>
      <c r="AD38" s="61"/>
      <c r="AE38" s="61"/>
      <c r="AF38" s="61"/>
      <c r="AG38" s="61"/>
      <c r="AH38" s="61"/>
      <c r="AI38" s="24"/>
      <c r="AJ38" s="24"/>
    </row>
    <row r="39" spans="2:36" ht="15.75">
      <c r="B39" s="23"/>
      <c r="C39" s="137" t="s">
        <v>51</v>
      </c>
      <c r="D39" s="133">
        <f t="shared" si="5"/>
        <v>-25974</v>
      </c>
      <c r="E39" s="131">
        <f t="shared" si="6"/>
        <v>39674</v>
      </c>
      <c r="G39" s="23"/>
      <c r="H39" s="23"/>
      <c r="I39" s="23"/>
      <c r="J39" s="23"/>
      <c r="K39" s="23"/>
      <c r="L39" s="23"/>
      <c r="M39" s="23"/>
      <c r="N39" s="61"/>
      <c r="O39" s="61"/>
      <c r="P39" s="61"/>
      <c r="Q39" s="61"/>
      <c r="R39" s="61"/>
      <c r="S39" s="61"/>
      <c r="T39" s="61"/>
      <c r="U39" s="61"/>
      <c r="V39" s="61"/>
      <c r="W39" s="61"/>
      <c r="X39" s="61"/>
      <c r="Y39" s="61"/>
      <c r="Z39" s="61"/>
      <c r="AA39" s="61"/>
      <c r="AB39" s="61"/>
      <c r="AC39" s="61"/>
      <c r="AD39" s="61"/>
      <c r="AE39" s="61"/>
      <c r="AF39" s="61"/>
      <c r="AG39" s="61"/>
      <c r="AH39" s="61"/>
      <c r="AI39" s="24"/>
      <c r="AJ39" s="24"/>
    </row>
    <row r="40" spans="2:36" ht="15.75">
      <c r="B40" s="23"/>
      <c r="C40" s="137" t="s">
        <v>122</v>
      </c>
      <c r="D40" s="133">
        <f t="shared" si="5"/>
        <v>-13229</v>
      </c>
      <c r="E40" s="131">
        <f t="shared" si="6"/>
        <v>22813</v>
      </c>
      <c r="G40" s="23"/>
      <c r="H40" s="23"/>
      <c r="I40" s="23"/>
      <c r="J40" s="23"/>
      <c r="K40" s="23"/>
      <c r="L40" s="23"/>
      <c r="M40" s="23"/>
      <c r="N40" s="61"/>
      <c r="O40" s="61"/>
      <c r="P40" s="61"/>
      <c r="Q40" s="61"/>
      <c r="R40" s="61"/>
      <c r="S40" s="61"/>
      <c r="T40" s="61"/>
      <c r="U40" s="61"/>
      <c r="V40" s="61"/>
      <c r="W40" s="61"/>
      <c r="X40" s="61"/>
      <c r="Y40" s="61"/>
      <c r="Z40" s="61"/>
      <c r="AA40" s="61"/>
      <c r="AB40" s="61"/>
      <c r="AC40" s="61"/>
      <c r="AD40" s="61"/>
      <c r="AE40" s="61"/>
      <c r="AF40" s="61"/>
      <c r="AG40" s="61"/>
      <c r="AH40" s="61"/>
      <c r="AI40" s="24"/>
      <c r="AJ40" s="24"/>
    </row>
    <row r="41" spans="2:36" ht="15.75">
      <c r="B41" s="23"/>
      <c r="C41" s="137" t="s">
        <v>123</v>
      </c>
      <c r="D41" s="133">
        <f t="shared" si="5"/>
        <v>-5882</v>
      </c>
      <c r="E41" s="131">
        <f t="shared" si="6"/>
        <v>11770</v>
      </c>
      <c r="G41" s="23"/>
      <c r="H41" s="23"/>
      <c r="I41" s="23"/>
      <c r="J41" s="23"/>
      <c r="K41" s="23"/>
      <c r="L41" s="23"/>
      <c r="M41" s="23"/>
      <c r="N41" s="61"/>
      <c r="O41" s="61"/>
      <c r="P41" s="61"/>
      <c r="Q41" s="61"/>
      <c r="R41" s="61"/>
      <c r="S41" s="61"/>
      <c r="T41" s="61"/>
      <c r="U41" s="61"/>
      <c r="V41" s="61"/>
      <c r="W41" s="61"/>
      <c r="X41" s="61"/>
      <c r="Y41" s="61"/>
      <c r="Z41" s="61"/>
      <c r="AA41" s="61"/>
      <c r="AB41" s="61"/>
      <c r="AC41" s="61"/>
      <c r="AD41" s="61"/>
      <c r="AE41" s="61"/>
      <c r="AF41" s="61"/>
      <c r="AG41" s="61"/>
      <c r="AH41" s="61"/>
      <c r="AI41" s="24"/>
      <c r="AJ41" s="24"/>
    </row>
    <row r="42" spans="2:36" ht="15.75">
      <c r="B42" s="23"/>
      <c r="C42" s="137" t="s">
        <v>124</v>
      </c>
      <c r="D42" s="133">
        <f t="shared" si="5"/>
        <v>-3169</v>
      </c>
      <c r="E42" s="131">
        <f t="shared" si="6"/>
        <v>6287</v>
      </c>
      <c r="G42" s="23"/>
      <c r="H42" s="23"/>
      <c r="I42" s="23"/>
      <c r="J42" s="23"/>
      <c r="K42" s="23"/>
      <c r="L42" s="23"/>
      <c r="M42" s="23"/>
      <c r="N42" s="61"/>
      <c r="O42" s="61"/>
      <c r="P42" s="61"/>
      <c r="Q42" s="61"/>
      <c r="R42" s="61"/>
      <c r="S42" s="61"/>
      <c r="T42" s="61"/>
      <c r="U42" s="61"/>
      <c r="V42" s="61"/>
      <c r="W42" s="61"/>
      <c r="X42" s="61"/>
      <c r="Y42" s="61"/>
      <c r="Z42" s="61"/>
      <c r="AA42" s="61"/>
      <c r="AB42" s="61"/>
      <c r="AC42" s="61"/>
      <c r="AD42" s="61"/>
      <c r="AE42" s="61"/>
      <c r="AF42" s="61"/>
      <c r="AG42" s="61"/>
      <c r="AH42" s="61"/>
      <c r="AI42" s="24"/>
      <c r="AJ42" s="24"/>
    </row>
    <row r="43" spans="2:36" ht="15.75">
      <c r="B43" s="23"/>
      <c r="C43" s="137" t="s">
        <v>125</v>
      </c>
      <c r="D43" s="133">
        <f t="shared" si="5"/>
        <v>-1529</v>
      </c>
      <c r="E43" s="131">
        <f t="shared" si="6"/>
        <v>2944</v>
      </c>
      <c r="G43" s="23"/>
      <c r="H43" s="23"/>
      <c r="I43" s="23"/>
      <c r="J43" s="23"/>
      <c r="K43" s="23"/>
      <c r="L43" s="23"/>
      <c r="M43" s="23"/>
      <c r="N43" s="61"/>
      <c r="O43" s="61"/>
      <c r="P43" s="61"/>
      <c r="Q43" s="61"/>
      <c r="R43" s="61"/>
      <c r="S43" s="61"/>
      <c r="T43" s="61"/>
      <c r="U43" s="61"/>
      <c r="V43" s="61"/>
      <c r="W43" s="61"/>
      <c r="X43" s="61"/>
      <c r="Y43" s="61"/>
      <c r="Z43" s="61"/>
      <c r="AA43" s="61"/>
      <c r="AB43" s="61"/>
      <c r="AC43" s="61"/>
      <c r="AD43" s="61"/>
      <c r="AE43" s="61"/>
      <c r="AF43" s="61"/>
      <c r="AG43" s="61"/>
      <c r="AH43" s="61"/>
      <c r="AI43" s="24"/>
      <c r="AJ43" s="24"/>
    </row>
    <row r="44" spans="2:36" ht="15.75">
      <c r="B44" s="23"/>
      <c r="C44" s="137" t="s">
        <v>126</v>
      </c>
      <c r="D44" s="133">
        <f t="shared" si="5"/>
        <v>-996</v>
      </c>
      <c r="E44" s="131">
        <f t="shared" si="6"/>
        <v>1972</v>
      </c>
      <c r="G44" s="23"/>
      <c r="H44" s="23"/>
      <c r="I44" s="23"/>
      <c r="J44" s="23"/>
      <c r="K44" s="23"/>
      <c r="L44" s="23"/>
      <c r="M44" s="23"/>
      <c r="N44" s="61"/>
      <c r="O44" s="61"/>
      <c r="P44" s="61"/>
      <c r="Q44" s="61"/>
      <c r="R44" s="61"/>
      <c r="S44" s="61"/>
      <c r="T44" s="61"/>
      <c r="U44" s="61"/>
      <c r="V44" s="61"/>
      <c r="W44" s="61"/>
      <c r="X44" s="61"/>
      <c r="Y44" s="61"/>
      <c r="Z44" s="61"/>
      <c r="AA44" s="61"/>
      <c r="AB44" s="61"/>
      <c r="AC44" s="61"/>
      <c r="AD44" s="61"/>
      <c r="AE44" s="61"/>
      <c r="AF44" s="61"/>
      <c r="AG44" s="61"/>
      <c r="AH44" s="61"/>
      <c r="AI44" s="24"/>
      <c r="AJ44" s="24"/>
    </row>
    <row r="45" spans="2:36">
      <c r="B45" s="23"/>
      <c r="G45" s="23"/>
      <c r="H45" s="23"/>
      <c r="I45" s="23"/>
      <c r="J45" s="23"/>
      <c r="K45" s="23"/>
      <c r="L45" s="23"/>
      <c r="M45" s="23"/>
      <c r="N45" s="61"/>
      <c r="O45" s="61"/>
      <c r="P45" s="61"/>
      <c r="Q45" s="61"/>
      <c r="R45" s="61"/>
      <c r="S45" s="61"/>
      <c r="T45" s="61"/>
      <c r="U45" s="61"/>
      <c r="V45" s="61"/>
      <c r="W45" s="61"/>
      <c r="X45" s="61"/>
      <c r="Y45" s="61"/>
      <c r="Z45" s="61"/>
      <c r="AA45" s="61"/>
      <c r="AB45" s="61"/>
      <c r="AC45" s="61"/>
      <c r="AD45" s="61"/>
      <c r="AE45" s="61"/>
      <c r="AF45" s="61"/>
      <c r="AG45" s="61"/>
      <c r="AH45" s="61"/>
      <c r="AI45" s="24"/>
      <c r="AJ45" s="24"/>
    </row>
    <row r="46" spans="2:36">
      <c r="N46" s="61"/>
      <c r="O46" s="61"/>
      <c r="P46" s="61"/>
      <c r="Q46" s="61"/>
      <c r="R46" s="61"/>
      <c r="S46" s="61"/>
      <c r="T46" s="61"/>
      <c r="U46" s="61"/>
      <c r="V46" s="61"/>
      <c r="W46" s="61"/>
      <c r="X46" s="61"/>
      <c r="Y46" s="61"/>
      <c r="Z46" s="61"/>
      <c r="AA46" s="61"/>
      <c r="AB46" s="61"/>
      <c r="AC46" s="61"/>
      <c r="AD46" s="61"/>
      <c r="AE46" s="61"/>
      <c r="AF46" s="61"/>
      <c r="AG46" s="61"/>
      <c r="AH46" s="61"/>
      <c r="AI46" s="24"/>
      <c r="AJ46" s="24"/>
    </row>
    <row r="47" spans="2:36">
      <c r="N47" s="61"/>
      <c r="O47" s="61"/>
      <c r="P47" s="61"/>
      <c r="Q47" s="61"/>
      <c r="R47" s="61"/>
      <c r="S47" s="61"/>
      <c r="T47" s="61"/>
      <c r="U47" s="61"/>
      <c r="V47" s="61"/>
      <c r="W47" s="61"/>
      <c r="X47" s="61"/>
      <c r="Y47" s="61"/>
      <c r="Z47" s="61"/>
      <c r="AA47" s="61"/>
      <c r="AB47" s="61"/>
      <c r="AC47" s="61"/>
      <c r="AD47" s="61"/>
      <c r="AE47" s="61"/>
      <c r="AF47" s="61"/>
      <c r="AG47" s="61"/>
      <c r="AH47" s="61"/>
      <c r="AI47" s="24"/>
      <c r="AJ47" s="138"/>
    </row>
    <row r="48" spans="2:36" ht="15.75">
      <c r="N48" s="61"/>
      <c r="O48" s="61"/>
      <c r="P48" s="61"/>
      <c r="Q48" s="61"/>
      <c r="R48" s="61"/>
      <c r="S48" s="61"/>
      <c r="T48" s="61"/>
      <c r="U48" s="61"/>
      <c r="V48" s="61"/>
      <c r="W48" s="61"/>
      <c r="X48" s="61"/>
      <c r="Y48" s="61"/>
      <c r="Z48" s="61"/>
      <c r="AA48" s="61"/>
      <c r="AB48" s="61"/>
      <c r="AC48" s="61"/>
      <c r="AD48" s="61"/>
      <c r="AE48" s="61"/>
      <c r="AF48" s="61"/>
      <c r="AG48" s="61"/>
      <c r="AH48" s="139"/>
      <c r="AI48" s="24"/>
      <c r="AJ48" s="138"/>
    </row>
  </sheetData>
  <mergeCells count="3">
    <mergeCell ref="A1:M1"/>
    <mergeCell ref="C28:C29"/>
    <mergeCell ref="AN3:AP3"/>
  </mergeCells>
  <printOptions horizontalCentered="1" verticalCentered="1"/>
  <pageMargins left="0.4" right="0.4" top="0.25" bottom="0.25" header="0.31496062992126" footer="0.31496062992126"/>
  <pageSetup scale="38"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8"/>
  <sheetViews>
    <sheetView showGridLines="0" view="pageBreakPreview" zoomScale="70" zoomScaleNormal="85" zoomScaleSheetLayoutView="70" workbookViewId="0">
      <selection activeCell="H9" sqref="H9"/>
    </sheetView>
  </sheetViews>
  <sheetFormatPr baseColWidth="10" defaultColWidth="11.42578125" defaultRowHeight="15"/>
  <cols>
    <col min="1" max="1" width="13.85546875" style="58" customWidth="1"/>
    <col min="2" max="2" width="16" style="58" customWidth="1"/>
    <col min="3" max="3" width="15" style="58" customWidth="1"/>
    <col min="4" max="4" width="16.28515625" style="58" customWidth="1"/>
    <col min="5" max="5" width="16.7109375" style="58" customWidth="1"/>
    <col min="6" max="6" width="15" style="58" customWidth="1"/>
    <col min="7" max="7" width="22" style="58" bestFit="1" customWidth="1"/>
    <col min="8" max="8" width="15.140625" style="58" bestFit="1" customWidth="1"/>
    <col min="9" max="9" width="14.140625" style="58" bestFit="1" customWidth="1"/>
    <col min="10" max="10" width="15.140625" style="58" bestFit="1" customWidth="1"/>
    <col min="11" max="11" width="18" style="58" customWidth="1"/>
    <col min="12" max="14" width="11.42578125" style="58"/>
    <col min="15" max="15" width="3.7109375" style="58" customWidth="1"/>
    <col min="16" max="16" width="13" style="58" bestFit="1" customWidth="1"/>
    <col min="17" max="17" width="15.140625" style="58" bestFit="1" customWidth="1"/>
    <col min="18" max="16384" width="11.42578125" style="58"/>
  </cols>
  <sheetData>
    <row r="1" spans="1:20" s="77" customFormat="1" ht="82.5" customHeight="1">
      <c r="A1" s="2152"/>
      <c r="B1" s="2152"/>
      <c r="C1" s="2152"/>
      <c r="D1" s="2152"/>
      <c r="E1" s="2152"/>
      <c r="F1" s="2152"/>
      <c r="G1" s="2152"/>
      <c r="H1" s="2152"/>
      <c r="I1" s="2152"/>
      <c r="J1" s="2152"/>
      <c r="K1" s="2152"/>
      <c r="L1" s="2152"/>
      <c r="M1" s="2152"/>
      <c r="N1" s="2152"/>
    </row>
    <row r="2" spans="1:20" s="77" customFormat="1" ht="7.5" customHeight="1">
      <c r="A2" s="2153"/>
      <c r="B2" s="2153"/>
      <c r="C2" s="2153"/>
      <c r="D2" s="2153"/>
      <c r="E2" s="2153"/>
      <c r="F2" s="2153"/>
      <c r="G2" s="2153"/>
      <c r="H2" s="2153"/>
      <c r="I2" s="2153"/>
      <c r="J2" s="2153"/>
      <c r="K2" s="2153"/>
      <c r="L2" s="2153"/>
      <c r="M2" s="2153"/>
      <c r="N2" s="2153"/>
    </row>
    <row r="3" spans="1:20" s="77" customFormat="1" ht="39" customHeight="1">
      <c r="A3" s="2154" t="s">
        <v>38</v>
      </c>
      <c r="B3" s="2091" t="s">
        <v>741</v>
      </c>
      <c r="C3" s="2139"/>
      <c r="D3" s="2139"/>
      <c r="E3" s="2139"/>
      <c r="F3" s="2140"/>
      <c r="G3" s="71"/>
      <c r="H3" s="71"/>
      <c r="I3" s="71"/>
      <c r="J3" s="71"/>
      <c r="Q3" s="270"/>
      <c r="R3" s="270"/>
      <c r="S3" s="270"/>
      <c r="T3" s="270"/>
    </row>
    <row r="4" spans="1:20" s="77" customFormat="1" ht="18.75">
      <c r="A4" s="2155"/>
      <c r="B4" s="1950" t="s">
        <v>563</v>
      </c>
      <c r="C4" s="1951" t="s">
        <v>564</v>
      </c>
      <c r="D4" s="1951" t="s">
        <v>565</v>
      </c>
      <c r="E4" s="1951" t="s">
        <v>566</v>
      </c>
      <c r="F4" s="1952" t="s">
        <v>158</v>
      </c>
      <c r="G4" s="71"/>
      <c r="H4" s="71"/>
      <c r="I4" s="71"/>
      <c r="J4" s="71"/>
      <c r="Q4" s="270"/>
      <c r="R4" s="270"/>
      <c r="S4" s="270"/>
      <c r="T4" s="270"/>
    </row>
    <row r="5" spans="1:20" ht="18.75">
      <c r="A5" s="446" t="s">
        <v>697</v>
      </c>
      <c r="B5" s="271">
        <v>300150</v>
      </c>
      <c r="C5" s="271">
        <v>636688</v>
      </c>
      <c r="D5" s="271">
        <v>401347</v>
      </c>
      <c r="E5" s="271">
        <v>359903</v>
      </c>
      <c r="F5" s="449">
        <v>1698088</v>
      </c>
    </row>
    <row r="6" spans="1:20" ht="21">
      <c r="A6" s="446" t="s">
        <v>704</v>
      </c>
      <c r="B6" s="271">
        <v>302993</v>
      </c>
      <c r="C6" s="271">
        <v>640576</v>
      </c>
      <c r="D6" s="271">
        <v>403268</v>
      </c>
      <c r="E6" s="271">
        <v>359446</v>
      </c>
      <c r="F6" s="449">
        <v>1706283</v>
      </c>
      <c r="P6" s="448"/>
    </row>
    <row r="7" spans="1:20" ht="18.75">
      <c r="A7" s="446" t="s">
        <v>716</v>
      </c>
      <c r="B7" s="271">
        <v>306000</v>
      </c>
      <c r="C7" s="271">
        <v>639537</v>
      </c>
      <c r="D7" s="271">
        <v>402370</v>
      </c>
      <c r="E7" s="271">
        <v>358877</v>
      </c>
      <c r="F7" s="449">
        <v>1706784</v>
      </c>
    </row>
    <row r="8" spans="1:20" ht="18.75">
      <c r="A8" s="446" t="s">
        <v>725</v>
      </c>
      <c r="B8" s="271">
        <f>219441+55133+37993</f>
        <v>312567</v>
      </c>
      <c r="C8" s="271">
        <f>440992+29437+168483</f>
        <v>638912</v>
      </c>
      <c r="D8" s="271">
        <f>259639+70938+68312</f>
        <v>398889</v>
      </c>
      <c r="E8" s="271">
        <f>320272+27905+9754</f>
        <v>357931</v>
      </c>
      <c r="F8" s="449">
        <f>+E8+D8+C8+B8</f>
        <v>1708299</v>
      </c>
      <c r="P8" s="974"/>
    </row>
    <row r="9" spans="1:20" ht="18.75">
      <c r="A9" s="446" t="s">
        <v>733</v>
      </c>
      <c r="B9" s="271">
        <v>312631</v>
      </c>
      <c r="C9" s="271">
        <v>639988</v>
      </c>
      <c r="D9" s="271">
        <v>398843</v>
      </c>
      <c r="E9" s="271">
        <v>357159</v>
      </c>
      <c r="F9" s="449">
        <f>+E9+D9+C9+B9</f>
        <v>1708621</v>
      </c>
      <c r="P9" s="974"/>
    </row>
    <row r="10" spans="1:20" ht="18.75">
      <c r="A10" s="446" t="s">
        <v>737</v>
      </c>
      <c r="B10" s="271">
        <v>314075</v>
      </c>
      <c r="C10" s="271">
        <v>645125</v>
      </c>
      <c r="D10" s="271">
        <v>400015</v>
      </c>
      <c r="E10" s="271">
        <v>357365</v>
      </c>
      <c r="F10" s="449">
        <v>1716580</v>
      </c>
      <c r="P10" s="974"/>
    </row>
    <row r="11" spans="1:20" ht="18.75">
      <c r="A11" s="446" t="s">
        <v>923</v>
      </c>
      <c r="B11" s="271">
        <v>320347</v>
      </c>
      <c r="C11" s="271">
        <v>658276</v>
      </c>
      <c r="D11" s="271">
        <v>402388</v>
      </c>
      <c r="E11" s="271">
        <v>357861</v>
      </c>
      <c r="F11" s="449">
        <v>1716580</v>
      </c>
    </row>
    <row r="12" spans="1:20" ht="18.75">
      <c r="A12" s="446" t="s">
        <v>942</v>
      </c>
      <c r="B12" s="271">
        <v>323402</v>
      </c>
      <c r="C12" s="271">
        <v>664381</v>
      </c>
      <c r="D12" s="271">
        <v>402276</v>
      </c>
      <c r="E12" s="271">
        <v>360630</v>
      </c>
      <c r="F12" s="449">
        <f>+E12+D12+C12+B12</f>
        <v>1750689</v>
      </c>
    </row>
    <row r="13" spans="1:20" ht="18.75">
      <c r="A13" s="446" t="s">
        <v>952</v>
      </c>
      <c r="B13" s="271">
        <v>322538</v>
      </c>
      <c r="C13" s="271">
        <v>673369</v>
      </c>
      <c r="D13" s="271">
        <v>402391</v>
      </c>
      <c r="E13" s="271">
        <v>361160</v>
      </c>
      <c r="F13" s="449">
        <v>1759458</v>
      </c>
    </row>
    <row r="14" spans="1:20" ht="18.75">
      <c r="A14" s="446" t="s">
        <v>970</v>
      </c>
      <c r="B14" s="271">
        <v>327618</v>
      </c>
      <c r="C14" s="271">
        <v>668938</v>
      </c>
      <c r="D14" s="271">
        <v>406427</v>
      </c>
      <c r="E14" s="271">
        <v>359380</v>
      </c>
      <c r="F14" s="449">
        <f>+E14+D14+C14+B14</f>
        <v>1762363</v>
      </c>
    </row>
    <row r="15" spans="1:20" ht="18.75">
      <c r="A15" s="446" t="s">
        <v>974</v>
      </c>
      <c r="B15" s="271">
        <v>386898</v>
      </c>
      <c r="C15" s="271">
        <v>672698</v>
      </c>
      <c r="D15" s="271">
        <v>392811</v>
      </c>
      <c r="E15" s="271">
        <v>358406</v>
      </c>
      <c r="F15" s="449">
        <v>1810813</v>
      </c>
    </row>
    <row r="16" spans="1:20" ht="18.75">
      <c r="A16" s="446" t="s">
        <v>987</v>
      </c>
      <c r="B16" s="271">
        <v>332374</v>
      </c>
      <c r="C16" s="271">
        <v>682157</v>
      </c>
      <c r="D16" s="271">
        <v>443849</v>
      </c>
      <c r="E16" s="271">
        <v>363244</v>
      </c>
      <c r="F16" s="449">
        <v>1821624</v>
      </c>
    </row>
    <row r="17" spans="1:6" ht="18.75">
      <c r="A17" s="447" t="s">
        <v>1001</v>
      </c>
      <c r="B17" s="1260">
        <v>330539</v>
      </c>
      <c r="C17" s="1260">
        <v>692432</v>
      </c>
      <c r="D17" s="1260">
        <v>448617</v>
      </c>
      <c r="E17" s="1260">
        <v>365111</v>
      </c>
      <c r="F17" s="450">
        <f>+E17+D17+C17+B17</f>
        <v>1836699</v>
      </c>
    </row>
    <row r="18" spans="1:6" ht="18.75">
      <c r="A18" s="2156"/>
      <c r="B18" s="2157"/>
      <c r="C18" s="2157"/>
      <c r="D18" s="2157"/>
      <c r="E18" s="2157"/>
      <c r="F18" s="2157"/>
    </row>
  </sheetData>
  <mergeCells count="5">
    <mergeCell ref="A1:N1"/>
    <mergeCell ref="A2:N2"/>
    <mergeCell ref="A3:A4"/>
    <mergeCell ref="B3:F3"/>
    <mergeCell ref="A18:F18"/>
  </mergeCells>
  <printOptions horizontalCentered="1" verticalCentered="1"/>
  <pageMargins left="0.4" right="0.4" top="0.25" bottom="0.25" header="0.31496062992126" footer="0.31496062992126"/>
  <pageSetup scale="5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1"/>
  <sheetViews>
    <sheetView showGridLines="0" view="pageBreakPreview" zoomScale="70" zoomScaleNormal="100" zoomScaleSheetLayoutView="70" workbookViewId="0">
      <pane ySplit="1" topLeftCell="A2" activePane="bottomLeft" state="frozen"/>
      <selection pane="bottomLeft" activeCell="G9" sqref="G9"/>
    </sheetView>
  </sheetViews>
  <sheetFormatPr baseColWidth="10" defaultColWidth="11.42578125" defaultRowHeight="15"/>
  <cols>
    <col min="1" max="1" width="15.42578125" style="39" customWidth="1"/>
    <col min="2" max="2" width="17.7109375" style="870" customWidth="1"/>
    <col min="3" max="3" width="22.7109375" style="39" customWidth="1"/>
    <col min="4" max="4" width="30.5703125" style="39" customWidth="1"/>
    <col min="5" max="5" width="18.85546875" style="39" customWidth="1"/>
    <col min="6" max="6" width="20.42578125" style="39" customWidth="1"/>
    <col min="7" max="7" width="19" style="39" customWidth="1"/>
    <col min="8" max="8" width="24.5703125" style="39" customWidth="1"/>
    <col min="9" max="9" width="24.42578125" style="39" customWidth="1"/>
    <col min="10" max="10" width="20.28515625" style="39" customWidth="1"/>
    <col min="11" max="11" width="14.42578125" style="39" customWidth="1"/>
    <col min="12" max="12" width="14.28515625" style="39" customWidth="1"/>
    <col min="13" max="13" width="13.85546875" style="39" customWidth="1"/>
    <col min="14" max="16384" width="11.42578125" style="39"/>
  </cols>
  <sheetData>
    <row r="1" spans="1:15" s="77" customFormat="1" ht="90.75" customHeight="1">
      <c r="A1" s="2114"/>
      <c r="B1" s="2114"/>
      <c r="C1" s="2114"/>
      <c r="D1" s="2114"/>
      <c r="E1" s="2114"/>
      <c r="F1" s="2114"/>
      <c r="G1" s="2114"/>
      <c r="H1" s="2114"/>
      <c r="I1" s="2114"/>
      <c r="J1" s="2114"/>
    </row>
    <row r="2" spans="1:15" s="77" customFormat="1" ht="10.5" customHeight="1">
      <c r="A2" s="2158"/>
      <c r="B2" s="2158"/>
      <c r="C2" s="2158"/>
      <c r="D2" s="2158"/>
      <c r="E2" s="2158"/>
      <c r="F2" s="2158"/>
      <c r="G2" s="2158"/>
      <c r="H2" s="2158"/>
      <c r="I2" s="2158"/>
      <c r="J2" s="2158"/>
    </row>
    <row r="3" spans="1:15" s="77" customFormat="1" ht="66" customHeight="1">
      <c r="A3" s="998" t="s">
        <v>0</v>
      </c>
      <c r="B3" s="1508" t="s">
        <v>244</v>
      </c>
      <c r="C3" s="999" t="s">
        <v>399</v>
      </c>
      <c r="D3" s="999" t="s">
        <v>695</v>
      </c>
      <c r="E3" s="1000" t="s">
        <v>243</v>
      </c>
      <c r="F3" s="94"/>
      <c r="G3" s="94"/>
      <c r="H3" s="94"/>
      <c r="I3" s="94"/>
      <c r="J3" s="94"/>
      <c r="K3" s="738"/>
      <c r="L3" s="738"/>
      <c r="M3" s="738"/>
      <c r="N3" s="738"/>
      <c r="O3" s="738"/>
    </row>
    <row r="4" spans="1:15" s="77" customFormat="1" ht="18.75">
      <c r="A4" s="1933" t="s">
        <v>26</v>
      </c>
      <c r="B4" s="1040">
        <v>626615</v>
      </c>
      <c r="C4" s="1486">
        <f>+'V.4.2.NA. Reportes ARL'!D4</f>
        <v>3731</v>
      </c>
      <c r="D4" s="1545">
        <f t="shared" ref="D4:D15" si="0">C4/B4*$A$21</f>
        <v>595.42143102223849</v>
      </c>
      <c r="E4" s="1041">
        <f>C4/B4</f>
        <v>5.9542143102223853E-3</v>
      </c>
      <c r="F4" s="94"/>
      <c r="I4" s="94"/>
      <c r="J4" s="94"/>
      <c r="K4" s="738"/>
      <c r="L4" s="738"/>
      <c r="M4" s="738"/>
      <c r="N4" s="738"/>
      <c r="O4" s="738"/>
    </row>
    <row r="5" spans="1:15" s="77" customFormat="1" ht="18.75">
      <c r="A5" s="1933" t="s">
        <v>27</v>
      </c>
      <c r="B5" s="1040">
        <v>808496</v>
      </c>
      <c r="C5" s="1486">
        <f>+'V.4.2.NA. Reportes ARL'!D5</f>
        <v>5535</v>
      </c>
      <c r="D5" s="1545">
        <f t="shared" si="0"/>
        <v>684.60450020779331</v>
      </c>
      <c r="E5" s="1041">
        <f t="shared" ref="E5:E10" si="1">C5/B5</f>
        <v>6.8460450020779327E-3</v>
      </c>
      <c r="F5" s="94"/>
      <c r="H5" s="94"/>
      <c r="I5" s="94"/>
      <c r="J5" s="94"/>
      <c r="K5" s="738"/>
      <c r="L5" s="738"/>
      <c r="M5" s="738"/>
      <c r="N5" s="738"/>
      <c r="O5" s="738"/>
    </row>
    <row r="6" spans="1:15" s="77" customFormat="1" ht="18.75">
      <c r="A6" s="1933" t="s">
        <v>28</v>
      </c>
      <c r="B6" s="1040">
        <v>913203</v>
      </c>
      <c r="C6" s="1486">
        <f>+'V.4.2.NA. Reportes ARL'!D6</f>
        <v>8544</v>
      </c>
      <c r="D6" s="1545">
        <f t="shared" si="0"/>
        <v>935.60796449420332</v>
      </c>
      <c r="E6" s="1041">
        <f t="shared" si="1"/>
        <v>9.3560796449420336E-3</v>
      </c>
      <c r="F6" s="94"/>
      <c r="H6" s="94"/>
      <c r="I6" s="94" t="s">
        <v>31</v>
      </c>
      <c r="J6" s="94"/>
      <c r="K6" s="738"/>
      <c r="L6" s="738"/>
      <c r="M6" s="738"/>
      <c r="N6" s="738"/>
      <c r="O6" s="738"/>
    </row>
    <row r="7" spans="1:15" s="77" customFormat="1" ht="18.75">
      <c r="A7" s="1933" t="s">
        <v>29</v>
      </c>
      <c r="B7" s="1040">
        <v>992746</v>
      </c>
      <c r="C7" s="1486">
        <f>+'V.4.2.NA. Reportes ARL'!D7</f>
        <v>10977</v>
      </c>
      <c r="D7" s="1545">
        <f t="shared" si="0"/>
        <v>1105.7208994042787</v>
      </c>
      <c r="E7" s="1041">
        <f t="shared" si="1"/>
        <v>1.1057208994042786E-2</v>
      </c>
      <c r="F7" s="94" t="s">
        <v>31</v>
      </c>
      <c r="H7" s="94"/>
      <c r="I7" s="94"/>
      <c r="J7" s="94"/>
      <c r="K7" s="738"/>
      <c r="L7" s="738"/>
      <c r="M7" s="738"/>
      <c r="N7" s="738"/>
      <c r="O7" s="738"/>
    </row>
    <row r="8" spans="1:15" s="77" customFormat="1" ht="18.75">
      <c r="A8" s="1933" t="s">
        <v>30</v>
      </c>
      <c r="B8" s="1040">
        <v>1084705</v>
      </c>
      <c r="C8" s="1486">
        <f>+'V.4.2.NA. Reportes ARL'!D8</f>
        <v>14683</v>
      </c>
      <c r="D8" s="1545">
        <f t="shared" si="0"/>
        <v>1353.6399297504852</v>
      </c>
      <c r="E8" s="1041">
        <f t="shared" si="1"/>
        <v>1.3536399297504852E-2</v>
      </c>
      <c r="F8" s="94"/>
      <c r="H8" s="94"/>
      <c r="I8" s="94"/>
      <c r="J8" s="94"/>
      <c r="K8" s="738"/>
      <c r="L8" s="738"/>
      <c r="M8" s="738"/>
      <c r="N8" s="738"/>
      <c r="O8" s="738"/>
    </row>
    <row r="9" spans="1:15" s="77" customFormat="1" ht="18.75">
      <c r="A9" s="1933" t="s">
        <v>183</v>
      </c>
      <c r="B9" s="1040">
        <v>1183463</v>
      </c>
      <c r="C9" s="1486">
        <f>+'V.4.2.NA. Reportes ARL'!D9</f>
        <v>17456</v>
      </c>
      <c r="D9" s="1545">
        <f t="shared" si="0"/>
        <v>1474.9933035506815</v>
      </c>
      <c r="E9" s="1041">
        <f t="shared" si="1"/>
        <v>1.4749933035506814E-2</v>
      </c>
      <c r="F9" s="94"/>
      <c r="H9" s="94"/>
      <c r="I9" s="94"/>
      <c r="J9" s="94"/>
      <c r="K9" s="738"/>
      <c r="L9" s="738"/>
      <c r="M9" s="738"/>
      <c r="N9" s="738"/>
      <c r="O9" s="738"/>
    </row>
    <row r="10" spans="1:15" s="77" customFormat="1" ht="18.75">
      <c r="A10" s="1933" t="s">
        <v>223</v>
      </c>
      <c r="B10" s="1040">
        <v>1367790</v>
      </c>
      <c r="C10" s="1486">
        <f>+'V.4.2.NA. Reportes ARL'!D10</f>
        <v>22597</v>
      </c>
      <c r="D10" s="1545">
        <f t="shared" si="0"/>
        <v>1652.0810943200345</v>
      </c>
      <c r="E10" s="1041">
        <f t="shared" si="1"/>
        <v>1.6520810943200345E-2</v>
      </c>
      <c r="F10" s="94"/>
      <c r="H10" s="726"/>
      <c r="I10" s="94"/>
      <c r="J10" s="94"/>
      <c r="K10" s="738"/>
      <c r="L10" s="738"/>
      <c r="M10" s="738"/>
      <c r="N10" s="738"/>
      <c r="O10" s="738"/>
    </row>
    <row r="11" spans="1:15" s="77" customFormat="1" ht="18.75">
      <c r="A11" s="1933" t="s">
        <v>456</v>
      </c>
      <c r="B11" s="1040">
        <v>1430273</v>
      </c>
      <c r="C11" s="1486">
        <f>+'V.4.2.NA. Reportes ARL'!D11</f>
        <v>26688</v>
      </c>
      <c r="D11" s="1545">
        <f t="shared" si="0"/>
        <v>1865.9374818653503</v>
      </c>
      <c r="E11" s="1041">
        <f>C11/B11</f>
        <v>1.8659374818653502E-2</v>
      </c>
      <c r="F11" s="94"/>
      <c r="H11" s="94"/>
      <c r="I11" s="94"/>
      <c r="J11" s="94"/>
      <c r="K11" s="738"/>
      <c r="L11" s="738"/>
      <c r="M11" s="738"/>
      <c r="N11" s="738"/>
      <c r="O11" s="738"/>
    </row>
    <row r="12" spans="1:15" s="77" customFormat="1" ht="18.75">
      <c r="A12" s="1933" t="s">
        <v>530</v>
      </c>
      <c r="B12" s="1040">
        <v>1530322</v>
      </c>
      <c r="C12" s="1486">
        <f>+'V.4.2.NA. Reportes ARL'!D12</f>
        <v>28635</v>
      </c>
      <c r="D12" s="1545">
        <f t="shared" si="0"/>
        <v>1871.174824644748</v>
      </c>
      <c r="E12" s="1041">
        <f>C12/B12</f>
        <v>1.8711748246447481E-2</v>
      </c>
      <c r="F12" s="94"/>
      <c r="H12" s="94"/>
      <c r="I12" s="94"/>
      <c r="J12" s="94"/>
      <c r="K12" s="738"/>
      <c r="L12" s="738"/>
      <c r="M12" s="738"/>
      <c r="N12" s="738"/>
      <c r="O12" s="738"/>
    </row>
    <row r="13" spans="1:15" s="77" customFormat="1" ht="18.75">
      <c r="A13" s="1933" t="s">
        <v>542</v>
      </c>
      <c r="B13" s="1040">
        <f>+'[3]VI.1.1 Afil. SRL'!D10</f>
        <v>1651202</v>
      </c>
      <c r="C13" s="1486">
        <f>+'V.4.2.NA. Reportes ARL'!D13</f>
        <v>31032</v>
      </c>
      <c r="D13" s="1545">
        <f t="shared" si="0"/>
        <v>1879.3581887618836</v>
      </c>
      <c r="E13" s="1041">
        <f>C13/B13</f>
        <v>1.8793581887618836E-2</v>
      </c>
      <c r="F13" s="94"/>
      <c r="H13" s="94"/>
      <c r="I13" s="94"/>
      <c r="J13" s="94"/>
      <c r="K13" s="738"/>
      <c r="L13" s="738"/>
      <c r="M13" s="738"/>
      <c r="N13" s="738"/>
      <c r="O13" s="738"/>
    </row>
    <row r="14" spans="1:15" s="879" customFormat="1" ht="18.75" customHeight="1">
      <c r="A14" s="1933" t="s">
        <v>953</v>
      </c>
      <c r="B14" s="1549">
        <f>+'III.6.4.Afil. SRL x sexoy edad'!B18</f>
        <v>1836699</v>
      </c>
      <c r="C14" s="1550">
        <v>34549</v>
      </c>
      <c r="D14" s="1551">
        <f t="shared" si="0"/>
        <v>1881.037665943086</v>
      </c>
      <c r="E14" s="1552">
        <f>C14/B14</f>
        <v>1.8810376659430861E-2</v>
      </c>
      <c r="F14" s="163"/>
      <c r="H14" s="163"/>
      <c r="I14" s="163"/>
      <c r="J14" s="163"/>
      <c r="K14" s="1553"/>
      <c r="L14" s="1553"/>
      <c r="M14" s="1553"/>
      <c r="N14" s="1553"/>
      <c r="O14" s="1553"/>
    </row>
    <row r="15" spans="1:15" s="77" customFormat="1" ht="17.25" customHeight="1">
      <c r="A15" s="1933" t="s">
        <v>1003</v>
      </c>
      <c r="B15" s="1549">
        <f>+'III.6.3.Afil. SRL'!C12</f>
        <v>1836699</v>
      </c>
      <c r="C15" s="1550">
        <v>12405</v>
      </c>
      <c r="D15" s="1551">
        <f t="shared" si="0"/>
        <v>675.39645853784418</v>
      </c>
      <c r="E15" s="1552">
        <f>C15/B15</f>
        <v>6.7539645853784422E-3</v>
      </c>
      <c r="F15" s="94"/>
      <c r="H15" s="94"/>
      <c r="I15" s="94"/>
      <c r="J15" s="94"/>
      <c r="K15" s="738"/>
      <c r="M15" s="738"/>
      <c r="N15" s="738"/>
      <c r="O15" s="738"/>
    </row>
    <row r="16" spans="1:15" s="77" customFormat="1" ht="18.75">
      <c r="A16" s="1001" t="s">
        <v>23</v>
      </c>
      <c r="B16" s="1548"/>
      <c r="C16" s="1546">
        <f>SUM(C4:C14)</f>
        <v>204427</v>
      </c>
      <c r="D16" s="1546"/>
      <c r="E16" s="1547">
        <f>AVERAGE(E4:E14)</f>
        <v>1.3908706621786166E-2</v>
      </c>
      <c r="F16" s="94"/>
      <c r="G16" s="94"/>
      <c r="H16" s="94"/>
      <c r="I16" s="94"/>
      <c r="J16" s="94"/>
      <c r="K16" s="738"/>
      <c r="M16" s="738"/>
      <c r="N16" s="738"/>
      <c r="O16" s="738"/>
    </row>
    <row r="17" spans="1:15" s="77" customFormat="1" ht="18.75">
      <c r="A17" s="1932" t="s">
        <v>982</v>
      </c>
      <c r="B17" s="169"/>
      <c r="C17" s="1453"/>
      <c r="D17" s="1453"/>
      <c r="E17" s="1453"/>
      <c r="F17" s="94"/>
      <c r="G17" s="94"/>
      <c r="H17" s="94"/>
      <c r="I17" s="94"/>
      <c r="J17" s="94"/>
      <c r="K17" s="738"/>
      <c r="L17" s="738"/>
      <c r="M17" s="738"/>
      <c r="N17" s="738"/>
      <c r="O17" s="738"/>
    </row>
    <row r="18" spans="1:15" s="77" customFormat="1">
      <c r="A18" s="1453"/>
      <c r="B18" s="169"/>
      <c r="C18" s="1453"/>
      <c r="D18" s="1453"/>
      <c r="E18" s="1453"/>
      <c r="F18" s="94"/>
      <c r="G18" s="94"/>
      <c r="H18" s="94"/>
      <c r="I18" s="94"/>
      <c r="J18" s="94"/>
      <c r="K18" s="738"/>
      <c r="L18" s="738"/>
      <c r="M18" s="738"/>
      <c r="N18" s="738"/>
      <c r="O18" s="738"/>
    </row>
    <row r="19" spans="1:15" s="77" customFormat="1">
      <c r="A19" s="94"/>
      <c r="B19" s="169"/>
      <c r="C19" s="94"/>
      <c r="D19" s="94"/>
      <c r="E19" s="94"/>
      <c r="F19" s="94"/>
      <c r="G19" s="94"/>
      <c r="H19" s="94"/>
      <c r="I19" s="94"/>
      <c r="J19" s="94"/>
      <c r="K19" s="738"/>
      <c r="L19" s="738"/>
      <c r="M19" s="738"/>
      <c r="N19" s="738"/>
      <c r="O19" s="738"/>
    </row>
    <row r="20" spans="1:15" s="77" customFormat="1">
      <c r="A20" s="94"/>
      <c r="B20" s="169"/>
      <c r="C20" s="94"/>
      <c r="D20" s="94"/>
      <c r="E20" s="94"/>
      <c r="F20" s="94"/>
      <c r="G20" s="94"/>
      <c r="H20" s="94"/>
      <c r="I20" s="94"/>
      <c r="J20" s="94"/>
      <c r="K20" s="738"/>
      <c r="L20" s="738"/>
      <c r="M20" s="738"/>
      <c r="N20" s="738"/>
      <c r="O20" s="738"/>
    </row>
    <row r="21" spans="1:15" s="77" customFormat="1" ht="15.75">
      <c r="A21" s="155">
        <v>100000</v>
      </c>
      <c r="B21" s="169"/>
      <c r="C21" s="94"/>
      <c r="D21" s="94"/>
      <c r="E21" s="94"/>
      <c r="F21" s="94"/>
      <c r="G21" s="94"/>
      <c r="H21" s="94"/>
      <c r="I21" s="94"/>
      <c r="J21" s="94"/>
      <c r="K21" s="738"/>
      <c r="L21" s="738"/>
      <c r="M21" s="738"/>
      <c r="N21" s="738"/>
      <c r="O21" s="738"/>
    </row>
    <row r="22" spans="1:15" s="77" customFormat="1">
      <c r="A22" s="94"/>
      <c r="B22" s="169"/>
      <c r="C22" s="94"/>
      <c r="D22" s="94"/>
      <c r="E22" s="94"/>
      <c r="F22" s="94"/>
      <c r="G22" s="94"/>
      <c r="H22" s="94"/>
      <c r="I22" s="94"/>
      <c r="J22" s="94"/>
      <c r="K22" s="23"/>
      <c r="L22" s="738"/>
    </row>
    <row r="23" spans="1:15" s="77" customFormat="1">
      <c r="A23" s="94"/>
      <c r="B23" s="169"/>
      <c r="C23" s="94"/>
      <c r="D23" s="94"/>
      <c r="E23" s="94"/>
      <c r="F23" s="94"/>
      <c r="G23" s="94"/>
      <c r="H23" s="94"/>
      <c r="I23" s="94"/>
      <c r="J23" s="94"/>
      <c r="K23" s="23"/>
      <c r="L23" s="738"/>
    </row>
    <row r="24" spans="1:15" s="77" customFormat="1">
      <c r="A24" s="94"/>
      <c r="B24" s="169"/>
      <c r="C24" s="94"/>
      <c r="D24" s="94"/>
      <c r="E24" s="94"/>
      <c r="F24" s="94"/>
      <c r="G24" s="94"/>
      <c r="H24" s="94"/>
      <c r="I24" s="94"/>
      <c r="J24" s="94"/>
      <c r="K24" s="23"/>
      <c r="L24" s="23"/>
    </row>
    <row r="25" spans="1:15" s="77" customFormat="1">
      <c r="A25" s="94"/>
      <c r="B25" s="169"/>
      <c r="C25" s="94"/>
      <c r="D25" s="94"/>
      <c r="E25" s="94"/>
      <c r="F25" s="94"/>
      <c r="G25" s="94"/>
      <c r="H25" s="94"/>
      <c r="I25" s="94"/>
      <c r="J25" s="94"/>
      <c r="K25" s="23"/>
      <c r="L25" s="23"/>
    </row>
    <row r="26" spans="1:15" s="77" customFormat="1">
      <c r="A26" s="94"/>
      <c r="B26" s="169"/>
      <c r="C26" s="94"/>
      <c r="D26" s="94"/>
      <c r="E26" s="94"/>
      <c r="F26" s="94"/>
      <c r="G26" s="94"/>
      <c r="H26" s="94"/>
      <c r="I26" s="94"/>
      <c r="J26" s="94"/>
      <c r="K26" s="23"/>
      <c r="L26" s="23"/>
    </row>
    <row r="27" spans="1:15" s="77" customFormat="1">
      <c r="A27" s="94"/>
      <c r="B27" s="169"/>
      <c r="C27" s="94"/>
      <c r="D27" s="94"/>
      <c r="E27" s="94"/>
      <c r="F27" s="94"/>
      <c r="G27" s="94"/>
      <c r="H27" s="94"/>
      <c r="I27" s="94"/>
      <c r="J27" s="94"/>
      <c r="K27" s="23"/>
      <c r="L27" s="23"/>
    </row>
    <row r="28" spans="1:15" s="77" customFormat="1">
      <c r="A28" s="94"/>
      <c r="B28" s="169"/>
      <c r="C28" s="94"/>
      <c r="D28" s="94"/>
      <c r="E28" s="94"/>
      <c r="F28" s="94"/>
      <c r="G28" s="94"/>
      <c r="H28" s="94"/>
      <c r="I28" s="94"/>
      <c r="J28" s="94"/>
      <c r="K28" s="23"/>
      <c r="L28" s="23"/>
      <c r="M28" s="18"/>
    </row>
    <row r="29" spans="1:15" s="77" customFormat="1">
      <c r="A29" s="94"/>
      <c r="B29" s="169"/>
      <c r="C29" s="94"/>
      <c r="D29" s="94"/>
      <c r="E29" s="94"/>
      <c r="F29" s="94"/>
      <c r="G29" s="94"/>
      <c r="H29" s="94"/>
      <c r="I29" s="94"/>
      <c r="J29" s="94"/>
      <c r="K29" s="23"/>
      <c r="L29" s="23"/>
    </row>
    <row r="30" spans="1:15" s="77" customFormat="1">
      <c r="A30" s="94"/>
      <c r="B30" s="169"/>
      <c r="C30" s="94"/>
      <c r="D30" s="94"/>
      <c r="E30" s="94"/>
      <c r="F30" s="94"/>
      <c r="G30" s="94"/>
      <c r="H30" s="94"/>
      <c r="I30" s="94"/>
      <c r="J30" s="94"/>
      <c r="K30" s="23"/>
      <c r="L30" s="23"/>
    </row>
    <row r="31" spans="1:15" s="77" customFormat="1">
      <c r="A31" s="94"/>
      <c r="B31" s="169"/>
      <c r="C31" s="94"/>
      <c r="D31" s="94"/>
      <c r="E31" s="94"/>
      <c r="F31" s="94"/>
      <c r="G31" s="94"/>
      <c r="H31" s="94"/>
      <c r="I31" s="94"/>
      <c r="J31" s="94"/>
      <c r="K31" s="23"/>
      <c r="L31" s="23"/>
    </row>
    <row r="32" spans="1:15" s="77" customFormat="1">
      <c r="A32" s="94"/>
      <c r="B32" s="169"/>
      <c r="C32" s="94"/>
      <c r="D32" s="94"/>
      <c r="E32" s="94"/>
      <c r="F32" s="94"/>
      <c r="G32" s="94"/>
      <c r="H32" s="94"/>
      <c r="I32" s="94"/>
      <c r="J32" s="94"/>
      <c r="K32" s="23"/>
      <c r="L32" s="23"/>
    </row>
    <row r="33" spans="1:12" s="77" customFormat="1">
      <c r="A33" s="94"/>
      <c r="B33" s="169"/>
      <c r="C33" s="94"/>
      <c r="D33" s="94"/>
      <c r="E33" s="94"/>
      <c r="F33" s="94"/>
      <c r="G33" s="94"/>
      <c r="H33" s="94"/>
      <c r="I33" s="94"/>
      <c r="J33" s="94"/>
      <c r="K33" s="23"/>
      <c r="L33" s="23"/>
    </row>
    <row r="34" spans="1:12" s="77" customFormat="1">
      <c r="A34" s="94"/>
      <c r="B34" s="169"/>
      <c r="C34" s="94"/>
      <c r="D34" s="94"/>
      <c r="E34" s="94"/>
      <c r="F34" s="94"/>
      <c r="G34" s="94"/>
      <c r="H34" s="94"/>
      <c r="I34" s="94"/>
      <c r="J34" s="94"/>
      <c r="K34" s="23"/>
      <c r="L34" s="23"/>
    </row>
    <row r="35" spans="1:12" s="77" customFormat="1">
      <c r="A35" s="94"/>
      <c r="B35" s="169"/>
      <c r="C35" s="94"/>
      <c r="D35" s="94"/>
      <c r="E35" s="94"/>
      <c r="F35" s="94"/>
      <c r="G35" s="94"/>
      <c r="H35" s="94"/>
      <c r="I35" s="94"/>
      <c r="J35" s="94"/>
      <c r="K35" s="23"/>
      <c r="L35" s="23"/>
    </row>
    <row r="36" spans="1:12" s="77" customFormat="1">
      <c r="A36" s="94"/>
      <c r="B36" s="169"/>
      <c r="C36" s="94"/>
      <c r="D36" s="94"/>
      <c r="E36" s="94"/>
      <c r="F36" s="94"/>
      <c r="G36" s="94"/>
      <c r="H36" s="94"/>
      <c r="I36" s="94"/>
      <c r="J36" s="94"/>
    </row>
    <row r="37" spans="1:12" s="77" customFormat="1">
      <c r="A37" s="94"/>
      <c r="B37" s="169"/>
      <c r="C37" s="94"/>
      <c r="D37" s="94"/>
      <c r="E37" s="94"/>
      <c r="F37" s="94"/>
      <c r="G37" s="94"/>
      <c r="H37" s="94"/>
      <c r="I37" s="94"/>
      <c r="J37" s="94"/>
    </row>
    <row r="38" spans="1:12" s="77" customFormat="1">
      <c r="A38" s="94"/>
      <c r="B38" s="169"/>
      <c r="C38" s="94"/>
      <c r="D38" s="94"/>
      <c r="E38" s="94"/>
      <c r="F38" s="94"/>
      <c r="G38" s="94"/>
      <c r="H38" s="94"/>
      <c r="I38" s="94"/>
      <c r="J38" s="94"/>
    </row>
    <row r="39" spans="1:12" s="77" customFormat="1">
      <c r="A39" s="94"/>
      <c r="B39" s="169"/>
      <c r="C39" s="94"/>
      <c r="D39" s="94"/>
      <c r="E39" s="94"/>
      <c r="F39" s="94"/>
      <c r="G39" s="94"/>
      <c r="H39" s="94"/>
      <c r="I39" s="94"/>
      <c r="J39" s="94"/>
    </row>
    <row r="40" spans="1:12" s="77" customFormat="1">
      <c r="A40" s="94"/>
      <c r="B40" s="169"/>
      <c r="C40" s="94"/>
      <c r="D40" s="94"/>
      <c r="E40" s="94"/>
      <c r="F40" s="94"/>
      <c r="G40" s="94"/>
      <c r="H40" s="94"/>
      <c r="I40" s="94"/>
      <c r="J40" s="94"/>
    </row>
    <row r="41" spans="1:12" s="77" customFormat="1">
      <c r="A41" s="94"/>
      <c r="B41" s="169"/>
      <c r="C41" s="94"/>
      <c r="D41" s="94"/>
      <c r="E41" s="94"/>
      <c r="F41" s="94"/>
      <c r="G41" s="94"/>
      <c r="H41" s="94"/>
      <c r="I41" s="94"/>
      <c r="J41" s="94"/>
    </row>
    <row r="42" spans="1:12" s="77" customFormat="1">
      <c r="A42" s="94"/>
      <c r="B42" s="169"/>
      <c r="C42" s="94"/>
      <c r="D42" s="94"/>
      <c r="E42" s="94"/>
      <c r="F42" s="94"/>
      <c r="G42" s="94"/>
      <c r="H42" s="94"/>
      <c r="I42" s="94"/>
      <c r="J42" s="94"/>
    </row>
    <row r="43" spans="1:12" s="77" customFormat="1">
      <c r="A43" s="94"/>
      <c r="B43" s="169"/>
      <c r="C43" s="94"/>
      <c r="D43" s="94"/>
      <c r="E43" s="94"/>
      <c r="F43" s="94"/>
      <c r="G43" s="94"/>
      <c r="H43" s="94"/>
      <c r="I43" s="94"/>
      <c r="J43" s="94"/>
    </row>
    <row r="44" spans="1:12" s="77" customFormat="1">
      <c r="A44" s="94"/>
      <c r="B44" s="169"/>
      <c r="C44" s="94"/>
      <c r="D44" s="94"/>
      <c r="E44" s="94"/>
      <c r="F44" s="94"/>
      <c r="G44" s="94"/>
      <c r="H44" s="94"/>
      <c r="I44" s="94"/>
      <c r="J44" s="94"/>
    </row>
    <row r="45" spans="1:12" s="77" customFormat="1">
      <c r="A45" s="94"/>
      <c r="B45" s="169"/>
      <c r="C45" s="94"/>
      <c r="D45" s="94"/>
      <c r="E45" s="94"/>
      <c r="G45" s="94"/>
      <c r="H45" s="94"/>
      <c r="I45" s="94"/>
      <c r="J45" s="94"/>
    </row>
    <row r="46" spans="1:12" s="77" customFormat="1">
      <c r="A46" s="94"/>
      <c r="B46" s="169"/>
      <c r="C46" s="94"/>
      <c r="D46" s="94"/>
      <c r="E46" s="94"/>
    </row>
    <row r="47" spans="1:12" s="77" customFormat="1">
      <c r="B47" s="45"/>
    </row>
    <row r="48" spans="1:12" s="77" customFormat="1">
      <c r="B48" s="45"/>
    </row>
    <row r="49" spans="1:6" s="77" customFormat="1">
      <c r="B49" s="45"/>
    </row>
    <row r="50" spans="1:6" s="77" customFormat="1">
      <c r="B50" s="45"/>
      <c r="F50" s="39"/>
    </row>
    <row r="51" spans="1:6">
      <c r="A51" s="77"/>
      <c r="B51" s="45"/>
      <c r="C51" s="77"/>
      <c r="D51" s="77"/>
      <c r="E51" s="77"/>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77"/>
    <col min="7" max="7" width="8.85546875" style="77" customWidth="1"/>
    <col min="8" max="8" width="11.42578125" style="77"/>
    <col min="9" max="9" width="7.85546875" style="77" customWidth="1"/>
    <col min="10" max="10" width="7" style="77" customWidth="1"/>
    <col min="11" max="11" width="5.85546875" style="77" customWidth="1"/>
    <col min="12" max="16384" width="11.42578125" style="77"/>
  </cols>
  <sheetData/>
  <pageMargins left="0.7" right="0.7" top="0.75" bottom="0.75" header="0.3" footer="0.3"/>
  <pageSetup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70" zoomScaleNormal="100" zoomScaleSheetLayoutView="70" workbookViewId="0">
      <selection activeCell="P18" sqref="P18"/>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pageMargins left="0.70866141732283472" right="0.70866141732283472" top="0.74803149606299213" bottom="0.74803149606299213" header="0.31496062992125984" footer="0.31496062992125984"/>
  <pageSetup scale="6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D5:O48"/>
  <sheetViews>
    <sheetView showGridLines="0" view="pageBreakPreview" zoomScaleNormal="100" zoomScaleSheetLayoutView="100" workbookViewId="0">
      <selection activeCell="M15" sqref="M15"/>
    </sheetView>
  </sheetViews>
  <sheetFormatPr baseColWidth="10" defaultColWidth="11.42578125" defaultRowHeight="15"/>
  <cols>
    <col min="1" max="5" width="11.42578125" style="77"/>
    <col min="6" max="6" width="18.85546875" style="77" customWidth="1"/>
    <col min="7" max="7" width="10.7109375" style="77" customWidth="1"/>
    <col min="8" max="8" width="15" style="77" customWidth="1"/>
    <col min="9" max="9" width="14.140625" style="77" customWidth="1"/>
    <col min="10" max="10" width="10.42578125" style="77" customWidth="1"/>
    <col min="11" max="11" width="5.85546875" style="77" customWidth="1"/>
    <col min="12" max="12" width="13.140625" style="77" customWidth="1"/>
    <col min="13" max="13" width="20.5703125" style="77" customWidth="1"/>
    <col min="14" max="16384" width="11.42578125" style="77"/>
  </cols>
  <sheetData>
    <row r="5" ht="9" customHeight="1"/>
    <row r="28" spans="13:15">
      <c r="O28" s="156"/>
    </row>
    <row r="29" spans="13:15">
      <c r="M29" s="268"/>
    </row>
    <row r="32" spans="13:15">
      <c r="O32" s="268"/>
    </row>
    <row r="34" spans="4:15" ht="21" customHeight="1"/>
    <row r="38" spans="4:15">
      <c r="O38" s="268"/>
    </row>
    <row r="39" spans="4:15">
      <c r="F39" s="268"/>
      <c r="O39" s="268"/>
    </row>
    <row r="40" spans="4:15">
      <c r="D40" s="268"/>
    </row>
    <row r="41" spans="4:15">
      <c r="J41" s="268"/>
    </row>
    <row r="43" spans="4:15">
      <c r="I43" s="268"/>
    </row>
    <row r="48" spans="4:15" ht="15.75">
      <c r="F48" s="460"/>
    </row>
  </sheetData>
  <pageMargins left="0.70866141732283472" right="0.70866141732283472" top="0.74803149606299213" bottom="0.74803149606299213" header="0.31496062992125984" footer="0.31496062992125984"/>
  <pageSetup scale="84"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O44" sqref="O44"/>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T30"/>
  <sheetViews>
    <sheetView showGridLines="0" view="pageBreakPreview" zoomScale="70" zoomScaleNormal="85" zoomScaleSheetLayoutView="70" workbookViewId="0">
      <pane xSplit="1" ySplit="4" topLeftCell="H5" activePane="bottomRight" state="frozen"/>
      <selection pane="topRight" activeCell="B1" sqref="B1"/>
      <selection pane="bottomLeft" activeCell="A5" sqref="A5"/>
      <selection pane="bottomRight" activeCell="Q25" sqref="Q25"/>
    </sheetView>
  </sheetViews>
  <sheetFormatPr baseColWidth="10" defaultColWidth="11.42578125" defaultRowHeight="15"/>
  <cols>
    <col min="1" max="1" width="14" style="1669" customWidth="1"/>
    <col min="2" max="2" width="22.7109375" style="1577" customWidth="1"/>
    <col min="3" max="3" width="22" style="1577" customWidth="1"/>
    <col min="4" max="4" width="21.42578125" style="1577" customWidth="1"/>
    <col min="5" max="5" width="20.5703125" style="1577" customWidth="1"/>
    <col min="6" max="6" width="24.85546875" style="1577" customWidth="1"/>
    <col min="7" max="7" width="24" style="1577" customWidth="1"/>
    <col min="8" max="8" width="24.5703125" style="1577" customWidth="1"/>
    <col min="9" max="9" width="22.85546875" style="1577" customWidth="1"/>
    <col min="10" max="10" width="20.5703125" style="1577" customWidth="1"/>
    <col min="11" max="11" width="23.5703125" style="1577" customWidth="1"/>
    <col min="12" max="12" width="24.140625" style="77" customWidth="1"/>
    <col min="13" max="13" width="25.140625" style="77" customWidth="1"/>
    <col min="14" max="14" width="24" style="77" customWidth="1"/>
    <col min="15" max="15" width="11.42578125" style="77" customWidth="1"/>
    <col min="16" max="16" width="21.28515625" style="77" customWidth="1"/>
    <col min="17" max="17" width="21" style="77" customWidth="1"/>
    <col min="18" max="19" width="11.42578125" style="77"/>
    <col min="20" max="20" width="39.42578125" style="77" customWidth="1"/>
    <col min="21" max="16384" width="11.42578125" style="77"/>
  </cols>
  <sheetData>
    <row r="1" spans="1:20" ht="90" customHeight="1">
      <c r="A1" s="2070"/>
      <c r="B1" s="2070"/>
      <c r="C1" s="2070"/>
      <c r="D1" s="2070"/>
      <c r="E1" s="2070"/>
      <c r="F1" s="2070"/>
      <c r="G1" s="2070"/>
      <c r="H1" s="2070"/>
      <c r="I1" s="2070"/>
      <c r="J1" s="2070"/>
      <c r="K1" s="2070"/>
      <c r="L1" s="2070"/>
      <c r="M1" s="2070"/>
      <c r="N1" s="2070"/>
      <c r="O1" s="2070"/>
      <c r="P1" s="185"/>
      <c r="Q1" s="94"/>
    </row>
    <row r="2" spans="1:20" ht="9" customHeight="1">
      <c r="A2" s="2160" t="s">
        <v>590</v>
      </c>
      <c r="B2" s="2160"/>
      <c r="C2" s="2160"/>
      <c r="D2" s="2160"/>
      <c r="E2" s="2160"/>
      <c r="F2" s="2160"/>
      <c r="G2" s="2160"/>
      <c r="H2" s="2160"/>
      <c r="I2" s="2160"/>
      <c r="J2" s="2160"/>
      <c r="K2" s="2160"/>
      <c r="L2" s="2160"/>
      <c r="M2" s="2160"/>
      <c r="N2" s="2160"/>
      <c r="O2" s="2160"/>
    </row>
    <row r="3" spans="1:20" s="1267" customFormat="1" ht="22.5" customHeight="1">
      <c r="A3" s="2161" t="s">
        <v>0</v>
      </c>
      <c r="B3" s="2163" t="s">
        <v>427</v>
      </c>
      <c r="C3" s="2163"/>
      <c r="D3" s="2163"/>
      <c r="E3" s="2163"/>
      <c r="F3" s="2163"/>
      <c r="G3" s="2163"/>
      <c r="H3" s="2164" t="s">
        <v>428</v>
      </c>
      <c r="I3" s="2165"/>
      <c r="J3" s="2165"/>
      <c r="K3" s="2166"/>
    </row>
    <row r="4" spans="1:20" s="1267" customFormat="1" ht="58.5" customHeight="1">
      <c r="A4" s="2162"/>
      <c r="B4" s="461" t="s">
        <v>712</v>
      </c>
      <c r="C4" s="306" t="s">
        <v>711</v>
      </c>
      <c r="D4" s="306" t="s">
        <v>959</v>
      </c>
      <c r="E4" s="306" t="s">
        <v>957</v>
      </c>
      <c r="F4" s="306" t="s">
        <v>966</v>
      </c>
      <c r="G4" s="467" t="s">
        <v>429</v>
      </c>
      <c r="H4" s="461" t="s">
        <v>643</v>
      </c>
      <c r="I4" s="306" t="s">
        <v>644</v>
      </c>
      <c r="J4" s="306" t="s">
        <v>645</v>
      </c>
      <c r="K4" s="467" t="s">
        <v>430</v>
      </c>
      <c r="L4" s="461" t="s">
        <v>673</v>
      </c>
      <c r="M4" s="306" t="s">
        <v>441</v>
      </c>
      <c r="N4" s="307" t="s">
        <v>956</v>
      </c>
      <c r="O4" s="1585"/>
    </row>
    <row r="5" spans="1:20" s="1631" customFormat="1" ht="15.75">
      <c r="A5" s="1691">
        <v>2003</v>
      </c>
      <c r="B5" s="1628">
        <v>1839323722.0100002</v>
      </c>
      <c r="C5" s="1628">
        <v>50000000</v>
      </c>
      <c r="D5" s="1628">
        <v>0</v>
      </c>
      <c r="E5" s="1628">
        <v>0</v>
      </c>
      <c r="F5" s="1628">
        <v>0</v>
      </c>
      <c r="G5" s="1620">
        <f t="shared" ref="G5:G18" si="0">+C5+B5+D5+E5+F5</f>
        <v>1889323722.0100002</v>
      </c>
      <c r="H5" s="1628">
        <v>1813713639.8399999</v>
      </c>
      <c r="I5" s="1628">
        <v>50652652.469999999</v>
      </c>
      <c r="J5" s="1628">
        <v>0</v>
      </c>
      <c r="K5" s="1629">
        <f>+I5+H5+J5</f>
        <v>1864366292.3099999</v>
      </c>
      <c r="L5" s="1623">
        <f t="shared" ref="L5:L17" si="1">+B5-H5</f>
        <v>25610082.170000315</v>
      </c>
      <c r="M5" s="1624">
        <f t="shared" ref="M5:M17" si="2">+G5-K5</f>
        <v>24957429.700000286</v>
      </c>
      <c r="N5" s="1625">
        <f t="shared" ref="N5:N17" si="3">C5-I5</f>
        <v>-652652.46999999881</v>
      </c>
      <c r="O5" s="1630"/>
    </row>
    <row r="6" spans="1:20" s="1631" customFormat="1" ht="15.75">
      <c r="A6" s="1691">
        <v>2004</v>
      </c>
      <c r="B6" s="1628">
        <v>7420447711.6900005</v>
      </c>
      <c r="C6" s="1628">
        <v>100013332.31999999</v>
      </c>
      <c r="D6" s="1628">
        <v>0</v>
      </c>
      <c r="E6" s="1628">
        <v>0</v>
      </c>
      <c r="F6" s="1628">
        <v>0</v>
      </c>
      <c r="G6" s="1620">
        <f t="shared" si="0"/>
        <v>7520461044.0100002</v>
      </c>
      <c r="H6" s="1628">
        <v>7307971772.0699987</v>
      </c>
      <c r="I6" s="1628">
        <v>103813912.38</v>
      </c>
      <c r="J6" s="1628">
        <v>0</v>
      </c>
      <c r="K6" s="1629">
        <f>+I6+H6+J6</f>
        <v>7411785684.4499989</v>
      </c>
      <c r="L6" s="1623">
        <f t="shared" si="1"/>
        <v>112475939.62000179</v>
      </c>
      <c r="M6" s="1624">
        <f t="shared" si="2"/>
        <v>108675359.56000137</v>
      </c>
      <c r="N6" s="1625">
        <f t="shared" si="3"/>
        <v>-3800580.0600000024</v>
      </c>
      <c r="O6" s="1630"/>
    </row>
    <row r="7" spans="1:20" s="1631" customFormat="1" ht="15.75">
      <c r="A7" s="1691">
        <v>2005</v>
      </c>
      <c r="B7" s="1628">
        <v>9658178373.5399971</v>
      </c>
      <c r="C7" s="1628">
        <v>604604920.63</v>
      </c>
      <c r="D7" s="1628">
        <v>0</v>
      </c>
      <c r="E7" s="1628">
        <v>0</v>
      </c>
      <c r="F7" s="1628">
        <v>0</v>
      </c>
      <c r="G7" s="1620">
        <f t="shared" si="0"/>
        <v>10262783294.169996</v>
      </c>
      <c r="H7" s="1628">
        <v>9649957865.664959</v>
      </c>
      <c r="I7" s="1628">
        <v>203608914.68000001</v>
      </c>
      <c r="J7" s="1628">
        <v>0</v>
      </c>
      <c r="K7" s="1629">
        <f t="shared" ref="K7:K18" si="4">+I7+H7+J7</f>
        <v>9853566780.3449593</v>
      </c>
      <c r="L7" s="1623">
        <f t="shared" si="1"/>
        <v>8220507.875038147</v>
      </c>
      <c r="M7" s="1624">
        <f t="shared" si="2"/>
        <v>409216513.825037</v>
      </c>
      <c r="N7" s="1625">
        <f t="shared" si="3"/>
        <v>400996005.94999999</v>
      </c>
      <c r="O7" s="1630"/>
    </row>
    <row r="8" spans="1:20" s="1631" customFormat="1" ht="15.75">
      <c r="A8" s="1691">
        <v>2006</v>
      </c>
      <c r="B8" s="1628">
        <v>11072100417.48</v>
      </c>
      <c r="C8" s="1628">
        <v>724509996.65999997</v>
      </c>
      <c r="D8" s="1628">
        <v>0</v>
      </c>
      <c r="E8" s="1628">
        <v>0</v>
      </c>
      <c r="F8" s="1628">
        <v>0</v>
      </c>
      <c r="G8" s="1620">
        <f t="shared" si="0"/>
        <v>11796610414.139999</v>
      </c>
      <c r="H8" s="1628">
        <v>10992104977.92</v>
      </c>
      <c r="I8" s="1628">
        <v>816768960.5</v>
      </c>
      <c r="J8" s="1628">
        <v>0</v>
      </c>
      <c r="K8" s="1629">
        <f t="shared" si="4"/>
        <v>11808873938.42</v>
      </c>
      <c r="L8" s="1623">
        <f t="shared" si="1"/>
        <v>79995439.559999466</v>
      </c>
      <c r="M8" s="1624">
        <f t="shared" si="2"/>
        <v>-12263524.280000687</v>
      </c>
      <c r="N8" s="1625">
        <f t="shared" si="3"/>
        <v>-92258963.840000033</v>
      </c>
      <c r="O8" s="1630"/>
    </row>
    <row r="9" spans="1:20" s="1631" customFormat="1" ht="15.75">
      <c r="A9" s="1691">
        <v>2007</v>
      </c>
      <c r="B9" s="1628">
        <v>21196634534.599998</v>
      </c>
      <c r="C9" s="1628">
        <v>1566425499.9599998</v>
      </c>
      <c r="D9" s="1628">
        <v>6163525.5899999999</v>
      </c>
      <c r="E9" s="1628">
        <v>125000000</v>
      </c>
      <c r="F9" s="1628">
        <v>0</v>
      </c>
      <c r="G9" s="1620">
        <f t="shared" si="0"/>
        <v>22894223560.149998</v>
      </c>
      <c r="H9" s="1628">
        <v>19449421024.499001</v>
      </c>
      <c r="I9" s="1628">
        <v>1578880050.26</v>
      </c>
      <c r="J9" s="1628">
        <v>0</v>
      </c>
      <c r="K9" s="1629">
        <f t="shared" si="4"/>
        <v>21028301074.758999</v>
      </c>
      <c r="L9" s="1623">
        <f t="shared" si="1"/>
        <v>1747213510.1009979</v>
      </c>
      <c r="M9" s="1624">
        <f t="shared" si="2"/>
        <v>1865922485.3909988</v>
      </c>
      <c r="N9" s="1625">
        <f t="shared" si="3"/>
        <v>-12454550.300000191</v>
      </c>
      <c r="O9" s="1630"/>
    </row>
    <row r="10" spans="1:20" s="1631" customFormat="1" ht="15.75">
      <c r="A10" s="1691">
        <v>2008</v>
      </c>
      <c r="B10" s="1628">
        <v>33078165051.270004</v>
      </c>
      <c r="C10" s="1628">
        <v>2203369531</v>
      </c>
      <c r="D10" s="1628">
        <v>173508720.10999998</v>
      </c>
      <c r="E10" s="1628">
        <v>256250000</v>
      </c>
      <c r="F10" s="1628">
        <v>0</v>
      </c>
      <c r="G10" s="1620">
        <f t="shared" si="0"/>
        <v>35711293302.380005</v>
      </c>
      <c r="H10" s="1628">
        <v>30384608580.630005</v>
      </c>
      <c r="I10" s="1628">
        <v>2556770326.0999999</v>
      </c>
      <c r="J10" s="1628">
        <v>0</v>
      </c>
      <c r="K10" s="1629">
        <f t="shared" si="4"/>
        <v>32941378906.730003</v>
      </c>
      <c r="L10" s="1623">
        <f t="shared" si="1"/>
        <v>2693556470.6399994</v>
      </c>
      <c r="M10" s="1624">
        <f t="shared" si="2"/>
        <v>2769914395.6500015</v>
      </c>
      <c r="N10" s="1625">
        <f t="shared" si="3"/>
        <v>-353400795.0999999</v>
      </c>
      <c r="O10" s="1630"/>
    </row>
    <row r="11" spans="1:20" s="1631" customFormat="1" ht="15.75">
      <c r="A11" s="1691">
        <v>2009</v>
      </c>
      <c r="B11" s="1628">
        <v>37872770644.519997</v>
      </c>
      <c r="C11" s="1628">
        <v>3190675855.0100002</v>
      </c>
      <c r="D11" s="1628">
        <v>756417677.61999989</v>
      </c>
      <c r="E11" s="1628">
        <v>18750000</v>
      </c>
      <c r="F11" s="1628">
        <v>178872817.62</v>
      </c>
      <c r="G11" s="1620">
        <f t="shared" si="0"/>
        <v>42017486994.770004</v>
      </c>
      <c r="H11" s="1628">
        <v>36497964610.739998</v>
      </c>
      <c r="I11" s="1628">
        <v>2723337644.3600001</v>
      </c>
      <c r="J11" s="1628">
        <v>0</v>
      </c>
      <c r="K11" s="1629">
        <f t="shared" si="4"/>
        <v>39221302255.099998</v>
      </c>
      <c r="L11" s="1623">
        <f t="shared" si="1"/>
        <v>1374806033.7799988</v>
      </c>
      <c r="M11" s="1624">
        <f t="shared" si="2"/>
        <v>2796184739.6700058</v>
      </c>
      <c r="N11" s="1625">
        <f t="shared" si="3"/>
        <v>467338210.6500001</v>
      </c>
      <c r="O11" s="1632"/>
      <c r="P11" s="1632"/>
      <c r="Q11" s="1632"/>
      <c r="R11" s="1632"/>
      <c r="S11" s="1632"/>
      <c r="T11" s="1633"/>
    </row>
    <row r="12" spans="1:20" s="1631" customFormat="1" ht="15.75">
      <c r="A12" s="1691">
        <v>2010</v>
      </c>
      <c r="B12" s="1628">
        <v>43605006094</v>
      </c>
      <c r="C12" s="1628">
        <v>3736675849.46</v>
      </c>
      <c r="D12" s="1628">
        <v>592502085.87</v>
      </c>
      <c r="E12" s="1628">
        <v>0</v>
      </c>
      <c r="F12" s="1628">
        <v>95767340.060000002</v>
      </c>
      <c r="G12" s="1620">
        <f t="shared" si="0"/>
        <v>48029951369.389999</v>
      </c>
      <c r="H12" s="1628">
        <v>47159091999.259995</v>
      </c>
      <c r="I12" s="1628">
        <v>3444380482.9799995</v>
      </c>
      <c r="J12" s="1628">
        <v>115952658.19999999</v>
      </c>
      <c r="K12" s="1629">
        <f t="shared" si="4"/>
        <v>50719425140.439987</v>
      </c>
      <c r="L12" s="1623">
        <f t="shared" si="1"/>
        <v>-3554085905.2599945</v>
      </c>
      <c r="M12" s="1624">
        <f t="shared" si="2"/>
        <v>-2689473771.0499878</v>
      </c>
      <c r="N12" s="1625">
        <f t="shared" si="3"/>
        <v>292295366.4800005</v>
      </c>
      <c r="O12" s="210"/>
      <c r="P12" s="210"/>
      <c r="Q12" s="210"/>
      <c r="R12" s="210"/>
      <c r="S12" s="210"/>
      <c r="T12" s="1634"/>
    </row>
    <row r="13" spans="1:20" s="1631" customFormat="1" ht="15.75">
      <c r="A13" s="1691">
        <v>2011</v>
      </c>
      <c r="B13" s="1628">
        <v>49415884815.839996</v>
      </c>
      <c r="C13" s="1628">
        <v>4134675852</v>
      </c>
      <c r="D13" s="1628">
        <v>678652741.80999982</v>
      </c>
      <c r="E13" s="1628">
        <v>0</v>
      </c>
      <c r="F13" s="1628">
        <v>320281085.42000002</v>
      </c>
      <c r="G13" s="1620">
        <f t="shared" si="0"/>
        <v>54549494495.069992</v>
      </c>
      <c r="H13" s="1628">
        <v>49687029143.730011</v>
      </c>
      <c r="I13" s="1628">
        <v>4363872025.2399998</v>
      </c>
      <c r="J13" s="1628">
        <v>291946073.39999998</v>
      </c>
      <c r="K13" s="1629">
        <f t="shared" si="4"/>
        <v>54342847242.37001</v>
      </c>
      <c r="L13" s="1623">
        <f t="shared" si="1"/>
        <v>-271144327.89001465</v>
      </c>
      <c r="M13" s="1624">
        <f t="shared" si="2"/>
        <v>206647252.69998169</v>
      </c>
      <c r="N13" s="1625">
        <f t="shared" si="3"/>
        <v>-229196173.23999977</v>
      </c>
      <c r="O13" s="1635"/>
    </row>
    <row r="14" spans="1:20" s="1631" customFormat="1" ht="15.75">
      <c r="A14" s="1691">
        <v>2012</v>
      </c>
      <c r="B14" s="1628">
        <v>55065532307.990005</v>
      </c>
      <c r="C14" s="1628">
        <v>4599999999.96</v>
      </c>
      <c r="D14" s="1628">
        <v>728182337.74000013</v>
      </c>
      <c r="E14" s="1628">
        <v>0</v>
      </c>
      <c r="F14" s="1628">
        <v>349151178.95999998</v>
      </c>
      <c r="G14" s="1620">
        <f t="shared" si="0"/>
        <v>60742865824.650002</v>
      </c>
      <c r="H14" s="1628">
        <v>56015800379.699997</v>
      </c>
      <c r="I14" s="1628">
        <v>4742082647.7799997</v>
      </c>
      <c r="J14" s="1628">
        <v>331635794.92000002</v>
      </c>
      <c r="K14" s="1629">
        <f t="shared" si="4"/>
        <v>61089518822.399994</v>
      </c>
      <c r="L14" s="1623">
        <f t="shared" si="1"/>
        <v>-950268071.70999146</v>
      </c>
      <c r="M14" s="1624">
        <f t="shared" si="2"/>
        <v>-346652997.74999237</v>
      </c>
      <c r="N14" s="1625">
        <f t="shared" si="3"/>
        <v>-142082647.81999969</v>
      </c>
      <c r="O14" s="1635"/>
    </row>
    <row r="15" spans="1:20" s="1631" customFormat="1" ht="15.75">
      <c r="A15" s="1691">
        <v>2013</v>
      </c>
      <c r="B15" s="1628">
        <v>61483003598.400002</v>
      </c>
      <c r="C15" s="1628">
        <v>5302610000</v>
      </c>
      <c r="D15" s="1628">
        <v>546685227.30000007</v>
      </c>
      <c r="E15" s="1628">
        <v>0</v>
      </c>
      <c r="F15" s="1628">
        <v>362641633.79000002</v>
      </c>
      <c r="G15" s="1620">
        <f t="shared" si="0"/>
        <v>67694940459.490005</v>
      </c>
      <c r="H15" s="1628">
        <v>62148659498.759995</v>
      </c>
      <c r="I15" s="1628">
        <v>5215203784.9399996</v>
      </c>
      <c r="J15" s="1628">
        <v>333800248.55999994</v>
      </c>
      <c r="K15" s="1629">
        <f t="shared" si="4"/>
        <v>67697663532.259995</v>
      </c>
      <c r="L15" s="1623">
        <f t="shared" si="1"/>
        <v>-665655900.35999298</v>
      </c>
      <c r="M15" s="1624">
        <f t="shared" si="2"/>
        <v>-2723072.7699890137</v>
      </c>
      <c r="N15" s="1625">
        <f t="shared" si="3"/>
        <v>87406215.06000042</v>
      </c>
      <c r="O15" s="1635"/>
    </row>
    <row r="16" spans="1:20" s="1631" customFormat="1" ht="15.75">
      <c r="A16" s="1691">
        <v>2014</v>
      </c>
      <c r="B16" s="1628">
        <v>69920892914.539993</v>
      </c>
      <c r="C16" s="1628">
        <v>6839999499</v>
      </c>
      <c r="D16" s="1628">
        <v>518319800.63000005</v>
      </c>
      <c r="E16" s="1628">
        <v>0</v>
      </c>
      <c r="F16" s="1628">
        <v>332071916.05000001</v>
      </c>
      <c r="G16" s="1620">
        <f t="shared" si="0"/>
        <v>77611284130.220001</v>
      </c>
      <c r="H16" s="1628">
        <v>70212118559.800003</v>
      </c>
      <c r="I16" s="1628">
        <v>7378610518.96</v>
      </c>
      <c r="J16" s="1628">
        <v>329249337.19999999</v>
      </c>
      <c r="K16" s="1629">
        <f t="shared" si="4"/>
        <v>77919978415.960007</v>
      </c>
      <c r="L16" s="1623">
        <f t="shared" si="1"/>
        <v>-291225645.26000977</v>
      </c>
      <c r="M16" s="1624">
        <f t="shared" si="2"/>
        <v>-308694285.74000549</v>
      </c>
      <c r="N16" s="1625">
        <f t="shared" si="3"/>
        <v>-538611019.96000004</v>
      </c>
      <c r="O16" s="1635"/>
    </row>
    <row r="17" spans="1:20" s="1637" customFormat="1" ht="15.75">
      <c r="A17" s="1691">
        <v>2015</v>
      </c>
      <c r="B17" s="1628">
        <v>79052372049.329987</v>
      </c>
      <c r="C17" s="1628">
        <v>6922811271.25</v>
      </c>
      <c r="D17" s="1628">
        <v>554292818.75</v>
      </c>
      <c r="E17" s="1628">
        <v>0</v>
      </c>
      <c r="F17" s="1628">
        <v>355290192.04999995</v>
      </c>
      <c r="G17" s="1620">
        <f t="shared" si="0"/>
        <v>86884766331.37999</v>
      </c>
      <c r="H17" s="1628">
        <v>78537174647.860001</v>
      </c>
      <c r="I17" s="1628">
        <v>6892825210.3000002</v>
      </c>
      <c r="J17" s="1628">
        <v>335652778.95999998</v>
      </c>
      <c r="K17" s="1629">
        <f t="shared" si="4"/>
        <v>85765652637.12001</v>
      </c>
      <c r="L17" s="1623">
        <f t="shared" si="1"/>
        <v>515197401.46998596</v>
      </c>
      <c r="M17" s="1624">
        <f t="shared" si="2"/>
        <v>1119113694.2599792</v>
      </c>
      <c r="N17" s="1625">
        <f t="shared" si="3"/>
        <v>29986060.949999809</v>
      </c>
      <c r="O17" s="1636"/>
      <c r="P17" s="1636"/>
      <c r="Q17" s="1636"/>
      <c r="R17" s="1636"/>
      <c r="S17" s="1636"/>
    </row>
    <row r="18" spans="1:20" s="1637" customFormat="1" ht="15.75">
      <c r="A18" s="1691" t="s">
        <v>1005</v>
      </c>
      <c r="B18" s="1628">
        <v>28604708437.040001</v>
      </c>
      <c r="C18" s="1628">
        <v>2804479479</v>
      </c>
      <c r="D18" s="1628">
        <v>245935524.74000001</v>
      </c>
      <c r="E18" s="1628">
        <v>0</v>
      </c>
      <c r="F18" s="1628">
        <v>111952939.36</v>
      </c>
      <c r="G18" s="1620">
        <f t="shared" si="0"/>
        <v>31767076380.140003</v>
      </c>
      <c r="H18" s="1628">
        <v>28816659481.690002</v>
      </c>
      <c r="I18" s="1628">
        <v>2706781911.3600001</v>
      </c>
      <c r="J18" s="1628">
        <v>111188929.28</v>
      </c>
      <c r="K18" s="1629">
        <f t="shared" si="4"/>
        <v>31634630322.330002</v>
      </c>
      <c r="L18" s="1623">
        <f t="shared" ref="L18" si="5">+B18-H18</f>
        <v>-211951044.65000153</v>
      </c>
      <c r="M18" s="1624">
        <f t="shared" ref="M18" si="6">+G18-K18</f>
        <v>132446057.81000137</v>
      </c>
      <c r="N18" s="1625">
        <f t="shared" ref="N18" si="7">C18-I18</f>
        <v>97697567.639999866</v>
      </c>
      <c r="O18" s="1636"/>
      <c r="P18" s="1636"/>
      <c r="Q18" s="1636"/>
      <c r="R18" s="1636"/>
      <c r="S18" s="1636"/>
    </row>
    <row r="19" spans="1:20" s="1627" customFormat="1" ht="18.75" customHeight="1">
      <c r="A19" s="1692" t="s">
        <v>133</v>
      </c>
      <c r="B19" s="1583">
        <f>SUM(B5:B18)</f>
        <v>509285020672.24994</v>
      </c>
      <c r="C19" s="1583">
        <f t="shared" ref="C19:F19" si="8">SUM(C5:C18)</f>
        <v>42780851086.25</v>
      </c>
      <c r="D19" s="1583">
        <f t="shared" si="8"/>
        <v>4800660460.1599998</v>
      </c>
      <c r="E19" s="1583">
        <f t="shared" si="8"/>
        <v>400000000</v>
      </c>
      <c r="F19" s="1622">
        <f t="shared" si="8"/>
        <v>2106029103.3099997</v>
      </c>
      <c r="G19" s="1621">
        <f>SUM(G5:G18)</f>
        <v>559372561321.97009</v>
      </c>
      <c r="H19" s="1621">
        <f>SUM(H5:H18)</f>
        <v>508672276182.16394</v>
      </c>
      <c r="I19" s="1622">
        <f t="shared" ref="I19:J19" si="9">SUM(I5:I18)</f>
        <v>42777589042.309998</v>
      </c>
      <c r="J19" s="1834">
        <f t="shared" si="9"/>
        <v>1849425820.52</v>
      </c>
      <c r="K19" s="1834">
        <f>SUM(K5:K18)</f>
        <v>553299291044.99402</v>
      </c>
      <c r="L19" s="1622">
        <f>SUM(L5:L18)</f>
        <v>612744490.08601665</v>
      </c>
      <c r="M19" s="1622">
        <f t="shared" ref="M19" si="10">SUM(M5:M18)</f>
        <v>6073270276.9760323</v>
      </c>
      <c r="N19" s="1622">
        <f>SUM(N5:N18)</f>
        <v>3262043.9400010109</v>
      </c>
      <c r="O19" s="1626"/>
      <c r="P19" s="1626"/>
      <c r="Q19" s="1626"/>
      <c r="R19" s="1626"/>
      <c r="S19" s="1626"/>
    </row>
    <row r="20" spans="1:20" ht="15.75">
      <c r="A20" s="2159" t="s">
        <v>983</v>
      </c>
      <c r="B20" s="2159"/>
      <c r="C20" s="2159"/>
      <c r="D20" s="2159"/>
      <c r="E20" s="2159"/>
      <c r="F20" s="1934"/>
      <c r="G20" s="1914"/>
      <c r="H20" s="1584"/>
      <c r="I20" s="1584"/>
      <c r="J20" s="1584"/>
      <c r="K20" s="1584"/>
      <c r="L20" s="1"/>
      <c r="M20" s="1"/>
      <c r="N20" s="7"/>
      <c r="O20" s="7"/>
      <c r="P20" s="7"/>
    </row>
    <row r="21" spans="1:20" ht="15.75">
      <c r="A21" s="2159" t="s">
        <v>984</v>
      </c>
      <c r="B21" s="2159"/>
      <c r="C21" s="2159"/>
      <c r="D21" s="2159"/>
      <c r="E21" s="2159"/>
      <c r="F21" s="2159"/>
      <c r="G21" s="1915"/>
      <c r="P21" s="1586"/>
      <c r="Q21" s="1586"/>
      <c r="R21" s="1586"/>
      <c r="S21" s="1586"/>
      <c r="T21" s="1586"/>
    </row>
    <row r="22" spans="1:20" s="1974" customFormat="1" ht="15.75">
      <c r="A22" s="1628"/>
      <c r="H22" s="1974">
        <f>+'[4]TSS Contributivo'!$BF$187</f>
        <v>21493597942.82</v>
      </c>
      <c r="I22" s="1974">
        <f>+'[4]TSS Subsidiado.'!$I$189</f>
        <v>2033842226.02</v>
      </c>
      <c r="J22" s="1974">
        <f>+'[4]TSS Contributivo'!$DA$187</f>
        <v>83842145.040000007</v>
      </c>
    </row>
    <row r="23" spans="1:20" s="54" customFormat="1" ht="15.75">
      <c r="A23" s="2049"/>
      <c r="H23" s="1975">
        <f t="shared" ref="H23:N23" si="11">+H22-H18</f>
        <v>-7323061538.8700027</v>
      </c>
      <c r="I23" s="1975">
        <f t="shared" si="11"/>
        <v>-672939685.34000015</v>
      </c>
      <c r="J23" s="1975">
        <f t="shared" si="11"/>
        <v>-27346784.239999995</v>
      </c>
      <c r="K23" s="1975">
        <f t="shared" si="11"/>
        <v>-31634630322.330002</v>
      </c>
      <c r="L23" s="1975">
        <f t="shared" si="11"/>
        <v>211951044.65000153</v>
      </c>
      <c r="M23" s="1975">
        <f t="shared" si="11"/>
        <v>-132446057.81000137</v>
      </c>
      <c r="N23" s="1975">
        <f t="shared" si="11"/>
        <v>-97697567.639999866</v>
      </c>
      <c r="O23" s="1975"/>
      <c r="P23" s="1975"/>
      <c r="Q23" s="1975"/>
      <c r="R23" s="1975"/>
      <c r="S23" s="1976"/>
      <c r="T23" s="1977"/>
    </row>
    <row r="24" spans="1:20" ht="15.75">
      <c r="A24" s="2049"/>
      <c r="O24" s="2058"/>
      <c r="P24" s="2058"/>
      <c r="Q24" s="2058"/>
      <c r="R24" s="2058"/>
      <c r="S24" s="2058"/>
      <c r="T24" s="2058"/>
    </row>
    <row r="25" spans="1:20" ht="15.75">
      <c r="A25" s="2049"/>
      <c r="B25" s="2049"/>
      <c r="C25" s="2049"/>
      <c r="D25" s="2049"/>
      <c r="E25" s="2049"/>
      <c r="F25" s="1582"/>
      <c r="O25" s="2049"/>
      <c r="P25" s="2049"/>
      <c r="Q25" s="2049"/>
      <c r="R25" s="1628"/>
      <c r="S25" s="2049"/>
      <c r="T25" s="1975"/>
    </row>
    <row r="26" spans="1:20" ht="15.75">
      <c r="C26" s="1653"/>
      <c r="D26" s="1653"/>
      <c r="E26" s="1978"/>
      <c r="F26" s="1582"/>
      <c r="O26" s="2049"/>
      <c r="P26" s="2049"/>
      <c r="Q26" s="2049"/>
      <c r="R26" s="2049"/>
      <c r="S26" s="2049"/>
      <c r="T26" s="1577"/>
    </row>
    <row r="27" spans="1:20" ht="15.75">
      <c r="C27" s="1653"/>
      <c r="D27" s="1653"/>
      <c r="F27" s="1582"/>
    </row>
    <row r="28" spans="1:20" ht="15.75">
      <c r="C28" s="1653"/>
      <c r="D28" s="1653"/>
      <c r="F28" s="1582"/>
    </row>
    <row r="29" spans="1:20" ht="15.75">
      <c r="C29" s="1653"/>
      <c r="D29" s="1653"/>
      <c r="F29" s="1582"/>
    </row>
    <row r="30" spans="1:20" ht="15.75">
      <c r="C30" s="1653"/>
      <c r="D30" s="1653"/>
      <c r="F30" s="1582"/>
    </row>
  </sheetData>
  <mergeCells count="7">
    <mergeCell ref="A21:F21"/>
    <mergeCell ref="A20:E20"/>
    <mergeCell ref="A1:O1"/>
    <mergeCell ref="A2:O2"/>
    <mergeCell ref="A3:A4"/>
    <mergeCell ref="B3:G3"/>
    <mergeCell ref="H3:K3"/>
  </mergeCells>
  <printOptions horizontalCentered="1" verticalCentered="1"/>
  <pageMargins left="0.39370078740157483" right="0.39370078740157483" top="0.23622047244094488" bottom="0.23622047244094488" header="0.31496062992125984" footer="7.874015748031496E-2"/>
  <pageSetup paperSize="5" scale="47"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4"/>
  <sheetViews>
    <sheetView showGridLines="0" view="pageBreakPreview" zoomScale="85" zoomScaleNormal="100" zoomScaleSheetLayoutView="85" workbookViewId="0">
      <selection activeCell="A3" sqref="A3"/>
    </sheetView>
  </sheetViews>
  <sheetFormatPr baseColWidth="10" defaultRowHeight="15"/>
  <cols>
    <col min="1" max="1" width="15.140625" style="703" customWidth="1"/>
    <col min="2" max="2" width="20.140625" style="703" customWidth="1"/>
    <col min="3" max="3" width="20.5703125" style="703" customWidth="1"/>
    <col min="4" max="4" width="21.28515625" style="703" customWidth="1"/>
    <col min="5" max="5" width="26.5703125" style="703" customWidth="1"/>
    <col min="6" max="7" width="18" style="703" customWidth="1"/>
    <col min="8" max="8" width="12.7109375" style="703" customWidth="1"/>
    <col min="9" max="9" width="14.42578125" style="703" customWidth="1"/>
    <col min="10" max="10" width="15.42578125" style="703" customWidth="1"/>
    <col min="11" max="11" width="18.42578125" style="703" customWidth="1"/>
    <col min="12" max="16384" width="11.42578125" style="703"/>
  </cols>
  <sheetData>
    <row r="1" spans="1:15" ht="71.25" customHeight="1">
      <c r="A1" s="2167"/>
      <c r="B1" s="2167"/>
      <c r="C1" s="2167"/>
      <c r="D1" s="2167"/>
      <c r="E1" s="2167"/>
      <c r="F1" s="2167"/>
      <c r="G1" s="2167"/>
      <c r="H1" s="2167"/>
      <c r="I1" s="2167"/>
      <c r="J1" s="2167"/>
    </row>
    <row r="2" spans="1:15" ht="3.75" customHeight="1"/>
    <row r="3" spans="1:15" s="1132" customFormat="1" ht="21" customHeight="1">
      <c r="A3" s="1131" t="s">
        <v>181</v>
      </c>
      <c r="B3" s="1734" t="s">
        <v>580</v>
      </c>
      <c r="C3" s="1734" t="s">
        <v>302</v>
      </c>
      <c r="D3" s="1131" t="s">
        <v>581</v>
      </c>
    </row>
    <row r="4" spans="1:15" ht="14.25" customHeight="1">
      <c r="A4" s="1733">
        <v>2003</v>
      </c>
      <c r="B4" s="1736">
        <v>211522228.03</v>
      </c>
      <c r="C4" s="1737">
        <v>1627801493.98</v>
      </c>
      <c r="D4" s="1084">
        <f>+C4+B4</f>
        <v>1839323722.01</v>
      </c>
      <c r="E4" s="1042"/>
      <c r="F4" s="1045"/>
    </row>
    <row r="5" spans="1:15" ht="14.25" customHeight="1">
      <c r="A5" s="1733">
        <v>2004</v>
      </c>
      <c r="B5" s="1738">
        <v>2104921284.339</v>
      </c>
      <c r="C5" s="1739">
        <v>5315526427.3509998</v>
      </c>
      <c r="D5" s="1085">
        <f>+C5+B5</f>
        <v>7420447711.6899996</v>
      </c>
      <c r="E5" s="1042"/>
      <c r="F5" s="1045"/>
      <c r="K5" s="1042"/>
    </row>
    <row r="6" spans="1:15" ht="14.25" customHeight="1">
      <c r="A6" s="1733">
        <v>2005</v>
      </c>
      <c r="B6" s="1738">
        <v>2740119047.3900003</v>
      </c>
      <c r="C6" s="1739">
        <v>6918059326.1500006</v>
      </c>
      <c r="D6" s="1085">
        <f t="shared" ref="D6:D17" si="0">+C6+B6</f>
        <v>9658178373.5400009</v>
      </c>
      <c r="E6" s="1042"/>
      <c r="F6" s="1045"/>
      <c r="G6" s="704"/>
      <c r="H6" s="704"/>
      <c r="K6" s="1042"/>
    </row>
    <row r="7" spans="1:15" ht="14.25" customHeight="1">
      <c r="A7" s="1733">
        <v>2006</v>
      </c>
      <c r="B7" s="1738">
        <v>2679574110.783494</v>
      </c>
      <c r="C7" s="1739">
        <v>8392526306.6965065</v>
      </c>
      <c r="D7" s="1085">
        <f t="shared" si="0"/>
        <v>11072100417.48</v>
      </c>
      <c r="E7" s="1042"/>
      <c r="F7" s="1045"/>
      <c r="K7" s="1042"/>
      <c r="M7" s="1042"/>
      <c r="N7" s="750"/>
      <c r="O7" s="750"/>
    </row>
    <row r="8" spans="1:15" ht="14.25" customHeight="1">
      <c r="A8" s="1733">
        <v>2007</v>
      </c>
      <c r="B8" s="1738">
        <v>7440643704.1800003</v>
      </c>
      <c r="C8" s="1739">
        <v>13755990830.42</v>
      </c>
      <c r="D8" s="1085">
        <f t="shared" si="0"/>
        <v>21196634534.599998</v>
      </c>
      <c r="E8" s="1042"/>
      <c r="F8" s="1045"/>
      <c r="K8" s="1042"/>
      <c r="M8" s="750"/>
      <c r="N8" s="750"/>
    </row>
    <row r="9" spans="1:15" ht="14.25" customHeight="1">
      <c r="A9" s="1733">
        <v>2008</v>
      </c>
      <c r="B9" s="1738">
        <v>10090935314.219999</v>
      </c>
      <c r="C9" s="1739">
        <v>22987229737.049999</v>
      </c>
      <c r="D9" s="1085">
        <f t="shared" si="0"/>
        <v>33078165051.269997</v>
      </c>
      <c r="E9" s="1042"/>
      <c r="F9" s="1045"/>
      <c r="K9" s="1042"/>
      <c r="M9" s="1042"/>
      <c r="N9" s="1045"/>
    </row>
    <row r="10" spans="1:15" ht="14.25" customHeight="1">
      <c r="A10" s="1733">
        <v>2009</v>
      </c>
      <c r="B10" s="1738">
        <v>12419428715.15</v>
      </c>
      <c r="C10" s="1739">
        <v>25453341929.369999</v>
      </c>
      <c r="D10" s="1085">
        <f t="shared" si="0"/>
        <v>37872770644.519997</v>
      </c>
      <c r="E10" s="1042"/>
      <c r="F10" s="1045"/>
      <c r="K10" s="1042"/>
    </row>
    <row r="11" spans="1:15" ht="14.25" customHeight="1">
      <c r="A11" s="1733">
        <v>2010</v>
      </c>
      <c r="B11" s="1738">
        <v>13982932933.34</v>
      </c>
      <c r="C11" s="1739">
        <v>29622073160.660004</v>
      </c>
      <c r="D11" s="1085">
        <f t="shared" si="0"/>
        <v>43605006094</v>
      </c>
      <c r="E11" s="1042"/>
      <c r="F11" s="1045"/>
      <c r="G11" s="167"/>
      <c r="H11" s="167"/>
      <c r="K11" s="1042"/>
    </row>
    <row r="12" spans="1:15" ht="14.25" customHeight="1">
      <c r="A12" s="1733">
        <v>2011</v>
      </c>
      <c r="B12" s="1738">
        <v>15631836986.009998</v>
      </c>
      <c r="C12" s="1739">
        <v>33784047829.830002</v>
      </c>
      <c r="D12" s="1085">
        <f t="shared" si="0"/>
        <v>49415884815.839996</v>
      </c>
      <c r="E12" s="1042"/>
      <c r="F12" s="1045"/>
      <c r="K12" s="1042"/>
    </row>
    <row r="13" spans="1:15" ht="14.25" customHeight="1">
      <c r="A13" s="1733">
        <v>2012</v>
      </c>
      <c r="B13" s="1738">
        <v>17595724643.350403</v>
      </c>
      <c r="C13" s="1739">
        <v>37469807664.639603</v>
      </c>
      <c r="D13" s="1085">
        <f t="shared" si="0"/>
        <v>55065532307.990005</v>
      </c>
      <c r="E13" s="1042"/>
      <c r="F13" s="1045"/>
      <c r="K13" s="1042"/>
    </row>
    <row r="14" spans="1:15" ht="14.25" customHeight="1">
      <c r="A14" s="1733">
        <v>2013</v>
      </c>
      <c r="B14" s="1738">
        <v>20873289030.960003</v>
      </c>
      <c r="C14" s="1739">
        <v>40609714567.439995</v>
      </c>
      <c r="D14" s="1085">
        <f t="shared" si="0"/>
        <v>61483003598.399994</v>
      </c>
      <c r="E14" s="1042"/>
      <c r="F14" s="1045"/>
      <c r="K14" s="1042"/>
    </row>
    <row r="15" spans="1:15" ht="14.25" customHeight="1">
      <c r="A15" s="1733">
        <v>2014</v>
      </c>
      <c r="B15" s="1738">
        <v>24657599719.139999</v>
      </c>
      <c r="C15" s="1739">
        <v>45263293195.400002</v>
      </c>
      <c r="D15" s="1085">
        <f t="shared" si="0"/>
        <v>69920892914.540009</v>
      </c>
      <c r="K15" s="1042"/>
      <c r="L15" s="832"/>
    </row>
    <row r="16" spans="1:15" ht="14.25" customHeight="1">
      <c r="A16" s="1733">
        <v>2015</v>
      </c>
      <c r="B16" s="1738">
        <v>29250900435.389999</v>
      </c>
      <c r="C16" s="1739">
        <v>49801471613.939987</v>
      </c>
      <c r="D16" s="1085">
        <f t="shared" si="0"/>
        <v>79052372049.329987</v>
      </c>
      <c r="K16" s="1042"/>
    </row>
    <row r="17" spans="1:11">
      <c r="A17" s="1733" t="s">
        <v>1005</v>
      </c>
      <c r="B17" s="1740">
        <v>10900425512.759998</v>
      </c>
      <c r="C17" s="1741">
        <v>17704282924.279999</v>
      </c>
      <c r="D17" s="1086">
        <f t="shared" si="0"/>
        <v>28604708437.039997</v>
      </c>
      <c r="K17" s="1042"/>
    </row>
    <row r="18" spans="1:11">
      <c r="A18" s="935" t="s">
        <v>91</v>
      </c>
      <c r="B18" s="1735">
        <f>SUM(B4:B17)</f>
        <v>170579853665.04291</v>
      </c>
      <c r="C18" s="1735">
        <f t="shared" ref="C18:D18" si="1">SUM(C4:C17)</f>
        <v>338705167007.20703</v>
      </c>
      <c r="D18" s="1087">
        <f t="shared" si="1"/>
        <v>509285020672.24994</v>
      </c>
      <c r="K18" s="1042"/>
    </row>
    <row r="20" spans="1:11" ht="18.75">
      <c r="K20" s="1587"/>
    </row>
    <row r="21" spans="1:11" ht="18.75">
      <c r="K21" s="1587"/>
    </row>
    <row r="23" spans="1:11">
      <c r="K23" s="750"/>
    </row>
    <row r="24" spans="1:11">
      <c r="K24" s="750"/>
    </row>
  </sheetData>
  <mergeCells count="1">
    <mergeCell ref="A1:J1"/>
  </mergeCells>
  <pageMargins left="0.7" right="0.7" top="0.75" bottom="0.75" header="0.3" footer="0.3"/>
  <pageSetup scale="6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A3" sqref="A3"/>
    </sheetView>
  </sheetViews>
  <sheetFormatPr baseColWidth="10" defaultRowHeight="15"/>
  <cols>
    <col min="1" max="1" width="15.42578125" style="705" customWidth="1"/>
    <col min="2" max="2" width="20.5703125" style="705" customWidth="1"/>
    <col min="3" max="3" width="19.140625" style="705" customWidth="1"/>
    <col min="4" max="4" width="19.85546875" style="705" customWidth="1"/>
    <col min="5" max="5" width="21.42578125" style="705" customWidth="1"/>
    <col min="6" max="6" width="22" style="705" customWidth="1"/>
    <col min="7" max="7" width="11.42578125" style="705"/>
    <col min="8" max="8" width="23.7109375" style="705" customWidth="1"/>
    <col min="9" max="9" width="18.7109375" style="705" customWidth="1"/>
    <col min="10" max="10" width="16.42578125" style="705" customWidth="1"/>
    <col min="11" max="11" width="9.42578125" style="705" customWidth="1"/>
    <col min="12" max="12" width="20.85546875" style="705" customWidth="1"/>
    <col min="13" max="16384" width="11.42578125" style="705"/>
  </cols>
  <sheetData>
    <row r="1" spans="1:18" ht="54.75" customHeight="1">
      <c r="A1" s="2168" t="s">
        <v>588</v>
      </c>
      <c r="B1" s="2169"/>
      <c r="C1" s="2169"/>
      <c r="D1" s="2169"/>
      <c r="E1" s="2169"/>
      <c r="F1" s="2169"/>
      <c r="G1" s="2169"/>
    </row>
    <row r="2" spans="1:18" ht="19.5" customHeight="1">
      <c r="A2" s="706"/>
      <c r="B2" s="706"/>
      <c r="C2" s="706"/>
      <c r="D2" s="706"/>
      <c r="E2" s="706"/>
      <c r="F2" s="706"/>
    </row>
    <row r="3" spans="1:18" ht="39" customHeight="1">
      <c r="A3" s="712" t="s">
        <v>181</v>
      </c>
      <c r="B3" s="711" t="s">
        <v>582</v>
      </c>
      <c r="C3" s="711" t="s">
        <v>583</v>
      </c>
      <c r="D3" s="711" t="s">
        <v>584</v>
      </c>
      <c r="E3" s="711" t="s">
        <v>585</v>
      </c>
      <c r="F3" s="752" t="s">
        <v>586</v>
      </c>
    </row>
    <row r="4" spans="1:18">
      <c r="A4" s="713">
        <v>2003</v>
      </c>
      <c r="B4" s="489">
        <v>63456668.409345008</v>
      </c>
      <c r="C4" s="489">
        <v>488340448.19365501</v>
      </c>
      <c r="D4" s="489">
        <v>148065559.62180501</v>
      </c>
      <c r="E4" s="489">
        <v>1139461045.7851951</v>
      </c>
      <c r="F4" s="753">
        <f t="shared" ref="F4:F17" si="0">SUM(B4:E4)</f>
        <v>1839323722.0100002</v>
      </c>
      <c r="G4" s="749"/>
    </row>
    <row r="5" spans="1:18">
      <c r="A5" s="713">
        <v>2004</v>
      </c>
      <c r="B5" s="489">
        <v>547279533.92999995</v>
      </c>
      <c r="C5" s="489">
        <v>1382036871.1099999</v>
      </c>
      <c r="D5" s="489">
        <v>1557641750.4100001</v>
      </c>
      <c r="E5" s="489">
        <v>3933489556.2399998</v>
      </c>
      <c r="F5" s="753">
        <f>SUM(B5:E5)</f>
        <v>7420447711.6899996</v>
      </c>
      <c r="G5" s="749"/>
    </row>
    <row r="6" spans="1:18">
      <c r="A6" s="713">
        <v>2005</v>
      </c>
      <c r="B6" s="489">
        <v>712430952.32140017</v>
      </c>
      <c r="C6" s="489">
        <v>1798695424.7990003</v>
      </c>
      <c r="D6" s="489">
        <v>2027688095.0686002</v>
      </c>
      <c r="E6" s="489">
        <v>5119363901.3510008</v>
      </c>
      <c r="F6" s="753">
        <f t="shared" si="0"/>
        <v>9658178373.5400009</v>
      </c>
      <c r="G6" s="749"/>
      <c r="L6" s="1562"/>
      <c r="M6" s="1562"/>
    </row>
    <row r="7" spans="1:18">
      <c r="A7" s="713">
        <v>2006</v>
      </c>
      <c r="B7" s="489">
        <v>696689268.80370843</v>
      </c>
      <c r="C7" s="489">
        <v>2182056839.7410917</v>
      </c>
      <c r="D7" s="489">
        <v>1982884841.9797854</v>
      </c>
      <c r="E7" s="489">
        <v>6210469466.9554148</v>
      </c>
      <c r="F7" s="753">
        <f t="shared" si="0"/>
        <v>11072100417.48</v>
      </c>
      <c r="G7" s="749"/>
      <c r="J7" s="750"/>
      <c r="K7" s="750"/>
      <c r="L7" s="2170"/>
      <c r="M7" s="2170"/>
      <c r="R7" s="856"/>
    </row>
    <row r="8" spans="1:18">
      <c r="A8" s="713">
        <v>2007</v>
      </c>
      <c r="B8" s="489">
        <v>2008973800.1286001</v>
      </c>
      <c r="C8" s="489">
        <v>3714117524.2134004</v>
      </c>
      <c r="D8" s="489">
        <v>5431669904.0514002</v>
      </c>
      <c r="E8" s="489">
        <v>10041873306.2066</v>
      </c>
      <c r="F8" s="753">
        <f t="shared" si="0"/>
        <v>21196634534.600002</v>
      </c>
      <c r="G8" s="749"/>
    </row>
    <row r="9" spans="1:18">
      <c r="A9" s="713">
        <v>2008</v>
      </c>
      <c r="B9" s="489">
        <v>2875916564.5526996</v>
      </c>
      <c r="C9" s="489">
        <v>6551360475.0592489</v>
      </c>
      <c r="D9" s="489">
        <v>7215018749.6672993</v>
      </c>
      <c r="E9" s="489">
        <v>16435869261.990749</v>
      </c>
      <c r="F9" s="753">
        <f t="shared" si="0"/>
        <v>33078165051.269997</v>
      </c>
      <c r="G9" s="749"/>
      <c r="L9" s="1561"/>
      <c r="M9" s="1561"/>
    </row>
    <row r="10" spans="1:18">
      <c r="A10" s="713">
        <v>2009</v>
      </c>
      <c r="B10" s="489">
        <v>3539537183.8177495</v>
      </c>
      <c r="C10" s="489">
        <v>7254202449.8704491</v>
      </c>
      <c r="D10" s="489">
        <v>8879891531.3322487</v>
      </c>
      <c r="E10" s="489">
        <v>18199139479.49955</v>
      </c>
      <c r="F10" s="753">
        <f t="shared" si="0"/>
        <v>37872770644.519997</v>
      </c>
      <c r="G10" s="749"/>
      <c r="L10" s="2171"/>
      <c r="M10" s="2171"/>
      <c r="N10" s="750"/>
    </row>
    <row r="11" spans="1:18">
      <c r="A11" s="713">
        <v>2010</v>
      </c>
      <c r="B11" s="489">
        <v>3985135886.0018997</v>
      </c>
      <c r="C11" s="489">
        <v>8442290850.7881002</v>
      </c>
      <c r="D11" s="489">
        <v>9997797047.3381004</v>
      </c>
      <c r="E11" s="489">
        <v>21179782309.871902</v>
      </c>
      <c r="F11" s="753">
        <f t="shared" si="0"/>
        <v>43605006094</v>
      </c>
      <c r="G11" s="749"/>
      <c r="K11" s="749"/>
      <c r="L11" s="749"/>
      <c r="N11" s="750"/>
    </row>
    <row r="12" spans="1:18">
      <c r="A12" s="713">
        <v>2011</v>
      </c>
      <c r="B12" s="489">
        <v>4455073541.0128489</v>
      </c>
      <c r="C12" s="489">
        <v>9628453631.5015488</v>
      </c>
      <c r="D12" s="489">
        <v>11176763444.997149</v>
      </c>
      <c r="E12" s="489">
        <v>24155594198.328449</v>
      </c>
      <c r="F12" s="753">
        <f t="shared" si="0"/>
        <v>49415884815.839996</v>
      </c>
      <c r="G12" s="749"/>
      <c r="K12" s="750"/>
      <c r="L12" s="750"/>
      <c r="N12" s="750"/>
    </row>
    <row r="13" spans="1:18">
      <c r="A13" s="713">
        <v>2012</v>
      </c>
      <c r="B13" s="489">
        <v>5014781523.3548641</v>
      </c>
      <c r="C13" s="489">
        <v>10678895184.422285</v>
      </c>
      <c r="D13" s="489">
        <v>12580943119.995537</v>
      </c>
      <c r="E13" s="489">
        <v>26790912480.217316</v>
      </c>
      <c r="F13" s="753">
        <f t="shared" si="0"/>
        <v>55065532307.990005</v>
      </c>
      <c r="G13" s="749"/>
      <c r="J13" s="1384"/>
      <c r="L13" s="750"/>
      <c r="M13" s="750"/>
    </row>
    <row r="14" spans="1:18">
      <c r="A14" s="713">
        <v>2013</v>
      </c>
      <c r="B14" s="489">
        <v>5948887373.8236008</v>
      </c>
      <c r="C14" s="489">
        <v>11573768651.720398</v>
      </c>
      <c r="D14" s="489">
        <v>14924401657.136402</v>
      </c>
      <c r="E14" s="489">
        <v>29035945915.719597</v>
      </c>
      <c r="F14" s="753">
        <f t="shared" si="0"/>
        <v>61483003598.399994</v>
      </c>
      <c r="G14" s="749"/>
      <c r="L14" s="750"/>
    </row>
    <row r="15" spans="1:18">
      <c r="A15" s="713">
        <v>2014</v>
      </c>
      <c r="B15" s="489">
        <v>7027415919.9548988</v>
      </c>
      <c r="C15" s="489">
        <v>12900038560.688999</v>
      </c>
      <c r="D15" s="489">
        <v>17630183799.185101</v>
      </c>
      <c r="E15" s="489">
        <v>32363254634.710999</v>
      </c>
      <c r="F15" s="753">
        <f t="shared" si="0"/>
        <v>69920892914.539993</v>
      </c>
      <c r="G15" s="749"/>
      <c r="H15" s="749"/>
      <c r="L15" s="750"/>
    </row>
    <row r="16" spans="1:18">
      <c r="A16" s="1449">
        <v>2015</v>
      </c>
      <c r="B16" s="1448">
        <v>8336506624.0861492</v>
      </c>
      <c r="C16" s="1448">
        <v>14193419409.972895</v>
      </c>
      <c r="D16" s="1448">
        <v>20914393811.303848</v>
      </c>
      <c r="E16" s="1448">
        <v>35608052203.967087</v>
      </c>
      <c r="F16" s="753">
        <f t="shared" si="0"/>
        <v>79052372049.329987</v>
      </c>
      <c r="G16" s="749"/>
      <c r="H16" s="749"/>
      <c r="K16" s="749"/>
      <c r="L16" s="750"/>
    </row>
    <row r="17" spans="1:15">
      <c r="A17" s="1449" t="s">
        <v>1005</v>
      </c>
      <c r="B17" s="1466">
        <v>3106621271.1365991</v>
      </c>
      <c r="C17" s="1466">
        <v>5045720633.4197989</v>
      </c>
      <c r="D17" s="1466">
        <v>7793804241.6233988</v>
      </c>
      <c r="E17" s="1466">
        <v>12658562290.860199</v>
      </c>
      <c r="F17" s="753">
        <f t="shared" si="0"/>
        <v>28604708437.039997</v>
      </c>
      <c r="G17" s="749"/>
      <c r="L17" s="856"/>
      <c r="M17" s="856"/>
      <c r="N17" s="856"/>
      <c r="O17" s="856"/>
    </row>
    <row r="18" spans="1:15">
      <c r="A18" s="1742" t="s">
        <v>91</v>
      </c>
      <c r="B18" s="751">
        <f>SUM(B4:B17)</f>
        <v>48318706111.334366</v>
      </c>
      <c r="C18" s="714">
        <f t="shared" ref="C18:E18" si="1">SUM(C4:C17)</f>
        <v>95833396955.500885</v>
      </c>
      <c r="D18" s="714">
        <f t="shared" si="1"/>
        <v>122261147553.71068</v>
      </c>
      <c r="E18" s="1743">
        <f t="shared" si="1"/>
        <v>242871770051.70407</v>
      </c>
      <c r="F18" s="1743">
        <f>SUM(F4:F17)</f>
        <v>509285020672.24994</v>
      </c>
    </row>
    <row r="20" spans="1:15" ht="18.75">
      <c r="L20" s="1588"/>
    </row>
    <row r="21" spans="1:15" ht="18.75">
      <c r="C21" s="1046"/>
      <c r="E21" s="1046"/>
      <c r="L21" s="1588"/>
    </row>
    <row r="22" spans="1:15">
      <c r="L22" s="1384"/>
    </row>
    <row r="23" spans="1:15">
      <c r="L23" s="749"/>
    </row>
  </sheetData>
  <mergeCells count="3">
    <mergeCell ref="A1:G1"/>
    <mergeCell ref="L7:M7"/>
    <mergeCell ref="L10:M10"/>
  </mergeCells>
  <pageMargins left="0.7" right="0.7" top="0.75" bottom="0.75" header="0.3" footer="0.3"/>
  <pageSetup scale="62"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2"/>
  <sheetViews>
    <sheetView showGridLines="0" view="pageBreakPreview" zoomScale="85" zoomScaleNormal="100" zoomScaleSheetLayoutView="85" workbookViewId="0">
      <selection activeCell="L29" sqref="L29"/>
    </sheetView>
  </sheetViews>
  <sheetFormatPr baseColWidth="10" defaultRowHeight="15"/>
  <cols>
    <col min="1" max="1" width="15.140625" style="862" customWidth="1"/>
    <col min="2" max="2" width="18.42578125" style="862" customWidth="1"/>
    <col min="3" max="3" width="16.7109375" style="862" customWidth="1"/>
    <col min="4" max="4" width="20.7109375" style="862" customWidth="1"/>
    <col min="5" max="6" width="20.140625" style="862" customWidth="1"/>
    <col min="7" max="7" width="26.5703125" style="862" customWidth="1"/>
    <col min="8" max="8" width="9.28515625" style="862" customWidth="1"/>
    <col min="9" max="9" width="11.42578125" style="862" customWidth="1"/>
    <col min="10" max="10" width="18.42578125" style="862" customWidth="1"/>
    <col min="11" max="11" width="11.42578125" style="862"/>
    <col min="12" max="12" width="17.140625" style="862" bestFit="1" customWidth="1"/>
    <col min="13" max="13" width="21" style="862" bestFit="1" customWidth="1"/>
    <col min="14" max="16384" width="11.42578125" style="862"/>
  </cols>
  <sheetData>
    <row r="1" spans="1:13" ht="15.75" customHeight="1">
      <c r="A1" s="2172" t="s">
        <v>672</v>
      </c>
      <c r="B1" s="2172"/>
      <c r="C1" s="2172"/>
      <c r="D1" s="2172"/>
      <c r="E1" s="2172"/>
      <c r="F1" s="2172"/>
      <c r="G1" s="2172"/>
      <c r="H1" s="2172"/>
      <c r="I1" s="1576"/>
      <c r="J1" s="1576"/>
      <c r="K1" s="949"/>
    </row>
    <row r="2" spans="1:13" s="950" customFormat="1" ht="41.25" customHeight="1">
      <c r="A2" s="2172"/>
      <c r="B2" s="2172"/>
      <c r="C2" s="2172"/>
      <c r="D2" s="2172"/>
      <c r="E2" s="2172"/>
      <c r="F2" s="2172"/>
      <c r="G2" s="2172"/>
      <c r="H2" s="2172"/>
      <c r="I2" s="1576"/>
      <c r="J2" s="1576"/>
      <c r="K2" s="949"/>
    </row>
    <row r="3" spans="1:13" ht="18" customHeight="1">
      <c r="A3" s="863"/>
      <c r="B3" s="863"/>
      <c r="C3" s="863"/>
      <c r="D3" s="863"/>
      <c r="E3" s="863"/>
      <c r="F3" s="863"/>
      <c r="G3" s="950"/>
      <c r="H3" s="950"/>
      <c r="I3" s="950"/>
      <c r="J3" s="950"/>
      <c r="K3" s="950"/>
      <c r="L3" s="1450"/>
    </row>
    <row r="4" spans="1:13" s="864" customFormat="1" ht="35.25" customHeight="1">
      <c r="A4" s="865" t="s">
        <v>38</v>
      </c>
      <c r="B4" s="867" t="s">
        <v>668</v>
      </c>
      <c r="C4" s="867" t="s">
        <v>669</v>
      </c>
      <c r="D4" s="867" t="s">
        <v>947</v>
      </c>
      <c r="E4" s="867" t="s">
        <v>670</v>
      </c>
      <c r="F4" s="866" t="s">
        <v>23</v>
      </c>
      <c r="G4" s="867" t="s">
        <v>671</v>
      </c>
      <c r="H4" s="865" t="s">
        <v>35</v>
      </c>
      <c r="I4" s="1589"/>
      <c r="J4" s="1589"/>
      <c r="L4" s="1450"/>
      <c r="M4" s="1043"/>
    </row>
    <row r="5" spans="1:13">
      <c r="A5" s="1193">
        <v>2005</v>
      </c>
      <c r="B5" s="1173"/>
      <c r="C5" s="1173">
        <v>0</v>
      </c>
      <c r="D5" s="1173">
        <f>+'IV.1.3. Ingr y egr SDSS'!C7</f>
        <v>604604920.63</v>
      </c>
      <c r="E5" s="1173">
        <f>+'IV.1.5 Rec. x origen'!D6</f>
        <v>2027688095.0686002</v>
      </c>
      <c r="F5" s="868">
        <f>SUM(B5:E5)</f>
        <v>2632293015.6986003</v>
      </c>
      <c r="G5" s="1745">
        <v>1020002000000</v>
      </c>
      <c r="H5" s="1002">
        <f>+F5/G5</f>
        <v>2.5806743670096729E-3</v>
      </c>
      <c r="I5" s="1590"/>
      <c r="J5" s="1590"/>
      <c r="L5" s="1450"/>
      <c r="M5" s="1043"/>
    </row>
    <row r="6" spans="1:13">
      <c r="A6" s="1193">
        <v>2006</v>
      </c>
      <c r="B6" s="1173"/>
      <c r="C6" s="1173">
        <v>0</v>
      </c>
      <c r="D6" s="1173">
        <f>+'IV.1.3. Ingr y egr SDSS'!C8</f>
        <v>724509996.65999997</v>
      </c>
      <c r="E6" s="1173">
        <f>+'IV.1.5 Rec. x origen'!D7</f>
        <v>1982884841.9797854</v>
      </c>
      <c r="F6" s="868">
        <f t="shared" ref="F6:F14" si="0">SUM(B6:E6)</f>
        <v>2707394838.6397853</v>
      </c>
      <c r="G6" s="1746">
        <v>1189801900000</v>
      </c>
      <c r="H6" s="1003">
        <f t="shared" ref="H6:H14" si="1">+F6/G6</f>
        <v>2.2755005170522801E-3</v>
      </c>
      <c r="I6" s="1590"/>
      <c r="J6" s="1590"/>
      <c r="L6" s="1450"/>
      <c r="M6" s="1043"/>
    </row>
    <row r="7" spans="1:13">
      <c r="A7" s="1193">
        <v>2007</v>
      </c>
      <c r="B7" s="1173"/>
      <c r="C7" s="1173">
        <v>125000000</v>
      </c>
      <c r="D7" s="1173">
        <f>+'IV.1.3. Ingr y egr SDSS'!C9</f>
        <v>1566425499.9599998</v>
      </c>
      <c r="E7" s="1173">
        <f>+'IV.1.5 Rec. x origen'!D8</f>
        <v>5431669904.0514002</v>
      </c>
      <c r="F7" s="868">
        <f t="shared" si="0"/>
        <v>7123095404.0114002</v>
      </c>
      <c r="G7" s="1746">
        <v>1364210300000</v>
      </c>
      <c r="H7" s="1003">
        <f t="shared" si="1"/>
        <v>5.2214056762446377E-3</v>
      </c>
      <c r="I7" s="1590"/>
      <c r="J7" s="1590"/>
      <c r="L7" s="1450"/>
      <c r="M7" s="1043"/>
    </row>
    <row r="8" spans="1:13">
      <c r="A8" s="1193">
        <v>2008</v>
      </c>
      <c r="B8" s="1173"/>
      <c r="C8" s="1173">
        <v>256250000</v>
      </c>
      <c r="D8" s="1173">
        <f>+'IV.1.3. Ingr y egr SDSS'!C10</f>
        <v>2203369531</v>
      </c>
      <c r="E8" s="1173">
        <f>+'IV.1.5 Rec. x origen'!D9</f>
        <v>7215018749.6672993</v>
      </c>
      <c r="F8" s="868">
        <f t="shared" si="0"/>
        <v>9674638280.6672993</v>
      </c>
      <c r="G8" s="1746">
        <v>1576162800000</v>
      </c>
      <c r="H8" s="1003">
        <f t="shared" si="1"/>
        <v>6.138095811338333E-3</v>
      </c>
      <c r="I8" s="1590"/>
      <c r="J8" s="1590"/>
      <c r="L8" s="1450"/>
      <c r="M8" s="1043"/>
    </row>
    <row r="9" spans="1:13">
      <c r="A9" s="1193">
        <v>2009</v>
      </c>
      <c r="B9" s="1173">
        <f>+'IV.1.3. Ingr y egr SDSS'!F11</f>
        <v>178872817.62</v>
      </c>
      <c r="C9" s="1173">
        <v>18750000</v>
      </c>
      <c r="D9" s="1173">
        <f>+'IV.1.3. Ingr y egr SDSS'!C11</f>
        <v>3190675855.0100002</v>
      </c>
      <c r="E9" s="1173">
        <f>+'IV.1.5 Rec. x origen'!D10</f>
        <v>8879891531.3322487</v>
      </c>
      <c r="F9" s="868">
        <f t="shared" si="0"/>
        <v>12268190203.96225</v>
      </c>
      <c r="G9" s="1746">
        <v>1678762600000</v>
      </c>
      <c r="H9" s="1003">
        <f t="shared" si="1"/>
        <v>7.3078767682591035E-3</v>
      </c>
      <c r="I9" s="1590"/>
      <c r="J9" s="1590"/>
      <c r="L9" s="1450"/>
      <c r="M9" s="1043"/>
    </row>
    <row r="10" spans="1:13">
      <c r="A10" s="1193">
        <v>2010</v>
      </c>
      <c r="B10" s="1173">
        <f>+'IV.1.3. Ingr y egr SDSS'!F12</f>
        <v>95767340.060000002</v>
      </c>
      <c r="C10" s="1173">
        <v>0</v>
      </c>
      <c r="D10" s="1173">
        <f>+'IV.1.3. Ingr y egr SDSS'!C12</f>
        <v>3736675849.46</v>
      </c>
      <c r="E10" s="1173">
        <f>+'IV.1.5 Rec. x origen'!D11</f>
        <v>9997797047.3381004</v>
      </c>
      <c r="F10" s="868">
        <f t="shared" si="0"/>
        <v>13830240236.858101</v>
      </c>
      <c r="G10" s="1746">
        <v>1901896700000</v>
      </c>
      <c r="H10" s="1003">
        <f t="shared" si="1"/>
        <v>7.2718146242422635E-3</v>
      </c>
      <c r="I10" s="1590"/>
      <c r="J10" s="1590"/>
      <c r="L10" s="1450"/>
      <c r="M10" s="1043"/>
    </row>
    <row r="11" spans="1:13">
      <c r="A11" s="1193">
        <v>2011</v>
      </c>
      <c r="B11" s="1173">
        <f>+'IV.1.3. Ingr y egr SDSS'!F13</f>
        <v>320281085.42000002</v>
      </c>
      <c r="C11" s="1173">
        <v>0</v>
      </c>
      <c r="D11" s="1173">
        <f>+'IV.1.3. Ingr y egr SDSS'!C13</f>
        <v>4134675852</v>
      </c>
      <c r="E11" s="1173">
        <f>+'IV.1.5 Rec. x origen'!D12</f>
        <v>11176763444.997149</v>
      </c>
      <c r="F11" s="868">
        <f t="shared" si="0"/>
        <v>15631720382.417149</v>
      </c>
      <c r="G11" s="1746">
        <v>2119301799999.9998</v>
      </c>
      <c r="H11" s="1003">
        <f t="shared" si="1"/>
        <v>7.3758821808282094E-3</v>
      </c>
      <c r="I11" s="1590"/>
      <c r="J11" s="1590"/>
      <c r="L11" s="1450"/>
      <c r="M11" s="1043"/>
    </row>
    <row r="12" spans="1:13">
      <c r="A12" s="1193">
        <v>2012</v>
      </c>
      <c r="B12" s="1173">
        <f>+'IV.1.3. Ingr y egr SDSS'!F14</f>
        <v>349151178.95999998</v>
      </c>
      <c r="C12" s="1173">
        <v>0</v>
      </c>
      <c r="D12" s="1173">
        <f>+'IV.1.3. Ingr y egr SDSS'!C14</f>
        <v>4599999999.96</v>
      </c>
      <c r="E12" s="1450">
        <f>+'IV.1.5 Rec. x origen'!D13</f>
        <v>12580943119.995537</v>
      </c>
      <c r="F12" s="868">
        <f t="shared" si="0"/>
        <v>17530094298.915535</v>
      </c>
      <c r="G12" s="1746">
        <v>2316783700000</v>
      </c>
      <c r="H12" s="1003">
        <f t="shared" si="1"/>
        <v>7.5665649317696489E-3</v>
      </c>
      <c r="I12" s="1590"/>
      <c r="J12" s="1590"/>
      <c r="L12" s="1450"/>
      <c r="M12" s="1043"/>
    </row>
    <row r="13" spans="1:13">
      <c r="A13" s="1193">
        <v>2013</v>
      </c>
      <c r="B13" s="1173">
        <f>+'IV.1.3. Ingr y egr SDSS'!F15</f>
        <v>362641633.79000002</v>
      </c>
      <c r="C13" s="1173">
        <v>0</v>
      </c>
      <c r="D13" s="1173">
        <f>+'IV.1.3. Ingr y egr SDSS'!C15</f>
        <v>5302610000</v>
      </c>
      <c r="E13" s="1450">
        <f>+'IV.1.5 Rec. x origen'!D14</f>
        <v>14924401657.136402</v>
      </c>
      <c r="F13" s="868">
        <f t="shared" si="0"/>
        <v>20589653290.926403</v>
      </c>
      <c r="G13" s="1746">
        <v>2534067800000</v>
      </c>
      <c r="H13" s="1003">
        <f t="shared" si="1"/>
        <v>8.1251390712302179E-3</v>
      </c>
      <c r="I13" s="1590"/>
      <c r="J13" s="1590"/>
      <c r="L13" s="1450"/>
      <c r="M13" s="1043"/>
    </row>
    <row r="14" spans="1:13">
      <c r="A14" s="1193">
        <v>2014</v>
      </c>
      <c r="B14" s="1173">
        <f>+'IV.1.3. Ingr y egr SDSS'!F16</f>
        <v>332071916.05000001</v>
      </c>
      <c r="C14" s="1173">
        <v>0</v>
      </c>
      <c r="D14" s="1173">
        <f>+'IV.1.3. Ingr y egr SDSS'!C16</f>
        <v>6839999499</v>
      </c>
      <c r="E14" s="1450">
        <f>+'IV.1.5 Rec. x origen'!D15</f>
        <v>17630183799.185101</v>
      </c>
      <c r="F14" s="868">
        <f t="shared" si="0"/>
        <v>24802255214.2351</v>
      </c>
      <c r="G14" s="1746">
        <v>2786229703801.9404</v>
      </c>
      <c r="H14" s="1003">
        <f t="shared" si="1"/>
        <v>8.9017266524692006E-3</v>
      </c>
      <c r="I14" s="1590"/>
      <c r="J14" s="1590"/>
      <c r="L14" s="1450"/>
      <c r="M14" s="1043"/>
    </row>
    <row r="15" spans="1:13">
      <c r="A15" s="1451">
        <v>2015</v>
      </c>
      <c r="B15" s="1450">
        <f>+'IV.1.3. Ingr y egr SDSS'!F17</f>
        <v>355290192.04999995</v>
      </c>
      <c r="C15" s="1450">
        <v>0</v>
      </c>
      <c r="D15" s="1450">
        <f>+'IV.1.3. Ingr y egr SDSS'!C17</f>
        <v>6922811271.25</v>
      </c>
      <c r="E15" s="1450">
        <f>+'IV.1.5 Rec. x origen'!D16</f>
        <v>20914393811.303848</v>
      </c>
      <c r="F15" s="868">
        <f>SUM(B15:E15)</f>
        <v>28192495274.603848</v>
      </c>
      <c r="G15" s="1746">
        <v>3023116112594.48</v>
      </c>
      <c r="H15" s="1003">
        <f>+F15/G15</f>
        <v>9.3256409031569273E-3</v>
      </c>
      <c r="I15" s="1590"/>
      <c r="J15" s="1590"/>
      <c r="L15" s="1450"/>
      <c r="M15" s="1043"/>
    </row>
    <row r="16" spans="1:13">
      <c r="A16" s="1451" t="s">
        <v>1006</v>
      </c>
      <c r="B16" s="1450">
        <f>+'IV.1.3. Ingr y egr SDSS'!F18</f>
        <v>111952939.36</v>
      </c>
      <c r="C16" s="1450">
        <v>0</v>
      </c>
      <c r="D16" s="1450">
        <f>+'IV.1.3. Ingr y egr SDSS'!C18</f>
        <v>2804479479</v>
      </c>
      <c r="E16" s="1450">
        <f>+'IV.1.5 Rec. x origen'!D17</f>
        <v>7793804241.6233988</v>
      </c>
      <c r="F16" s="868">
        <f>SUM(B16:E16)</f>
        <v>10710236659.983398</v>
      </c>
      <c r="G16" s="1890">
        <v>3023116112594.48</v>
      </c>
      <c r="H16" s="1829">
        <f>F16/G16</f>
        <v>3.542780449405804E-3</v>
      </c>
      <c r="I16" s="1590"/>
      <c r="J16" s="1590"/>
      <c r="L16" s="1450"/>
      <c r="M16" s="1043"/>
    </row>
    <row r="17" spans="1:13" s="864" customFormat="1" ht="15" customHeight="1">
      <c r="A17" s="1495" t="s">
        <v>23</v>
      </c>
      <c r="B17" s="1496">
        <f>SUM(B5:B16)</f>
        <v>2106029103.3099997</v>
      </c>
      <c r="C17" s="1496">
        <f t="shared" ref="C17:E17" si="2">SUM(C5:C16)</f>
        <v>400000000</v>
      </c>
      <c r="D17" s="1496">
        <f t="shared" si="2"/>
        <v>42630837753.93</v>
      </c>
      <c r="E17" s="1496">
        <f t="shared" si="2"/>
        <v>120555440243.67888</v>
      </c>
      <c r="F17" s="1497">
        <f>SUM(F5:F16)</f>
        <v>165692307100.91885</v>
      </c>
      <c r="G17" s="1744"/>
      <c r="H17" s="1590"/>
      <c r="I17" s="1590"/>
      <c r="J17" s="1590"/>
    </row>
    <row r="18" spans="1:13">
      <c r="G18" s="864"/>
      <c r="H18" s="864"/>
      <c r="I18" s="1590"/>
      <c r="J18" s="1590"/>
      <c r="L18" s="1230"/>
    </row>
    <row r="19" spans="1:13">
      <c r="D19" s="1083"/>
      <c r="E19" s="1083"/>
      <c r="F19" s="1083"/>
      <c r="L19" s="1230"/>
    </row>
    <row r="20" spans="1:13">
      <c r="B20" s="1081"/>
      <c r="E20" s="1083"/>
    </row>
    <row r="21" spans="1:13">
      <c r="D21" s="1082"/>
    </row>
    <row r="22" spans="1:13">
      <c r="M22" s="1044"/>
    </row>
  </sheetData>
  <mergeCells count="1">
    <mergeCell ref="A1:H2"/>
  </mergeCells>
  <pageMargins left="0.7" right="0.7" top="0.75" bottom="0.75" header="0.3" footer="0.3"/>
  <pageSetup scale="6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N55"/>
  <sheetViews>
    <sheetView showGridLines="0" view="pageBreakPreview" zoomScale="85" zoomScaleNormal="100" zoomScaleSheetLayoutView="85" workbookViewId="0">
      <selection activeCell="M21" sqref="M21"/>
    </sheetView>
  </sheetViews>
  <sheetFormatPr baseColWidth="10" defaultRowHeight="15"/>
  <cols>
    <col min="4" max="5" width="17.42578125" bestFit="1" customWidth="1"/>
    <col min="7" max="7" width="18.85546875" customWidth="1"/>
    <col min="8" max="8" width="18.42578125" customWidth="1"/>
    <col min="11" max="11" width="18.85546875" customWidth="1"/>
    <col min="12" max="12" width="20" customWidth="1"/>
    <col min="13" max="13" width="24.7109375" customWidth="1"/>
  </cols>
  <sheetData>
    <row r="1" spans="1:13" ht="21">
      <c r="A1" s="851" t="s">
        <v>651</v>
      </c>
    </row>
    <row r="2" spans="1:13" ht="37.5" customHeight="1">
      <c r="A2" s="851" t="s">
        <v>652</v>
      </c>
    </row>
    <row r="3" spans="1:13" ht="21">
      <c r="A3" s="851" t="s">
        <v>653</v>
      </c>
    </row>
    <row r="9" spans="1:13">
      <c r="M9" s="156"/>
    </row>
    <row r="10" spans="1:13">
      <c r="M10" s="268"/>
    </row>
    <row r="11" spans="1:13">
      <c r="M11" s="173"/>
    </row>
    <row r="12" spans="1:13">
      <c r="M12" s="156"/>
    </row>
    <row r="13" spans="1:13">
      <c r="M13" s="156"/>
    </row>
    <row r="14" spans="1:13">
      <c r="M14" s="156"/>
    </row>
    <row r="15" spans="1:13">
      <c r="M15" s="156"/>
    </row>
    <row r="16" spans="1:13">
      <c r="M16" s="156"/>
    </row>
    <row r="22" spans="13:14">
      <c r="M22" s="173"/>
    </row>
    <row r="27" spans="13:14">
      <c r="M27" s="173"/>
    </row>
    <row r="28" spans="13:14">
      <c r="M28" s="173"/>
    </row>
    <row r="29" spans="13:14">
      <c r="M29" s="173"/>
    </row>
    <row r="30" spans="13:14">
      <c r="N30" s="173"/>
    </row>
    <row r="44" spans="10:10">
      <c r="J44" s="173"/>
    </row>
    <row r="45" spans="10:10">
      <c r="J45" s="173"/>
    </row>
    <row r="46" spans="10:10">
      <c r="J46" s="173"/>
    </row>
    <row r="47" spans="10:10">
      <c r="J47" s="173"/>
    </row>
    <row r="49" spans="4:11">
      <c r="D49" s="156"/>
      <c r="K49" t="s">
        <v>31</v>
      </c>
    </row>
    <row r="50" spans="4:11">
      <c r="D50" s="156"/>
    </row>
    <row r="51" spans="4:11">
      <c r="D51" s="173"/>
    </row>
    <row r="52" spans="4:11">
      <c r="D52" s="173"/>
    </row>
    <row r="53" spans="4:11">
      <c r="D53" s="173"/>
    </row>
    <row r="54" spans="4:11">
      <c r="D54" s="173"/>
    </row>
    <row r="55" spans="4:11">
      <c r="D55" s="173"/>
    </row>
  </sheetData>
  <pageMargins left="0.7" right="0.7" top="0.75" bottom="0.75" header="0.3" footer="0.3"/>
  <pageSetup scale="68"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Q38"/>
  <sheetViews>
    <sheetView showGridLines="0" view="pageBreakPreview" zoomScale="85" zoomScaleNormal="66" zoomScaleSheetLayoutView="85" workbookViewId="0">
      <pane xSplit="1" ySplit="2" topLeftCell="B3" activePane="bottomRight" state="frozen"/>
      <selection pane="topRight" activeCell="B1" sqref="B1"/>
      <selection pane="bottomLeft" activeCell="A4" sqref="A4"/>
      <selection pane="bottomRight" activeCell="A2" sqref="A2"/>
    </sheetView>
  </sheetViews>
  <sheetFormatPr baseColWidth="10" defaultColWidth="11.5703125" defaultRowHeight="15"/>
  <cols>
    <col min="1" max="1" width="25.42578125" style="45" customWidth="1"/>
    <col min="2" max="2" width="20.140625" style="45" customWidth="1"/>
    <col min="3" max="3" width="23" style="45" customWidth="1"/>
    <col min="4" max="4" width="22.28515625" style="45" customWidth="1"/>
    <col min="5" max="5" width="22.7109375" style="45" customWidth="1"/>
    <col min="6" max="7" width="23.5703125" style="45" customWidth="1"/>
    <col min="8" max="8" width="21.140625" style="45" customWidth="1"/>
    <col min="9" max="11" width="21.42578125" style="45" customWidth="1"/>
    <col min="12" max="12" width="25.85546875" style="45" customWidth="1"/>
    <col min="13" max="13" width="7.42578125" style="45" customWidth="1"/>
    <col min="14" max="14" width="8.7109375" style="45" customWidth="1"/>
    <col min="15" max="15" width="27.42578125" style="45" customWidth="1"/>
    <col min="16" max="16" width="28.85546875" style="45" customWidth="1"/>
    <col min="17" max="16384" width="11.5703125" style="45"/>
  </cols>
  <sheetData>
    <row r="1" spans="1:17" ht="104.25" customHeight="1">
      <c r="A1" s="2078"/>
      <c r="B1" s="2078"/>
      <c r="C1" s="2078"/>
      <c r="D1" s="2078"/>
      <c r="E1" s="2078"/>
      <c r="F1" s="2078"/>
      <c r="G1" s="2078"/>
      <c r="H1" s="2078"/>
      <c r="I1" s="2078"/>
      <c r="J1" s="2078"/>
      <c r="K1" s="2078"/>
      <c r="L1" s="2078"/>
      <c r="M1" s="2078"/>
      <c r="N1" s="2078"/>
      <c r="O1"/>
      <c r="P1"/>
    </row>
    <row r="2" spans="1:17" ht="23.25" customHeight="1">
      <c r="A2" s="464" t="s">
        <v>169</v>
      </c>
      <c r="B2" s="458">
        <v>2007</v>
      </c>
      <c r="C2" s="458">
        <v>2008</v>
      </c>
      <c r="D2" s="458">
        <v>2009</v>
      </c>
      <c r="E2" s="458">
        <v>2010</v>
      </c>
      <c r="F2" s="458">
        <v>2011</v>
      </c>
      <c r="G2" s="458" t="s">
        <v>464</v>
      </c>
      <c r="H2" s="458" t="s">
        <v>567</v>
      </c>
      <c r="I2" s="458" t="s">
        <v>568</v>
      </c>
      <c r="J2" s="458" t="s">
        <v>900</v>
      </c>
      <c r="K2" s="458" t="s">
        <v>1007</v>
      </c>
      <c r="L2" s="697" t="s">
        <v>23</v>
      </c>
      <c r="M2" s="169"/>
      <c r="O2"/>
    </row>
    <row r="3" spans="1:17" ht="19.5" customHeight="1">
      <c r="A3" s="465" t="s">
        <v>200</v>
      </c>
      <c r="B3" s="456">
        <v>2756085890.3800001</v>
      </c>
      <c r="C3" s="456">
        <v>12262043622.240002</v>
      </c>
      <c r="D3" s="457">
        <v>14997271060.829998</v>
      </c>
      <c r="E3" s="457">
        <v>20037998054.760002</v>
      </c>
      <c r="F3" s="457">
        <v>22215656750.489998</v>
      </c>
      <c r="G3" s="457">
        <v>25323798457.93</v>
      </c>
      <c r="H3" s="457">
        <v>27866096681.57</v>
      </c>
      <c r="I3" s="457">
        <v>31167111771.200001</v>
      </c>
      <c r="J3" s="1442">
        <f>32658945980.67+1746659903.22</f>
        <v>34405605883.889999</v>
      </c>
      <c r="K3" s="1442">
        <v>12871206951.799999</v>
      </c>
      <c r="L3" s="698">
        <f>SUM(B3:K3)</f>
        <v>203902875125.09003</v>
      </c>
      <c r="M3" s="169"/>
      <c r="O3" s="156"/>
      <c r="P3" s="173"/>
      <c r="Q3" s="173"/>
    </row>
    <row r="4" spans="1:17" ht="17.25">
      <c r="A4" s="465" t="s">
        <v>95</v>
      </c>
      <c r="B4" s="456">
        <v>71139452</v>
      </c>
      <c r="C4" s="456">
        <v>245511975</v>
      </c>
      <c r="D4" s="457">
        <v>83348568.400000006</v>
      </c>
      <c r="E4" s="457">
        <v>0</v>
      </c>
      <c r="F4" s="457">
        <v>149163844</v>
      </c>
      <c r="G4" s="457">
        <v>182825831.59999999</v>
      </c>
      <c r="H4" s="457">
        <v>213705747.60000002</v>
      </c>
      <c r="I4" s="457">
        <v>260908691.69999999</v>
      </c>
      <c r="J4" s="1442">
        <v>338503602</v>
      </c>
      <c r="K4" s="1442">
        <v>118360743</v>
      </c>
      <c r="L4" s="698">
        <f t="shared" ref="L4:L7" si="0">SUM(B4:K4)</f>
        <v>1663468455.3</v>
      </c>
      <c r="M4" s="81"/>
      <c r="N4" s="47"/>
      <c r="O4" s="156"/>
      <c r="P4" s="156"/>
      <c r="Q4" s="156"/>
    </row>
    <row r="5" spans="1:17" ht="17.25">
      <c r="A5" s="465" t="s">
        <v>96</v>
      </c>
      <c r="B5" s="456">
        <v>0</v>
      </c>
      <c r="C5" s="456">
        <v>283848938.23000002</v>
      </c>
      <c r="D5" s="457">
        <v>717406862.31000018</v>
      </c>
      <c r="E5" s="457">
        <v>958993042.63</v>
      </c>
      <c r="F5" s="457">
        <v>1126433498.0599999</v>
      </c>
      <c r="G5" s="457">
        <v>1222112428.3699999</v>
      </c>
      <c r="H5" s="457">
        <v>1358265601.1399999</v>
      </c>
      <c r="I5" s="457">
        <v>1556233315.7999997</v>
      </c>
      <c r="J5" s="1442">
        <v>1680220901.95</v>
      </c>
      <c r="K5" s="1442">
        <v>610572398.27999997</v>
      </c>
      <c r="L5" s="698">
        <f t="shared" si="0"/>
        <v>9514086986.7700005</v>
      </c>
      <c r="M5" s="81"/>
      <c r="N5" s="47"/>
      <c r="O5" s="156"/>
      <c r="P5"/>
    </row>
    <row r="6" spans="1:17" ht="17.25">
      <c r="A6" s="465" t="s">
        <v>97</v>
      </c>
      <c r="B6" s="456">
        <v>0</v>
      </c>
      <c r="C6" s="456">
        <v>38720972.609999999</v>
      </c>
      <c r="D6" s="457">
        <v>121903634.47</v>
      </c>
      <c r="E6" s="457">
        <v>138388657.69999999</v>
      </c>
      <c r="F6" s="457">
        <v>155182686.03</v>
      </c>
      <c r="G6" s="457">
        <v>171240027.52000004</v>
      </c>
      <c r="H6" s="457">
        <v>190492244.19999999</v>
      </c>
      <c r="I6" s="457">
        <v>215918628.93000001</v>
      </c>
      <c r="J6" s="1442">
        <v>243551739.90000001</v>
      </c>
      <c r="K6" s="1442">
        <v>88577430.199999988</v>
      </c>
      <c r="L6" s="698">
        <f t="shared" si="0"/>
        <v>1363976021.5600002</v>
      </c>
      <c r="M6" s="81"/>
      <c r="N6" s="47"/>
      <c r="O6" s="156"/>
      <c r="P6"/>
    </row>
    <row r="7" spans="1:17" ht="17.25">
      <c r="A7" s="465" t="s">
        <v>134</v>
      </c>
      <c r="B7" s="456">
        <v>0</v>
      </c>
      <c r="C7" s="456">
        <v>0</v>
      </c>
      <c r="D7" s="457">
        <v>16656000</v>
      </c>
      <c r="E7" s="457">
        <v>68030000</v>
      </c>
      <c r="F7" s="457">
        <v>168385579.84999999</v>
      </c>
      <c r="G7" s="457">
        <v>182376500</v>
      </c>
      <c r="H7" s="457">
        <v>215786255.86000001</v>
      </c>
      <c r="I7" s="457">
        <v>262429320</v>
      </c>
      <c r="J7" s="1442">
        <v>302993808</v>
      </c>
      <c r="K7" s="1442">
        <v>98925936</v>
      </c>
      <c r="L7" s="698">
        <f t="shared" si="0"/>
        <v>1315583399.71</v>
      </c>
      <c r="M7" s="81"/>
      <c r="N7" s="47"/>
      <c r="O7" s="156"/>
      <c r="P7"/>
    </row>
    <row r="8" spans="1:17" s="695" customFormat="1" ht="18" customHeight="1">
      <c r="A8" s="466" t="s">
        <v>34</v>
      </c>
      <c r="B8" s="459">
        <f t="shared" ref="B8:J8" si="1">SUM(B3:B7)</f>
        <v>2827225342.3800001</v>
      </c>
      <c r="C8" s="459">
        <f t="shared" si="1"/>
        <v>12830125508.080002</v>
      </c>
      <c r="D8" s="459">
        <f t="shared" si="1"/>
        <v>15936586126.009996</v>
      </c>
      <c r="E8" s="459">
        <f t="shared" si="1"/>
        <v>21203409755.090004</v>
      </c>
      <c r="F8" s="459">
        <f t="shared" si="1"/>
        <v>23814822358.429996</v>
      </c>
      <c r="G8" s="459">
        <f t="shared" si="1"/>
        <v>27082353245.419998</v>
      </c>
      <c r="H8" s="459">
        <f t="shared" si="1"/>
        <v>29844346530.369999</v>
      </c>
      <c r="I8" s="459">
        <f t="shared" si="1"/>
        <v>33462601727.630001</v>
      </c>
      <c r="J8" s="459">
        <f t="shared" si="1"/>
        <v>36970875935.739998</v>
      </c>
      <c r="K8" s="459">
        <f t="shared" ref="K8" si="2">SUM(K3:K7)</f>
        <v>13787643459.280001</v>
      </c>
      <c r="L8" s="454">
        <f>SUM(L3:L7)</f>
        <v>217759989988.42999</v>
      </c>
      <c r="M8" s="455"/>
      <c r="O8" s="156"/>
      <c r="P8"/>
    </row>
    <row r="9" spans="1:17" ht="30" customHeight="1">
      <c r="A9" s="2173" t="s">
        <v>950</v>
      </c>
      <c r="B9" s="2173"/>
      <c r="C9" s="2173"/>
      <c r="D9" s="2173"/>
      <c r="E9" s="2173"/>
      <c r="F9" s="2173"/>
      <c r="G9" s="2173"/>
      <c r="H9" s="2173"/>
      <c r="I9" s="2173"/>
      <c r="J9" s="2173"/>
      <c r="K9" s="2173"/>
      <c r="L9" s="2173"/>
      <c r="O9" s="1398"/>
      <c r="P9" s="1175"/>
    </row>
    <row r="10" spans="1:17" ht="15.75">
      <c r="B10" s="107"/>
      <c r="C10" s="107"/>
      <c r="D10" s="107"/>
      <c r="E10" s="107"/>
      <c r="F10" s="107"/>
      <c r="G10" s="107"/>
      <c r="H10" s="107"/>
      <c r="I10" s="107"/>
      <c r="J10" s="107"/>
      <c r="K10" s="107"/>
      <c r="M10" s="107"/>
      <c r="N10" s="107"/>
      <c r="O10" s="1398"/>
      <c r="P10" s="1174"/>
    </row>
    <row r="11" spans="1:17" ht="18">
      <c r="B11" s="107"/>
      <c r="C11" s="1047"/>
      <c r="D11" s="107"/>
      <c r="E11" s="107"/>
      <c r="F11" s="107"/>
      <c r="G11" s="107"/>
      <c r="H11" s="107"/>
      <c r="I11" s="107"/>
      <c r="J11" s="107"/>
      <c r="K11" s="107"/>
      <c r="L11" s="107"/>
      <c r="M11" s="107"/>
      <c r="N11" s="107"/>
      <c r="O11"/>
      <c r="P11" s="1175"/>
    </row>
    <row r="12" spans="1:17" ht="18">
      <c r="B12" s="107"/>
      <c r="C12" s="1047"/>
      <c r="D12" s="107"/>
      <c r="E12" s="107"/>
      <c r="F12" s="107"/>
      <c r="G12" s="107"/>
      <c r="H12" s="107"/>
      <c r="I12" s="107"/>
      <c r="J12" s="107"/>
      <c r="K12" s="107"/>
      <c r="L12" s="107"/>
      <c r="M12" s="107"/>
      <c r="N12" s="107"/>
      <c r="O12"/>
      <c r="P12" s="144"/>
    </row>
    <row r="13" spans="1:17" ht="21">
      <c r="B13" s="107"/>
      <c r="C13" s="1047"/>
      <c r="D13" s="29"/>
      <c r="E13" s="107"/>
      <c r="F13" s="107"/>
      <c r="G13" s="107"/>
      <c r="H13" s="107"/>
      <c r="I13" s="107"/>
      <c r="J13" s="107"/>
      <c r="K13" s="107"/>
      <c r="L13" s="966"/>
      <c r="M13" s="107"/>
      <c r="N13" s="107"/>
      <c r="O13"/>
      <c r="P13"/>
    </row>
    <row r="14" spans="1:17" ht="18">
      <c r="B14" s="107"/>
      <c r="C14" s="1047"/>
      <c r="D14" s="29"/>
      <c r="E14" s="29"/>
      <c r="F14" s="107"/>
      <c r="G14" s="107"/>
      <c r="H14" s="107"/>
      <c r="I14" s="107"/>
      <c r="J14" s="107"/>
      <c r="K14" s="107"/>
      <c r="L14" s="29"/>
      <c r="M14" s="29"/>
      <c r="N14" s="29"/>
      <c r="O14" s="156"/>
      <c r="P14" s="156"/>
    </row>
    <row r="15" spans="1:17" ht="18">
      <c r="B15" s="107"/>
      <c r="C15" s="1047"/>
      <c r="D15" s="29"/>
      <c r="E15" s="29"/>
      <c r="F15" s="107"/>
      <c r="G15" s="107"/>
      <c r="H15" s="107"/>
      <c r="I15" s="107"/>
      <c r="J15" s="107"/>
      <c r="K15" s="107"/>
      <c r="L15" s="29"/>
      <c r="M15" s="29"/>
      <c r="N15" s="29"/>
      <c r="O15"/>
      <c r="P15"/>
    </row>
    <row r="16" spans="1:17" ht="18">
      <c r="B16" s="107"/>
      <c r="C16" s="1047"/>
      <c r="D16" s="29"/>
      <c r="E16" s="29"/>
      <c r="F16" s="107"/>
      <c r="G16" s="107"/>
      <c r="H16" s="107"/>
      <c r="I16" s="107"/>
      <c r="J16" s="107"/>
      <c r="K16" s="107"/>
      <c r="L16" s="29"/>
      <c r="M16" s="29"/>
      <c r="N16" s="29"/>
      <c r="O16"/>
      <c r="P16" s="727"/>
    </row>
    <row r="17" spans="2:16" ht="18">
      <c r="B17" s="107"/>
      <c r="C17" s="1047"/>
      <c r="D17" s="29"/>
      <c r="E17" s="29"/>
      <c r="F17" s="107"/>
      <c r="G17" s="107"/>
      <c r="H17" s="107"/>
      <c r="I17" s="107"/>
      <c r="J17" s="107"/>
      <c r="K17" s="107"/>
      <c r="L17" s="29"/>
      <c r="M17" s="29"/>
      <c r="N17" s="29"/>
      <c r="O17"/>
      <c r="P17"/>
    </row>
    <row r="18" spans="2:16" ht="18">
      <c r="B18" s="107"/>
      <c r="C18" s="1047"/>
      <c r="D18" s="29"/>
      <c r="E18" s="29"/>
      <c r="F18" s="29"/>
      <c r="G18" s="29"/>
      <c r="H18" s="29"/>
      <c r="I18" s="29"/>
      <c r="J18" s="29"/>
      <c r="K18" s="29"/>
      <c r="L18" s="29"/>
      <c r="M18" s="29"/>
      <c r="N18" s="29"/>
      <c r="O18"/>
      <c r="P18"/>
    </row>
    <row r="19" spans="2:16" ht="18">
      <c r="B19" s="107"/>
      <c r="C19" s="1047"/>
      <c r="D19" s="29"/>
      <c r="E19" s="29"/>
      <c r="F19" s="29"/>
      <c r="G19" s="29"/>
      <c r="H19" s="29"/>
      <c r="I19" s="29"/>
      <c r="J19" s="29"/>
      <c r="K19" s="29"/>
      <c r="L19" s="29"/>
      <c r="M19" s="29"/>
      <c r="N19" s="29"/>
      <c r="O19"/>
      <c r="P19"/>
    </row>
    <row r="20" spans="2:16">
      <c r="B20" s="29"/>
      <c r="C20" s="29"/>
      <c r="D20" s="29"/>
      <c r="E20" s="29"/>
      <c r="F20" s="29"/>
      <c r="G20" s="29"/>
      <c r="H20" s="29"/>
      <c r="I20" s="29"/>
      <c r="J20" s="29"/>
      <c r="K20" s="29"/>
      <c r="L20" s="29"/>
      <c r="M20" s="29"/>
      <c r="N20" s="29"/>
      <c r="O20"/>
      <c r="P20"/>
    </row>
    <row r="21" spans="2:16">
      <c r="B21" s="29"/>
      <c r="C21" s="29"/>
      <c r="D21" s="29"/>
      <c r="E21" s="29"/>
      <c r="F21" s="29"/>
      <c r="G21" s="29"/>
      <c r="H21" s="29"/>
      <c r="I21" s="29"/>
      <c r="J21" s="29"/>
      <c r="K21" s="29"/>
      <c r="L21" s="29"/>
      <c r="M21" s="29"/>
      <c r="N21" s="29"/>
      <c r="O21"/>
      <c r="P21"/>
    </row>
    <row r="22" spans="2:16">
      <c r="B22" s="29"/>
      <c r="C22" s="29"/>
      <c r="D22" s="29"/>
      <c r="E22" s="29"/>
      <c r="F22" s="29"/>
      <c r="G22" s="29"/>
      <c r="H22" s="29"/>
      <c r="I22" s="29"/>
      <c r="J22" s="29"/>
      <c r="K22" s="29"/>
      <c r="L22" s="29"/>
      <c r="M22" s="29"/>
      <c r="N22" s="29"/>
      <c r="O22"/>
      <c r="P22"/>
    </row>
    <row r="23" spans="2:16">
      <c r="B23" s="29"/>
      <c r="C23" s="29"/>
      <c r="D23" s="29"/>
      <c r="E23" s="29"/>
      <c r="F23" s="29"/>
      <c r="G23" s="29"/>
      <c r="H23" s="29"/>
      <c r="I23" s="29"/>
      <c r="J23" s="29"/>
      <c r="K23" s="29"/>
      <c r="L23" s="29"/>
      <c r="M23" s="29"/>
      <c r="N23" s="29"/>
      <c r="O23"/>
      <c r="P23"/>
    </row>
    <row r="24" spans="2:16">
      <c r="B24" s="29"/>
      <c r="C24" s="29"/>
      <c r="D24" s="29"/>
      <c r="E24" s="29"/>
      <c r="F24" s="29"/>
      <c r="G24" s="29"/>
      <c r="H24" s="29"/>
      <c r="I24" s="29"/>
      <c r="J24" s="29"/>
      <c r="K24" s="29"/>
      <c r="L24" s="29"/>
      <c r="M24" s="29"/>
      <c r="N24" s="29"/>
      <c r="O24"/>
      <c r="P24"/>
    </row>
    <row r="25" spans="2:16">
      <c r="B25" s="29"/>
      <c r="C25" s="29"/>
      <c r="D25" s="29"/>
      <c r="E25" s="29"/>
      <c r="F25" s="29"/>
      <c r="G25" s="29"/>
      <c r="H25" s="29"/>
      <c r="I25" s="29"/>
      <c r="J25" s="29"/>
      <c r="K25" s="29"/>
      <c r="L25" s="29"/>
      <c r="M25" s="29"/>
      <c r="N25" s="29"/>
      <c r="O25"/>
      <c r="P25"/>
    </row>
    <row r="26" spans="2:16">
      <c r="B26" s="29"/>
      <c r="C26" s="29"/>
      <c r="D26" s="29"/>
      <c r="E26" s="29"/>
      <c r="F26" s="29"/>
      <c r="G26" s="29"/>
      <c r="H26" s="29"/>
      <c r="I26" s="29"/>
      <c r="J26" s="29"/>
      <c r="K26" s="29"/>
      <c r="L26" s="29"/>
      <c r="M26" s="29"/>
      <c r="N26" s="29"/>
      <c r="O26" s="696"/>
      <c r="P26" s="696"/>
    </row>
    <row r="27" spans="2:16">
      <c r="B27" s="107"/>
      <c r="C27" s="107"/>
      <c r="D27" s="107"/>
      <c r="E27" s="107"/>
      <c r="F27" s="107"/>
      <c r="G27" s="107"/>
      <c r="H27" s="107"/>
      <c r="I27" s="107"/>
      <c r="J27" s="107"/>
      <c r="K27" s="107"/>
      <c r="L27" s="107"/>
      <c r="M27" s="107"/>
      <c r="N27" s="107"/>
    </row>
    <row r="28" spans="2:16">
      <c r="B28" s="107"/>
      <c r="C28" s="107"/>
      <c r="D28" s="107"/>
      <c r="E28" s="107"/>
      <c r="F28" s="107"/>
      <c r="G28" s="107"/>
      <c r="H28" s="107"/>
      <c r="I28" s="107"/>
      <c r="J28" s="107"/>
      <c r="K28" s="107"/>
      <c r="L28" s="107"/>
      <c r="M28" s="107"/>
      <c r="N28" s="107"/>
    </row>
    <row r="29" spans="2:16">
      <c r="B29" s="107"/>
      <c r="C29" s="107"/>
      <c r="D29" s="107"/>
      <c r="E29" s="107"/>
      <c r="F29" s="107"/>
      <c r="G29" s="107"/>
      <c r="H29" s="107"/>
      <c r="I29" s="107"/>
      <c r="J29" s="107"/>
      <c r="K29" s="107"/>
      <c r="L29" s="107"/>
      <c r="M29" s="107"/>
      <c r="N29" s="107"/>
    </row>
    <row r="30" spans="2:16">
      <c r="B30" s="107"/>
      <c r="C30" s="107"/>
      <c r="D30" s="107"/>
      <c r="E30" s="107"/>
      <c r="F30" s="107"/>
      <c r="G30" s="107"/>
      <c r="H30" s="107"/>
      <c r="I30" s="107"/>
      <c r="J30" s="107"/>
      <c r="K30" s="107"/>
      <c r="L30" s="107"/>
      <c r="M30" s="107"/>
      <c r="N30" s="107"/>
    </row>
    <row r="31" spans="2:16">
      <c r="B31" s="107"/>
      <c r="C31" s="107"/>
      <c r="D31" s="107"/>
      <c r="E31" s="107"/>
      <c r="F31" s="107"/>
      <c r="G31" s="107"/>
      <c r="H31" s="107"/>
      <c r="I31" s="107"/>
      <c r="J31" s="107"/>
      <c r="K31" s="107"/>
      <c r="L31" s="107"/>
      <c r="M31" s="107"/>
      <c r="N31" s="107"/>
    </row>
    <row r="32" spans="2:16">
      <c r="B32" s="107"/>
      <c r="C32" s="107"/>
      <c r="D32" s="107"/>
      <c r="E32" s="107"/>
      <c r="F32" s="107"/>
      <c r="G32" s="107"/>
      <c r="H32" s="107"/>
      <c r="I32" s="107"/>
      <c r="J32" s="107"/>
      <c r="K32" s="107"/>
      <c r="L32" s="107"/>
      <c r="M32" s="107"/>
      <c r="N32" s="107"/>
    </row>
    <row r="33" spans="2:14">
      <c r="B33" s="107"/>
      <c r="C33" s="107"/>
      <c r="D33" s="107"/>
      <c r="E33" s="107"/>
      <c r="F33" s="107"/>
      <c r="G33" s="107"/>
      <c r="H33" s="107"/>
      <c r="I33" s="107"/>
      <c r="J33" s="107"/>
      <c r="K33" s="107"/>
      <c r="L33" s="107"/>
      <c r="M33" s="107"/>
      <c r="N33" s="107"/>
    </row>
    <row r="34" spans="2:14">
      <c r="B34" s="107"/>
      <c r="C34" s="107"/>
      <c r="D34" s="107"/>
      <c r="E34" s="107"/>
      <c r="F34" s="107"/>
      <c r="G34" s="107"/>
      <c r="H34" s="107"/>
      <c r="I34" s="107"/>
      <c r="J34" s="107"/>
      <c r="K34" s="107"/>
      <c r="L34" s="107"/>
      <c r="M34" s="107"/>
      <c r="N34" s="107"/>
    </row>
    <row r="35" spans="2:14">
      <c r="B35" s="107"/>
      <c r="C35" s="107"/>
      <c r="D35" s="107"/>
      <c r="E35" s="107"/>
      <c r="F35" s="107"/>
      <c r="G35" s="107"/>
      <c r="H35" s="107"/>
      <c r="I35" s="107"/>
      <c r="J35" s="107"/>
      <c r="K35" s="107"/>
      <c r="L35" s="107"/>
      <c r="M35" s="107"/>
      <c r="N35" s="107"/>
    </row>
    <row r="36" spans="2:14">
      <c r="B36" s="107"/>
      <c r="C36" s="107"/>
      <c r="D36" s="107"/>
      <c r="E36" s="107"/>
      <c r="F36" s="107"/>
      <c r="G36" s="107"/>
      <c r="H36" s="107"/>
      <c r="I36" s="107"/>
      <c r="J36" s="107"/>
      <c r="K36" s="107"/>
      <c r="L36" s="107"/>
      <c r="M36" s="107"/>
      <c r="N36" s="107"/>
    </row>
    <row r="37" spans="2:14">
      <c r="B37" s="107"/>
      <c r="C37" s="107"/>
      <c r="D37" s="107"/>
      <c r="E37" s="107"/>
      <c r="F37" s="107"/>
      <c r="G37" s="107"/>
      <c r="H37" s="107"/>
      <c r="I37" s="107"/>
      <c r="J37" s="107"/>
      <c r="K37" s="107"/>
      <c r="L37" s="107"/>
      <c r="M37" s="107"/>
      <c r="N37" s="107"/>
    </row>
    <row r="38" spans="2:14">
      <c r="B38" s="107"/>
      <c r="C38" s="107"/>
      <c r="D38" s="107"/>
      <c r="E38" s="107"/>
      <c r="F38" s="107"/>
      <c r="G38" s="107"/>
      <c r="H38" s="107"/>
      <c r="I38" s="107"/>
      <c r="J38" s="107"/>
      <c r="K38" s="107"/>
      <c r="L38" s="107"/>
      <c r="M38" s="107"/>
      <c r="N38" s="107"/>
    </row>
  </sheetData>
  <mergeCells count="2">
    <mergeCell ref="A1:N1"/>
    <mergeCell ref="A9:L9"/>
  </mergeCells>
  <printOptions horizontalCentered="1" verticalCentered="1"/>
  <pageMargins left="0.4" right="0.4" top="0.25" bottom="0.25" header="0.31496062992126" footer="0.31496062992126"/>
  <pageSetup scale="45"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X353"/>
  <sheetViews>
    <sheetView showGridLines="0" view="pageBreakPreview" zoomScale="70" zoomScaleNormal="55" zoomScaleSheetLayoutView="70" workbookViewId="0">
      <selection activeCell="K13" sqref="K13"/>
    </sheetView>
  </sheetViews>
  <sheetFormatPr baseColWidth="10" defaultColWidth="11.5703125" defaultRowHeight="18"/>
  <cols>
    <col min="1" max="1" width="13.28515625" customWidth="1"/>
    <col min="2" max="2" width="21.42578125" customWidth="1"/>
    <col min="3" max="3" width="20" style="77" customWidth="1"/>
    <col min="4" max="4" width="20.7109375" customWidth="1"/>
    <col min="5" max="5" width="20.5703125" customWidth="1"/>
    <col min="6" max="6" width="24.140625" customWidth="1"/>
    <col min="7" max="7" width="22.140625" style="77" customWidth="1"/>
    <col min="8" max="8" width="21.85546875" customWidth="1"/>
    <col min="9" max="10" width="21.28515625" style="77" customWidth="1"/>
    <col min="11" max="11" width="26.28515625" customWidth="1"/>
    <col min="12" max="12" width="18.5703125" bestFit="1" customWidth="1"/>
    <col min="13" max="13" width="20.140625" customWidth="1"/>
    <col min="14" max="14" width="25.7109375" style="41" bestFit="1" customWidth="1"/>
    <col min="15" max="15" width="21.28515625" style="41" bestFit="1" customWidth="1"/>
    <col min="16" max="17" width="29.28515625" style="41" bestFit="1" customWidth="1"/>
    <col min="18" max="18" width="21.140625" style="41" customWidth="1"/>
    <col min="19" max="19" width="22" style="41" customWidth="1"/>
    <col min="20" max="20" width="22.7109375" style="41" bestFit="1" customWidth="1"/>
    <col min="21" max="21" width="21.28515625" style="40" bestFit="1" customWidth="1"/>
    <col min="22" max="22" width="22.140625" style="40" bestFit="1" customWidth="1"/>
    <col min="23" max="23" width="22.85546875" style="40" bestFit="1" customWidth="1"/>
  </cols>
  <sheetData>
    <row r="1" spans="1:24" ht="87.75" customHeight="1">
      <c r="A1" s="2174"/>
      <c r="B1" s="2174"/>
      <c r="C1" s="2174"/>
      <c r="D1" s="2174"/>
      <c r="E1" s="2174"/>
      <c r="F1" s="2174"/>
      <c r="G1" s="2174"/>
      <c r="H1" s="2174"/>
      <c r="I1" s="2174"/>
      <c r="J1" s="2174"/>
      <c r="K1" s="2174"/>
    </row>
    <row r="2" spans="1:24" s="39" customFormat="1" ht="6" customHeight="1">
      <c r="A2" s="179"/>
      <c r="B2" s="179"/>
      <c r="C2" s="179"/>
      <c r="D2" s="179"/>
      <c r="E2" s="179"/>
      <c r="F2" s="179"/>
      <c r="G2" s="1111"/>
      <c r="H2" s="179"/>
      <c r="I2" s="179"/>
      <c r="J2" s="179"/>
      <c r="K2" s="179"/>
      <c r="N2" s="189"/>
      <c r="O2" s="189"/>
      <c r="P2" s="189"/>
      <c r="Q2" s="189"/>
      <c r="R2" s="189"/>
      <c r="S2" s="189"/>
      <c r="T2" s="189"/>
      <c r="U2" s="190"/>
      <c r="V2" s="190"/>
      <c r="W2" s="190"/>
    </row>
    <row r="3" spans="1:24" ht="38.25" customHeight="1">
      <c r="A3" s="1443" t="s">
        <v>927</v>
      </c>
      <c r="B3" s="1445" t="s">
        <v>928</v>
      </c>
      <c r="C3" s="1445" t="s">
        <v>929</v>
      </c>
      <c r="D3" s="1445" t="s">
        <v>930</v>
      </c>
      <c r="E3" s="1445" t="s">
        <v>931</v>
      </c>
      <c r="F3" s="1445" t="s">
        <v>932</v>
      </c>
      <c r="G3" s="1445" t="s">
        <v>933</v>
      </c>
      <c r="H3" s="1443" t="s">
        <v>146</v>
      </c>
      <c r="I3" s="472"/>
      <c r="J3" s="472"/>
      <c r="K3" s="22"/>
      <c r="L3" s="22"/>
      <c r="N3"/>
      <c r="O3" s="40"/>
      <c r="P3" s="40"/>
      <c r="Q3" s="40"/>
      <c r="R3" s="40"/>
      <c r="S3" s="40"/>
      <c r="T3" s="40"/>
      <c r="X3" s="40"/>
    </row>
    <row r="4" spans="1:24" s="77" customFormat="1">
      <c r="A4" s="1446">
        <v>42109</v>
      </c>
      <c r="B4" s="1638">
        <v>2783474943.29</v>
      </c>
      <c r="C4" s="1444">
        <v>28317622.5</v>
      </c>
      <c r="D4" s="1444">
        <v>134538299.06</v>
      </c>
      <c r="E4" s="1444">
        <v>19553715.449999999</v>
      </c>
      <c r="F4" s="1444">
        <v>11500000</v>
      </c>
      <c r="G4" s="1639">
        <v>38440452</v>
      </c>
      <c r="H4" s="1447">
        <f t="shared" ref="H4:H9" si="0">SUM(B4:G4)</f>
        <v>3015825032.2999997</v>
      </c>
      <c r="I4" s="473"/>
      <c r="J4" s="473"/>
      <c r="K4" s="94"/>
      <c r="L4" s="94"/>
      <c r="O4" s="40"/>
      <c r="P4" s="40"/>
      <c r="Q4" s="40"/>
      <c r="R4" s="40"/>
      <c r="S4" s="40"/>
      <c r="T4" s="40"/>
      <c r="U4" s="40"/>
      <c r="V4" s="40"/>
      <c r="W4" s="40"/>
      <c r="X4" s="40"/>
    </row>
    <row r="5" spans="1:24" s="77" customFormat="1">
      <c r="A5" s="1446">
        <v>42139</v>
      </c>
      <c r="B5" s="1638">
        <v>2799017569.7600002</v>
      </c>
      <c r="C5" s="1444">
        <v>28285198.5</v>
      </c>
      <c r="D5" s="1444">
        <v>136303790.02000001</v>
      </c>
      <c r="E5" s="1444">
        <v>19771677.609999999</v>
      </c>
      <c r="F5" s="1444">
        <v>11478000</v>
      </c>
      <c r="G5" s="1639">
        <v>12813484</v>
      </c>
      <c r="H5" s="1447">
        <f t="shared" si="0"/>
        <v>3007669719.8900003</v>
      </c>
      <c r="I5" s="473"/>
      <c r="J5" s="473"/>
      <c r="K5" s="94"/>
      <c r="L5" s="94"/>
      <c r="O5" s="40"/>
      <c r="P5" s="40"/>
      <c r="Q5" s="40"/>
      <c r="R5" s="40"/>
      <c r="S5" s="40"/>
      <c r="T5" s="40"/>
      <c r="U5" s="40"/>
      <c r="V5" s="40"/>
      <c r="W5" s="40"/>
      <c r="X5" s="40"/>
    </row>
    <row r="6" spans="1:24" s="77" customFormat="1">
      <c r="A6" s="1446">
        <v>42170</v>
      </c>
      <c r="B6" s="1638">
        <v>2808485248.3299999</v>
      </c>
      <c r="C6" s="1444">
        <v>28281892.5</v>
      </c>
      <c r="D6" s="1444">
        <v>145785015.66</v>
      </c>
      <c r="E6" s="1444">
        <v>20180806.620000001</v>
      </c>
      <c r="F6" s="1444">
        <v>11180000</v>
      </c>
      <c r="G6" s="1639">
        <v>12813484</v>
      </c>
      <c r="H6" s="1447">
        <f t="shared" si="0"/>
        <v>3026726447.1099997</v>
      </c>
      <c r="I6" s="473"/>
      <c r="J6" s="473"/>
      <c r="K6" s="94"/>
      <c r="L6" s="94"/>
      <c r="O6" s="40"/>
      <c r="P6" s="40"/>
      <c r="Q6" s="40"/>
      <c r="R6" s="40"/>
      <c r="S6" s="40"/>
      <c r="T6" s="40"/>
      <c r="U6" s="40"/>
      <c r="V6" s="40"/>
      <c r="W6" s="40"/>
      <c r="X6" s="40"/>
    </row>
    <row r="7" spans="1:24" s="77" customFormat="1">
      <c r="A7" s="1446">
        <v>42200</v>
      </c>
      <c r="B7" s="1638">
        <v>2813198539.2199998</v>
      </c>
      <c r="C7" s="1444">
        <v>28280568</v>
      </c>
      <c r="D7" s="1444">
        <v>142908166.75999999</v>
      </c>
      <c r="E7" s="1444">
        <v>20508504.91</v>
      </c>
      <c r="F7" s="1444">
        <v>11450000</v>
      </c>
      <c r="G7" s="1640">
        <v>12813484</v>
      </c>
      <c r="H7" s="1447">
        <f>SUM(B7:G7)</f>
        <v>3029159262.8899994</v>
      </c>
      <c r="I7" s="473"/>
      <c r="J7" s="473"/>
      <c r="K7" s="94"/>
      <c r="L7" s="94"/>
      <c r="O7" s="40"/>
      <c r="P7" s="40"/>
      <c r="Q7" s="40"/>
      <c r="R7" s="40"/>
      <c r="S7" s="40"/>
      <c r="T7" s="40"/>
      <c r="U7" s="40"/>
      <c r="V7" s="40"/>
      <c r="W7" s="40"/>
      <c r="X7" s="40"/>
    </row>
    <row r="8" spans="1:24" s="77" customFormat="1">
      <c r="A8" s="1446">
        <v>42231</v>
      </c>
      <c r="B8" s="1638">
        <v>2830325804.3299999</v>
      </c>
      <c r="C8" s="1444">
        <v>28714021.5</v>
      </c>
      <c r="D8" s="1444">
        <v>138439463.38</v>
      </c>
      <c r="E8" s="1444">
        <v>20470315.219999999</v>
      </c>
      <c r="F8" s="1444">
        <v>12058000</v>
      </c>
      <c r="G8" s="1640">
        <v>12813484</v>
      </c>
      <c r="H8" s="1447">
        <f>SUM(B8:G8)</f>
        <v>3042821088.4299998</v>
      </c>
      <c r="I8" s="473"/>
      <c r="J8" s="473"/>
      <c r="K8" s="94"/>
      <c r="L8" s="94"/>
      <c r="O8" s="40"/>
      <c r="P8" s="40"/>
      <c r="Q8" s="40"/>
      <c r="R8" s="40"/>
      <c r="S8" s="40"/>
      <c r="T8" s="40"/>
      <c r="U8" s="40"/>
      <c r="V8" s="40"/>
      <c r="W8" s="40"/>
      <c r="X8" s="40"/>
    </row>
    <row r="9" spans="1:24" s="77" customFormat="1">
      <c r="A9" s="1446">
        <v>42262</v>
      </c>
      <c r="B9" s="1638">
        <v>2820974591.46</v>
      </c>
      <c r="C9" s="1444">
        <v>28235092.5</v>
      </c>
      <c r="D9" s="1444">
        <v>142178850.41999999</v>
      </c>
      <c r="E9" s="1444">
        <v>20740592.91</v>
      </c>
      <c r="F9" s="1444">
        <v>12250000</v>
      </c>
      <c r="G9" s="1640" t="s">
        <v>934</v>
      </c>
      <c r="H9" s="1447">
        <f t="shared" si="0"/>
        <v>3024379127.29</v>
      </c>
      <c r="I9" s="473"/>
      <c r="J9" s="473"/>
      <c r="K9" s="94"/>
      <c r="L9" s="94"/>
      <c r="O9" s="40"/>
      <c r="P9" s="40"/>
      <c r="Q9" s="40"/>
      <c r="R9" s="40"/>
      <c r="S9" s="40"/>
      <c r="T9" s="40"/>
      <c r="U9" s="40"/>
      <c r="V9" s="40"/>
      <c r="W9" s="40"/>
      <c r="X9" s="40"/>
    </row>
    <row r="10" spans="1:24" s="77" customFormat="1">
      <c r="A10" s="1446">
        <v>42292</v>
      </c>
      <c r="B10" s="1638">
        <v>2866567079.54</v>
      </c>
      <c r="C10" s="1444">
        <v>28659573</v>
      </c>
      <c r="D10" s="1444">
        <v>144117327.62</v>
      </c>
      <c r="E10" s="1444">
        <v>21184823.920000002</v>
      </c>
      <c r="F10" s="1444">
        <v>12362000</v>
      </c>
      <c r="G10" s="1640">
        <v>12813484</v>
      </c>
      <c r="H10" s="1447">
        <f>SUM(B10:G10)</f>
        <v>3085704288.0799999</v>
      </c>
      <c r="I10" s="473"/>
      <c r="J10" s="473"/>
      <c r="K10" s="94"/>
      <c r="L10" s="94"/>
      <c r="O10" s="40"/>
      <c r="P10" s="40"/>
      <c r="Q10" s="40"/>
      <c r="R10" s="40"/>
      <c r="S10" s="40"/>
      <c r="T10" s="40"/>
      <c r="U10" s="40"/>
      <c r="V10" s="40"/>
      <c r="W10" s="40"/>
      <c r="X10" s="40"/>
    </row>
    <row r="11" spans="1:24" s="1458" customFormat="1">
      <c r="A11" s="1446">
        <v>42323</v>
      </c>
      <c r="B11" s="1638">
        <v>3375946224.3999996</v>
      </c>
      <c r="C11" s="1444">
        <v>29057208</v>
      </c>
      <c r="D11" s="1444">
        <v>145092739.86000001</v>
      </c>
      <c r="E11" s="1444">
        <v>21330587.039999999</v>
      </c>
      <c r="F11" s="1444">
        <v>24913484</v>
      </c>
      <c r="G11" s="1640">
        <v>12813484</v>
      </c>
      <c r="H11" s="1447">
        <f t="shared" ref="H11:H13" si="1">SUM(B11:G11)</f>
        <v>3609153727.2999997</v>
      </c>
      <c r="I11" s="473"/>
      <c r="J11" s="473"/>
      <c r="K11" s="1453"/>
      <c r="L11" s="1453"/>
      <c r="O11" s="40"/>
      <c r="P11" s="40"/>
      <c r="Q11" s="40"/>
      <c r="R11" s="40"/>
      <c r="S11" s="40"/>
      <c r="T11" s="40"/>
      <c r="U11" s="40"/>
      <c r="V11" s="40"/>
      <c r="W11" s="40"/>
      <c r="X11" s="40"/>
    </row>
    <row r="12" spans="1:24" s="1458" customFormat="1">
      <c r="A12" s="1446">
        <v>42353</v>
      </c>
      <c r="B12" s="1638">
        <v>3115844602.25</v>
      </c>
      <c r="C12" s="1444">
        <v>28655221.5</v>
      </c>
      <c r="D12" s="1444">
        <v>152227426.43000001</v>
      </c>
      <c r="E12" s="1444">
        <v>22610592.989999998</v>
      </c>
      <c r="F12" s="1444">
        <v>24705484</v>
      </c>
      <c r="G12" s="1640">
        <v>12813484</v>
      </c>
      <c r="H12" s="1447">
        <f t="shared" si="1"/>
        <v>3356856811.1699996</v>
      </c>
      <c r="I12" s="473"/>
      <c r="J12" s="473"/>
      <c r="K12" s="1453"/>
      <c r="L12" s="1453"/>
      <c r="O12" s="40"/>
      <c r="P12" s="40"/>
      <c r="Q12" s="40"/>
      <c r="R12" s="40"/>
      <c r="S12" s="40"/>
      <c r="T12" s="40"/>
      <c r="U12" s="40"/>
      <c r="V12" s="40"/>
      <c r="W12" s="40"/>
      <c r="X12" s="40"/>
    </row>
    <row r="13" spans="1:24" s="1458" customFormat="1">
      <c r="A13" s="1446">
        <v>42384</v>
      </c>
      <c r="B13" s="1638">
        <f>3015516223.2+164049901.62</f>
        <v>3179566124.8199997</v>
      </c>
      <c r="C13" s="1444">
        <v>29457327</v>
      </c>
      <c r="D13" s="1444">
        <v>144387830.97999999</v>
      </c>
      <c r="E13" s="1444">
        <v>21131410.789999999</v>
      </c>
      <c r="F13" s="1444">
        <v>11836000</v>
      </c>
      <c r="G13" s="1640">
        <v>0</v>
      </c>
      <c r="H13" s="1447">
        <f t="shared" si="1"/>
        <v>3386378693.5899997</v>
      </c>
      <c r="I13" s="473"/>
      <c r="J13" s="473"/>
      <c r="K13" s="1453"/>
      <c r="L13" s="1453"/>
      <c r="O13" s="40"/>
      <c r="P13" s="40"/>
      <c r="Q13" s="40"/>
      <c r="R13" s="40"/>
      <c r="S13" s="40"/>
      <c r="T13" s="40"/>
      <c r="U13" s="40"/>
      <c r="V13" s="40"/>
      <c r="W13" s="40"/>
      <c r="X13" s="40"/>
    </row>
    <row r="14" spans="1:24" s="77" customFormat="1">
      <c r="A14" s="1446">
        <v>42415</v>
      </c>
      <c r="B14" s="1638">
        <v>3160659813.4099998</v>
      </c>
      <c r="C14" s="1444">
        <v>28700748</v>
      </c>
      <c r="D14" s="1444">
        <v>151958048.81</v>
      </c>
      <c r="E14" s="1444">
        <v>21874734.199999999</v>
      </c>
      <c r="F14" s="1444">
        <v>12152000</v>
      </c>
      <c r="G14" s="1640">
        <v>25626968</v>
      </c>
      <c r="H14" s="1447">
        <f>SUM(B14:G14)</f>
        <v>3400972312.4199996</v>
      </c>
      <c r="I14" s="473"/>
      <c r="J14" s="473"/>
      <c r="K14" s="94"/>
      <c r="L14" s="94"/>
      <c r="O14" s="40"/>
      <c r="P14" s="40"/>
      <c r="Q14" s="40"/>
      <c r="R14" s="40"/>
      <c r="S14" s="40"/>
      <c r="T14" s="40"/>
      <c r="U14" s="40"/>
      <c r="V14" s="40"/>
      <c r="W14" s="40"/>
      <c r="X14" s="40"/>
    </row>
    <row r="15" spans="1:24" s="1458" customFormat="1">
      <c r="A15" s="1446">
        <v>42444</v>
      </c>
      <c r="B15" s="1638">
        <v>3274419649.9200001</v>
      </c>
      <c r="C15" s="1444">
        <v>29882526</v>
      </c>
      <c r="D15" s="1444">
        <v>158353496.97999999</v>
      </c>
      <c r="E15" s="1444">
        <v>22854486.5</v>
      </c>
      <c r="F15" s="1444">
        <v>11912000</v>
      </c>
      <c r="G15" s="1640">
        <v>12813484</v>
      </c>
      <c r="H15" s="1447">
        <f t="shared" ref="H15" si="2">SUM(B15:G15)</f>
        <v>3510235643.4000001</v>
      </c>
      <c r="I15" s="473"/>
      <c r="J15" s="473"/>
      <c r="K15" s="1453"/>
      <c r="L15" s="1453"/>
      <c r="O15" s="40"/>
      <c r="P15" s="40"/>
      <c r="Q15" s="40"/>
      <c r="R15" s="40"/>
      <c r="S15" s="40"/>
      <c r="T15" s="40"/>
      <c r="U15" s="40"/>
      <c r="V15" s="40"/>
      <c r="W15" s="40"/>
      <c r="X15" s="40"/>
    </row>
    <row r="16" spans="1:24" s="22" customFormat="1">
      <c r="A16" s="1605">
        <v>42475</v>
      </c>
      <c r="B16" s="1641">
        <v>3256561363.6500001</v>
      </c>
      <c r="C16" s="1452">
        <v>30320142</v>
      </c>
      <c r="D16" s="1452">
        <v>155873021.50999999</v>
      </c>
      <c r="E16" s="1452">
        <v>22716798.710000001</v>
      </c>
      <c r="F16" s="1452">
        <v>11772000</v>
      </c>
      <c r="G16" s="1642">
        <v>12813484</v>
      </c>
      <c r="H16" s="1447">
        <f>SUM(B16:G16)</f>
        <v>3490056809.8699999</v>
      </c>
      <c r="I16" s="1643"/>
      <c r="J16" s="1643"/>
      <c r="K16" s="1643"/>
      <c r="N16" s="80"/>
      <c r="O16" s="80"/>
      <c r="P16" s="80"/>
      <c r="Q16" s="80"/>
      <c r="R16" s="80"/>
      <c r="S16" s="80"/>
      <c r="T16" s="80"/>
      <c r="U16" s="80"/>
      <c r="V16" s="80"/>
      <c r="W16" s="80"/>
    </row>
    <row r="17" spans="1:20" ht="37.5" customHeight="1">
      <c r="A17" s="2175" t="s">
        <v>958</v>
      </c>
      <c r="B17" s="2175"/>
      <c r="C17" s="2175"/>
      <c r="D17" s="2175"/>
      <c r="E17" s="2175"/>
      <c r="F17" s="2175"/>
      <c r="G17" s="2175"/>
      <c r="H17" s="2175"/>
      <c r="N17" s="40"/>
      <c r="O17" s="40"/>
      <c r="P17" s="40"/>
      <c r="Q17" s="40"/>
      <c r="R17" s="40"/>
      <c r="S17" s="40"/>
      <c r="T17" s="40"/>
    </row>
    <row r="18" spans="1:20">
      <c r="N18" s="40"/>
      <c r="O18" s="40"/>
      <c r="P18" s="40"/>
      <c r="Q18" s="40"/>
      <c r="R18" s="40"/>
      <c r="S18" s="40"/>
      <c r="T18" s="40"/>
    </row>
    <row r="19" spans="1:20">
      <c r="N19" s="40"/>
      <c r="O19" s="40"/>
      <c r="P19" s="40"/>
      <c r="Q19" s="40"/>
      <c r="R19" s="40"/>
      <c r="S19" s="40"/>
      <c r="T19" s="40"/>
    </row>
    <row r="20" spans="1:20">
      <c r="N20" s="40"/>
      <c r="O20" s="40"/>
      <c r="P20" s="40"/>
      <c r="Q20" s="40"/>
      <c r="R20" s="40"/>
      <c r="S20" s="40"/>
      <c r="T20" s="40"/>
    </row>
    <row r="21" spans="1:20">
      <c r="N21" s="40"/>
      <c r="O21" s="40"/>
      <c r="P21" s="40"/>
      <c r="Q21" s="40"/>
      <c r="R21" s="40"/>
      <c r="S21" s="40"/>
      <c r="T21" s="40"/>
    </row>
    <row r="22" spans="1:20">
      <c r="N22" s="40"/>
      <c r="O22" s="40"/>
      <c r="P22" s="40"/>
      <c r="Q22" s="40"/>
      <c r="R22" s="40"/>
      <c r="S22" s="40"/>
      <c r="T22" s="40"/>
    </row>
    <row r="23" spans="1:20">
      <c r="N23" s="40"/>
      <c r="O23" s="40"/>
      <c r="P23" s="40"/>
      <c r="Q23" s="40"/>
      <c r="R23" s="40"/>
      <c r="S23" s="40"/>
      <c r="T23" s="40"/>
    </row>
    <row r="24" spans="1:20">
      <c r="N24" s="40"/>
      <c r="O24" s="40"/>
      <c r="P24" s="40"/>
      <c r="Q24" s="40"/>
      <c r="R24" s="40"/>
      <c r="S24" s="40"/>
      <c r="T24" s="40"/>
    </row>
    <row r="25" spans="1:20">
      <c r="N25" s="40"/>
      <c r="O25" s="40"/>
      <c r="P25" s="40"/>
      <c r="Q25" s="40"/>
      <c r="R25" s="40"/>
      <c r="S25" s="40"/>
      <c r="T25" s="40"/>
    </row>
    <row r="26" spans="1:20">
      <c r="N26" s="40"/>
      <c r="O26" s="40"/>
      <c r="P26" s="40"/>
      <c r="Q26" s="40"/>
      <c r="R26" s="40"/>
      <c r="S26" s="40"/>
      <c r="T26" s="40"/>
    </row>
    <row r="27" spans="1:20">
      <c r="N27" s="40"/>
      <c r="O27" s="40"/>
      <c r="P27" s="40"/>
      <c r="Q27" s="40"/>
      <c r="R27" s="40"/>
      <c r="S27" s="40"/>
      <c r="T27" s="40"/>
    </row>
    <row r="28" spans="1:20">
      <c r="N28" s="40"/>
      <c r="O28" s="40"/>
      <c r="P28" s="40"/>
      <c r="Q28" s="40"/>
      <c r="R28" s="40"/>
      <c r="S28" s="40"/>
      <c r="T28" s="40"/>
    </row>
    <row r="29" spans="1:20">
      <c r="N29" s="40"/>
      <c r="O29" s="40"/>
      <c r="P29" s="40"/>
      <c r="Q29" s="40"/>
      <c r="R29" s="40"/>
      <c r="S29" s="40"/>
      <c r="T29" s="40"/>
    </row>
    <row r="30" spans="1:20">
      <c r="N30" s="40"/>
      <c r="O30" s="40"/>
      <c r="P30" s="40"/>
      <c r="Q30" s="40"/>
      <c r="R30" s="40"/>
      <c r="S30" s="40"/>
      <c r="T30" s="40"/>
    </row>
    <row r="31" spans="1:20">
      <c r="N31" s="40"/>
      <c r="O31" s="40"/>
      <c r="P31" s="40"/>
      <c r="Q31" s="40"/>
      <c r="R31" s="40"/>
      <c r="S31" s="40"/>
      <c r="T31" s="40"/>
    </row>
    <row r="32" spans="1:20">
      <c r="N32" s="40"/>
      <c r="O32" s="40"/>
      <c r="P32" s="40"/>
      <c r="Q32" s="40"/>
      <c r="R32" s="40"/>
      <c r="S32" s="40"/>
      <c r="T32" s="40"/>
    </row>
    <row r="33" spans="12:20">
      <c r="N33" s="40"/>
      <c r="O33" s="40"/>
      <c r="P33" s="40"/>
      <c r="Q33" s="40"/>
      <c r="R33" s="40"/>
      <c r="S33" s="40"/>
      <c r="T33" s="40"/>
    </row>
    <row r="34" spans="12:20">
      <c r="N34" s="40"/>
      <c r="O34" s="40"/>
      <c r="P34" s="40"/>
      <c r="Q34" s="40"/>
      <c r="R34" s="40"/>
      <c r="S34" s="40"/>
      <c r="T34" s="40"/>
    </row>
    <row r="35" spans="12:20">
      <c r="N35" s="40"/>
      <c r="O35" s="40"/>
      <c r="P35" s="40"/>
      <c r="Q35" s="40"/>
      <c r="R35" s="40"/>
      <c r="S35" s="40"/>
      <c r="T35" s="40"/>
    </row>
    <row r="36" spans="12:20">
      <c r="N36" s="40"/>
      <c r="O36" s="40"/>
      <c r="P36" s="40"/>
      <c r="Q36" s="40"/>
      <c r="R36" s="40"/>
      <c r="S36" s="40"/>
      <c r="T36" s="40"/>
    </row>
    <row r="37" spans="12:20">
      <c r="N37" s="40"/>
      <c r="O37" s="40"/>
      <c r="P37" s="40"/>
      <c r="Q37" s="40"/>
      <c r="R37" s="40"/>
      <c r="S37" s="40"/>
      <c r="T37" s="40"/>
    </row>
    <row r="38" spans="12:20">
      <c r="N38" s="40"/>
      <c r="O38" s="40"/>
      <c r="P38" s="40"/>
      <c r="Q38" s="40"/>
      <c r="R38" s="40"/>
      <c r="S38" s="40"/>
      <c r="T38" s="40"/>
    </row>
    <row r="39" spans="12:20">
      <c r="N39" s="40"/>
      <c r="O39" s="40"/>
      <c r="P39" s="40"/>
      <c r="Q39" s="40"/>
      <c r="R39" s="40"/>
      <c r="S39" s="40"/>
      <c r="T39" s="40"/>
    </row>
    <row r="40" spans="12:20">
      <c r="N40" s="40"/>
      <c r="O40" s="40"/>
      <c r="P40" s="40"/>
      <c r="Q40" s="40"/>
      <c r="R40" s="40"/>
      <c r="S40" s="40"/>
      <c r="T40" s="40"/>
    </row>
    <row r="41" spans="12:20">
      <c r="N41" s="40"/>
      <c r="O41" s="40"/>
      <c r="P41" s="40"/>
      <c r="Q41" s="40"/>
      <c r="R41" s="40"/>
      <c r="S41" s="40"/>
      <c r="T41" s="40"/>
    </row>
    <row r="42" spans="12:20">
      <c r="N42" s="40"/>
      <c r="O42" s="40"/>
      <c r="P42" s="40"/>
      <c r="Q42" s="40"/>
      <c r="R42" s="40"/>
      <c r="S42" s="40"/>
      <c r="T42" s="40"/>
    </row>
    <row r="43" spans="12:20">
      <c r="N43" s="40"/>
      <c r="O43" s="40"/>
      <c r="P43" s="40"/>
      <c r="Q43" s="40"/>
      <c r="R43" s="40"/>
      <c r="S43" s="40"/>
      <c r="T43" s="40"/>
    </row>
    <row r="44" spans="12:20" ht="16.5" customHeight="1">
      <c r="N44" s="40"/>
      <c r="O44" s="40"/>
      <c r="P44" s="40"/>
      <c r="Q44" s="40"/>
      <c r="R44" s="40"/>
      <c r="S44" s="40"/>
      <c r="T44" s="40"/>
    </row>
    <row r="45" spans="12:20" hidden="1">
      <c r="N45" s="40"/>
      <c r="O45" s="40"/>
      <c r="P45" s="40"/>
      <c r="Q45" s="40"/>
      <c r="R45" s="40"/>
      <c r="S45" s="40"/>
      <c r="T45" s="40"/>
    </row>
    <row r="46" spans="12:20" hidden="1">
      <c r="N46" s="40"/>
      <c r="O46" s="40"/>
      <c r="P46" s="40"/>
      <c r="Q46" s="40"/>
      <c r="R46" s="40"/>
      <c r="S46" s="40"/>
      <c r="T46" s="40"/>
    </row>
    <row r="47" spans="12:20">
      <c r="N47" s="40"/>
      <c r="O47" s="40"/>
      <c r="P47" s="40"/>
      <c r="Q47" s="40"/>
      <c r="R47" s="40"/>
      <c r="S47" s="40"/>
      <c r="T47" s="40"/>
    </row>
    <row r="48" spans="12:20">
      <c r="L48" s="77" t="s">
        <v>168</v>
      </c>
      <c r="N48" s="40"/>
      <c r="O48" s="40"/>
      <c r="P48" s="40"/>
      <c r="Q48" s="40"/>
      <c r="R48" s="40"/>
      <c r="S48" s="40"/>
      <c r="T48" s="40"/>
    </row>
    <row r="49" spans="14:20">
      <c r="N49" s="40"/>
      <c r="O49" s="40"/>
      <c r="P49" s="40"/>
      <c r="Q49" s="40"/>
      <c r="R49" s="40"/>
      <c r="S49" s="40"/>
      <c r="T49" s="40"/>
    </row>
    <row r="50" spans="14:20">
      <c r="N50" s="40"/>
      <c r="O50" s="40"/>
      <c r="P50" s="40"/>
      <c r="Q50" s="40"/>
      <c r="R50" s="40"/>
      <c r="S50" s="40"/>
      <c r="T50" s="40"/>
    </row>
    <row r="51" spans="14:20">
      <c r="N51" s="40"/>
      <c r="O51" s="40"/>
      <c r="P51" s="40"/>
      <c r="Q51" s="40"/>
      <c r="R51" s="40"/>
      <c r="S51" s="40"/>
      <c r="T51" s="40"/>
    </row>
    <row r="52" spans="14:20">
      <c r="N52" s="40"/>
      <c r="O52" s="40"/>
      <c r="P52" s="40"/>
      <c r="Q52" s="40"/>
      <c r="R52" s="40"/>
      <c r="S52" s="40"/>
      <c r="T52" s="40"/>
    </row>
    <row r="53" spans="14:20">
      <c r="N53" s="40"/>
      <c r="O53" s="40"/>
      <c r="P53" s="40"/>
      <c r="Q53" s="40"/>
      <c r="R53" s="40"/>
      <c r="S53" s="40"/>
      <c r="T53" s="40"/>
    </row>
    <row r="54" spans="14:20">
      <c r="N54" s="40"/>
      <c r="O54" s="40"/>
      <c r="P54" s="40"/>
      <c r="Q54" s="40"/>
      <c r="R54" s="40"/>
      <c r="S54" s="40"/>
      <c r="T54" s="40"/>
    </row>
    <row r="55" spans="14:20">
      <c r="N55" s="40"/>
      <c r="O55" s="40"/>
      <c r="P55" s="40"/>
      <c r="Q55" s="40"/>
      <c r="R55" s="40"/>
      <c r="S55" s="40"/>
      <c r="T55" s="40"/>
    </row>
    <row r="56" spans="14:20">
      <c r="N56" s="40"/>
      <c r="O56" s="40"/>
      <c r="P56" s="40"/>
      <c r="Q56" s="40"/>
      <c r="R56" s="40"/>
      <c r="S56" s="40"/>
      <c r="T56" s="40"/>
    </row>
    <row r="57" spans="14:20">
      <c r="N57" s="40"/>
      <c r="O57" s="40"/>
      <c r="P57" s="40"/>
      <c r="Q57" s="40"/>
      <c r="R57" s="40"/>
      <c r="S57" s="40"/>
      <c r="T57" s="40"/>
    </row>
    <row r="58" spans="14:20">
      <c r="N58" s="40"/>
      <c r="O58" s="40"/>
      <c r="P58" s="40"/>
      <c r="Q58" s="40"/>
      <c r="R58" s="40"/>
      <c r="S58" s="40"/>
      <c r="T58" s="40"/>
    </row>
    <row r="59" spans="14:20">
      <c r="N59" s="40"/>
      <c r="O59" s="40"/>
      <c r="P59" s="40"/>
      <c r="Q59" s="40"/>
      <c r="R59" s="40"/>
      <c r="S59" s="40"/>
      <c r="T59" s="40"/>
    </row>
    <row r="60" spans="14:20">
      <c r="N60" s="40"/>
      <c r="O60" s="40"/>
      <c r="P60" s="40"/>
      <c r="Q60" s="40"/>
      <c r="R60" s="40"/>
      <c r="S60" s="40"/>
      <c r="T60" s="40"/>
    </row>
    <row r="61" spans="14:20">
      <c r="N61" s="40"/>
      <c r="O61" s="40"/>
      <c r="P61" s="40"/>
      <c r="Q61" s="40"/>
      <c r="R61" s="40"/>
      <c r="S61" s="40"/>
      <c r="T61" s="40"/>
    </row>
    <row r="62" spans="14:20">
      <c r="N62" s="40"/>
      <c r="O62" s="40"/>
      <c r="P62" s="40"/>
      <c r="Q62" s="40"/>
      <c r="R62" s="40"/>
      <c r="S62" s="40"/>
      <c r="T62" s="40"/>
    </row>
    <row r="63" spans="14:20">
      <c r="N63" s="40"/>
      <c r="O63" s="40"/>
      <c r="P63" s="40"/>
      <c r="Q63" s="40"/>
      <c r="R63" s="40"/>
      <c r="S63" s="40"/>
      <c r="T63" s="40"/>
    </row>
    <row r="64" spans="14:20">
      <c r="N64" s="40"/>
      <c r="O64" s="40"/>
      <c r="P64" s="40"/>
      <c r="Q64" s="40"/>
      <c r="R64" s="40"/>
      <c r="S64" s="40"/>
      <c r="T64" s="40"/>
    </row>
    <row r="65" spans="14:20">
      <c r="N65" s="40"/>
      <c r="O65" s="40"/>
      <c r="P65" s="40"/>
      <c r="Q65" s="40"/>
      <c r="R65" s="40"/>
      <c r="S65" s="40"/>
      <c r="T65" s="40"/>
    </row>
    <row r="66" spans="14:20">
      <c r="N66" s="40"/>
      <c r="O66" s="40"/>
      <c r="P66" s="40"/>
      <c r="Q66" s="40"/>
      <c r="R66" s="40"/>
      <c r="S66" s="40"/>
      <c r="T66" s="40"/>
    </row>
    <row r="67" spans="14:20">
      <c r="N67" s="40"/>
      <c r="O67" s="40"/>
      <c r="P67" s="40"/>
      <c r="Q67" s="40"/>
      <c r="R67" s="40"/>
      <c r="S67" s="40"/>
      <c r="T67" s="40"/>
    </row>
    <row r="68" spans="14:20">
      <c r="N68" s="40"/>
      <c r="O68" s="40"/>
      <c r="P68" s="40"/>
      <c r="Q68" s="40"/>
      <c r="R68" s="40"/>
      <c r="S68" s="40"/>
      <c r="T68" s="40"/>
    </row>
    <row r="69" spans="14:20">
      <c r="N69" s="40"/>
      <c r="O69" s="40"/>
      <c r="P69" s="40"/>
      <c r="Q69" s="40"/>
      <c r="R69" s="40"/>
      <c r="S69" s="40"/>
      <c r="T69" s="40"/>
    </row>
    <row r="70" spans="14:20">
      <c r="N70" s="40"/>
      <c r="O70" s="40"/>
      <c r="P70" s="40"/>
      <c r="Q70" s="40"/>
      <c r="R70" s="40"/>
      <c r="S70" s="40"/>
      <c r="T70" s="40"/>
    </row>
    <row r="71" spans="14:20">
      <c r="N71" s="40"/>
      <c r="O71" s="40"/>
      <c r="P71" s="40"/>
      <c r="Q71" s="40"/>
      <c r="R71" s="40"/>
      <c r="S71" s="40"/>
      <c r="T71" s="40"/>
    </row>
    <row r="72" spans="14:20">
      <c r="N72" s="40"/>
      <c r="O72" s="40"/>
      <c r="P72" s="40"/>
      <c r="Q72" s="40"/>
      <c r="R72" s="40"/>
      <c r="S72" s="40"/>
      <c r="T72" s="40"/>
    </row>
    <row r="73" spans="14:20">
      <c r="N73" s="40"/>
      <c r="O73" s="40"/>
      <c r="P73" s="40"/>
      <c r="Q73" s="40"/>
      <c r="R73" s="40"/>
      <c r="S73" s="40"/>
      <c r="T73" s="40"/>
    </row>
    <row r="74" spans="14:20">
      <c r="N74" s="40"/>
      <c r="O74" s="40"/>
      <c r="P74" s="40"/>
      <c r="Q74" s="40"/>
      <c r="R74" s="40"/>
      <c r="S74" s="40"/>
      <c r="T74" s="40"/>
    </row>
    <row r="75" spans="14:20">
      <c r="N75" s="40"/>
      <c r="O75" s="40"/>
      <c r="P75" s="40"/>
      <c r="Q75" s="40"/>
      <c r="R75" s="40"/>
      <c r="S75" s="40"/>
      <c r="T75" s="40"/>
    </row>
    <row r="76" spans="14:20">
      <c r="N76" s="40"/>
      <c r="O76" s="40"/>
      <c r="P76" s="40"/>
      <c r="Q76" s="40"/>
      <c r="R76" s="40"/>
      <c r="S76" s="40"/>
      <c r="T76" s="40"/>
    </row>
    <row r="77" spans="14:20">
      <c r="N77" s="40"/>
      <c r="O77" s="40"/>
      <c r="P77" s="40"/>
      <c r="Q77" s="40"/>
      <c r="R77" s="40"/>
      <c r="S77" s="40"/>
      <c r="T77" s="40"/>
    </row>
    <row r="78" spans="14:20">
      <c r="N78" s="40"/>
      <c r="O78" s="40"/>
      <c r="P78" s="40"/>
      <c r="Q78" s="40"/>
      <c r="R78" s="40"/>
      <c r="S78" s="40"/>
      <c r="T78" s="40"/>
    </row>
    <row r="79" spans="14:20">
      <c r="N79" s="40"/>
      <c r="O79" s="40"/>
      <c r="P79" s="40"/>
      <c r="Q79" s="40"/>
      <c r="R79" s="40"/>
      <c r="S79" s="40"/>
      <c r="T79" s="40"/>
    </row>
    <row r="80" spans="14:20">
      <c r="N80" s="40"/>
      <c r="O80" s="40"/>
      <c r="P80" s="40"/>
      <c r="Q80" s="40"/>
      <c r="R80" s="40"/>
      <c r="S80" s="40"/>
      <c r="T80" s="40"/>
    </row>
    <row r="81" spans="14:20">
      <c r="N81" s="40"/>
      <c r="O81" s="40"/>
      <c r="P81" s="40"/>
      <c r="Q81" s="40"/>
      <c r="R81" s="40"/>
      <c r="S81" s="40"/>
      <c r="T81" s="40"/>
    </row>
    <row r="82" spans="14:20">
      <c r="N82" s="40"/>
      <c r="O82" s="40"/>
      <c r="P82" s="40"/>
      <c r="Q82" s="40"/>
      <c r="R82" s="40"/>
      <c r="S82" s="40"/>
      <c r="T82" s="40"/>
    </row>
    <row r="83" spans="14:20">
      <c r="N83" s="40"/>
      <c r="O83" s="40"/>
      <c r="P83" s="40"/>
      <c r="Q83" s="40"/>
      <c r="R83" s="40"/>
      <c r="S83" s="40"/>
      <c r="T83" s="40"/>
    </row>
    <row r="84" spans="14:20">
      <c r="N84" s="40"/>
      <c r="O84" s="40"/>
      <c r="P84" s="40"/>
      <c r="Q84" s="40"/>
      <c r="R84" s="40"/>
      <c r="S84" s="40"/>
      <c r="T84" s="40"/>
    </row>
    <row r="85" spans="14:20">
      <c r="N85" s="40"/>
      <c r="O85" s="40"/>
      <c r="P85" s="40"/>
      <c r="Q85" s="40"/>
      <c r="R85" s="40"/>
      <c r="S85" s="40"/>
      <c r="T85" s="40"/>
    </row>
    <row r="86" spans="14:20">
      <c r="N86" s="40"/>
      <c r="O86" s="40"/>
      <c r="P86" s="40"/>
      <c r="Q86" s="40"/>
      <c r="R86" s="40"/>
      <c r="S86" s="40"/>
      <c r="T86" s="40"/>
    </row>
    <row r="87" spans="14:20">
      <c r="N87" s="40"/>
      <c r="O87" s="40"/>
      <c r="P87" s="40"/>
      <c r="Q87" s="40"/>
      <c r="R87" s="40"/>
      <c r="S87" s="40"/>
      <c r="T87" s="40"/>
    </row>
    <row r="88" spans="14:20">
      <c r="N88" s="40"/>
      <c r="O88" s="40"/>
      <c r="P88" s="40"/>
      <c r="Q88" s="40"/>
      <c r="R88" s="40"/>
      <c r="S88" s="40"/>
      <c r="T88" s="40"/>
    </row>
    <row r="89" spans="14:20">
      <c r="N89" s="40"/>
      <c r="O89" s="40"/>
      <c r="P89" s="40"/>
      <c r="Q89" s="40"/>
      <c r="R89" s="40"/>
      <c r="S89" s="40"/>
      <c r="T89" s="40"/>
    </row>
    <row r="90" spans="14:20">
      <c r="N90" s="40"/>
      <c r="O90" s="40"/>
      <c r="P90" s="40"/>
      <c r="Q90" s="40"/>
      <c r="R90" s="40"/>
      <c r="S90" s="40"/>
      <c r="T90" s="40"/>
    </row>
    <row r="91" spans="14:20">
      <c r="N91" s="40"/>
      <c r="O91" s="40"/>
      <c r="P91" s="40"/>
      <c r="Q91" s="40"/>
      <c r="R91" s="40"/>
      <c r="S91" s="40"/>
      <c r="T91" s="40"/>
    </row>
    <row r="92" spans="14:20">
      <c r="N92" s="40"/>
      <c r="O92" s="40"/>
      <c r="P92" s="40"/>
      <c r="Q92" s="40"/>
      <c r="R92" s="40"/>
      <c r="S92" s="40"/>
      <c r="T92" s="40"/>
    </row>
    <row r="93" spans="14:20">
      <c r="N93" s="40"/>
      <c r="O93" s="40"/>
      <c r="P93" s="40"/>
      <c r="Q93" s="40"/>
      <c r="R93" s="40"/>
      <c r="S93" s="40"/>
      <c r="T93" s="40"/>
    </row>
    <row r="94" spans="14:20">
      <c r="N94" s="40"/>
      <c r="O94" s="40"/>
      <c r="P94" s="40"/>
      <c r="Q94" s="40"/>
      <c r="R94" s="40"/>
      <c r="S94" s="40"/>
      <c r="T94" s="40"/>
    </row>
    <row r="95" spans="14:20">
      <c r="N95" s="40"/>
      <c r="O95" s="40"/>
      <c r="P95" s="40"/>
      <c r="Q95" s="40"/>
      <c r="R95" s="40"/>
      <c r="S95" s="40"/>
      <c r="T95" s="40"/>
    </row>
    <row r="96" spans="14:20">
      <c r="N96" s="40"/>
      <c r="O96" s="40"/>
      <c r="P96" s="40"/>
      <c r="Q96" s="40"/>
      <c r="R96" s="40"/>
      <c r="S96" s="40"/>
      <c r="T96" s="40"/>
    </row>
    <row r="97" spans="14:20">
      <c r="N97" s="40"/>
      <c r="O97" s="40"/>
      <c r="P97" s="40"/>
      <c r="Q97" s="40"/>
      <c r="R97" s="40"/>
      <c r="S97" s="40"/>
      <c r="T97" s="40"/>
    </row>
    <row r="98" spans="14:20">
      <c r="N98" s="40"/>
      <c r="O98" s="40"/>
      <c r="P98" s="40"/>
      <c r="Q98" s="40"/>
      <c r="R98" s="40"/>
      <c r="S98" s="40"/>
      <c r="T98" s="40"/>
    </row>
    <row r="99" spans="14:20">
      <c r="N99" s="40"/>
      <c r="O99" s="40"/>
      <c r="P99" s="40"/>
      <c r="Q99" s="40"/>
      <c r="R99" s="40"/>
      <c r="S99" s="40"/>
      <c r="T99" s="40"/>
    </row>
    <row r="100" spans="14:20">
      <c r="N100" s="40"/>
      <c r="O100" s="40"/>
      <c r="P100" s="40"/>
      <c r="Q100" s="40"/>
      <c r="R100" s="40"/>
      <c r="S100" s="40"/>
      <c r="T100" s="40"/>
    </row>
    <row r="101" spans="14:20">
      <c r="N101" s="40"/>
      <c r="O101" s="40"/>
      <c r="P101" s="40"/>
      <c r="Q101" s="40"/>
      <c r="R101" s="40"/>
      <c r="S101" s="40"/>
      <c r="T101" s="40"/>
    </row>
    <row r="102" spans="14:20">
      <c r="N102" s="40"/>
      <c r="O102" s="40"/>
      <c r="P102" s="40"/>
      <c r="Q102" s="40"/>
      <c r="R102" s="40"/>
      <c r="S102" s="40"/>
      <c r="T102" s="40"/>
    </row>
    <row r="103" spans="14:20">
      <c r="N103" s="40"/>
      <c r="O103" s="40"/>
      <c r="P103" s="40"/>
      <c r="Q103" s="40"/>
      <c r="R103" s="40"/>
      <c r="S103" s="40"/>
      <c r="T103" s="40"/>
    </row>
    <row r="104" spans="14:20">
      <c r="N104" s="40"/>
      <c r="O104" s="40"/>
      <c r="P104" s="40"/>
      <c r="Q104" s="40"/>
      <c r="R104" s="40"/>
      <c r="S104" s="40"/>
      <c r="T104" s="40"/>
    </row>
    <row r="105" spans="14:20">
      <c r="N105" s="40"/>
      <c r="O105" s="40"/>
      <c r="P105" s="40"/>
      <c r="Q105" s="40"/>
      <c r="R105" s="40"/>
      <c r="S105" s="40"/>
      <c r="T105" s="40"/>
    </row>
    <row r="106" spans="14:20">
      <c r="N106" s="40"/>
      <c r="O106" s="40"/>
      <c r="P106" s="40"/>
      <c r="Q106" s="40"/>
      <c r="R106" s="40"/>
      <c r="S106" s="40"/>
      <c r="T106" s="40"/>
    </row>
    <row r="107" spans="14:20">
      <c r="N107" s="40"/>
      <c r="O107" s="40"/>
      <c r="P107" s="40"/>
      <c r="Q107" s="40"/>
      <c r="R107" s="40"/>
      <c r="S107" s="40"/>
      <c r="T107" s="40"/>
    </row>
    <row r="108" spans="14:20">
      <c r="N108" s="40"/>
      <c r="O108" s="40"/>
      <c r="P108" s="40"/>
      <c r="Q108" s="40"/>
      <c r="R108" s="40"/>
      <c r="S108" s="40"/>
      <c r="T108" s="40"/>
    </row>
    <row r="109" spans="14:20">
      <c r="N109" s="40"/>
      <c r="O109" s="40"/>
      <c r="P109" s="40"/>
      <c r="Q109" s="40"/>
      <c r="R109" s="40"/>
      <c r="S109" s="40"/>
      <c r="T109" s="40"/>
    </row>
    <row r="110" spans="14:20">
      <c r="N110" s="40"/>
      <c r="O110" s="40"/>
      <c r="P110" s="40"/>
      <c r="Q110" s="40"/>
      <c r="R110" s="40"/>
      <c r="S110" s="40"/>
      <c r="T110" s="40"/>
    </row>
    <row r="111" spans="14:20">
      <c r="N111" s="40"/>
      <c r="O111" s="40"/>
      <c r="P111" s="40"/>
      <c r="Q111" s="40"/>
      <c r="R111" s="40"/>
      <c r="S111" s="40"/>
      <c r="T111" s="40"/>
    </row>
    <row r="112" spans="14:20">
      <c r="N112" s="40"/>
      <c r="O112" s="40"/>
      <c r="P112" s="40"/>
      <c r="Q112" s="40"/>
      <c r="R112" s="40"/>
      <c r="S112" s="40"/>
      <c r="T112" s="40"/>
    </row>
    <row r="113" spans="14:20">
      <c r="N113" s="40"/>
      <c r="O113" s="40"/>
      <c r="P113" s="40"/>
      <c r="Q113" s="40"/>
      <c r="R113" s="40"/>
      <c r="S113" s="40"/>
      <c r="T113" s="40"/>
    </row>
    <row r="114" spans="14:20">
      <c r="N114" s="40"/>
      <c r="O114" s="40"/>
      <c r="P114" s="40"/>
      <c r="Q114" s="40"/>
      <c r="R114" s="40"/>
      <c r="S114" s="40"/>
      <c r="T114" s="40"/>
    </row>
    <row r="115" spans="14:20">
      <c r="N115" s="40"/>
      <c r="O115" s="40"/>
      <c r="P115" s="40"/>
      <c r="Q115" s="40"/>
      <c r="R115" s="40"/>
      <c r="S115" s="40"/>
      <c r="T115" s="40"/>
    </row>
    <row r="116" spans="14:20">
      <c r="N116" s="40"/>
      <c r="O116" s="40"/>
      <c r="P116" s="40"/>
      <c r="Q116" s="40"/>
      <c r="R116" s="40"/>
      <c r="S116" s="40"/>
      <c r="T116" s="40"/>
    </row>
    <row r="117" spans="14:20">
      <c r="N117" s="40"/>
      <c r="O117" s="40"/>
      <c r="P117" s="40"/>
      <c r="Q117" s="40"/>
      <c r="R117" s="40"/>
      <c r="S117" s="40"/>
      <c r="T117" s="40"/>
    </row>
    <row r="118" spans="14:20">
      <c r="N118" s="40"/>
      <c r="O118" s="40"/>
      <c r="P118" s="40"/>
      <c r="Q118" s="40"/>
      <c r="R118" s="40"/>
      <c r="S118" s="40"/>
      <c r="T118" s="40"/>
    </row>
    <row r="119" spans="14:20">
      <c r="N119" s="40"/>
      <c r="O119" s="40"/>
      <c r="P119" s="40"/>
      <c r="Q119" s="40"/>
      <c r="R119" s="40"/>
      <c r="S119" s="40"/>
      <c r="T119" s="40"/>
    </row>
    <row r="120" spans="14:20">
      <c r="N120" s="40"/>
      <c r="O120" s="40"/>
      <c r="P120" s="40"/>
      <c r="Q120" s="40"/>
      <c r="R120" s="40"/>
      <c r="S120" s="40"/>
      <c r="T120" s="40"/>
    </row>
    <row r="121" spans="14:20">
      <c r="N121" s="40"/>
      <c r="O121" s="40"/>
      <c r="P121" s="40"/>
      <c r="Q121" s="40"/>
      <c r="R121" s="40"/>
      <c r="S121" s="40"/>
      <c r="T121" s="40"/>
    </row>
    <row r="122" spans="14:20">
      <c r="N122" s="40"/>
      <c r="O122" s="40"/>
      <c r="P122" s="40"/>
      <c r="Q122" s="40"/>
      <c r="R122" s="40"/>
      <c r="S122" s="40"/>
      <c r="T122" s="40"/>
    </row>
    <row r="123" spans="14:20">
      <c r="N123" s="40"/>
      <c r="O123" s="40"/>
      <c r="P123" s="40"/>
      <c r="Q123" s="40"/>
      <c r="R123" s="40"/>
      <c r="S123" s="40"/>
      <c r="T123" s="40"/>
    </row>
    <row r="124" spans="14:20">
      <c r="N124" s="40"/>
      <c r="O124" s="40"/>
      <c r="P124" s="40"/>
      <c r="Q124" s="40"/>
      <c r="R124" s="40"/>
      <c r="S124" s="40"/>
      <c r="T124" s="40"/>
    </row>
    <row r="125" spans="14:20">
      <c r="N125" s="40"/>
      <c r="O125" s="40"/>
      <c r="P125" s="40"/>
      <c r="Q125" s="40"/>
      <c r="R125" s="40"/>
      <c r="S125" s="40"/>
      <c r="T125" s="40"/>
    </row>
    <row r="126" spans="14:20">
      <c r="N126" s="40"/>
      <c r="O126" s="40"/>
      <c r="P126" s="40"/>
      <c r="Q126" s="40"/>
      <c r="R126" s="40"/>
      <c r="S126" s="40"/>
      <c r="T126" s="40"/>
    </row>
    <row r="127" spans="14:20">
      <c r="N127" s="40"/>
      <c r="O127" s="40"/>
      <c r="P127" s="40"/>
      <c r="Q127" s="40"/>
      <c r="R127" s="40"/>
      <c r="S127" s="40"/>
      <c r="T127" s="40"/>
    </row>
    <row r="128" spans="14:20">
      <c r="N128" s="40"/>
      <c r="O128" s="40"/>
      <c r="P128" s="40"/>
      <c r="Q128" s="40"/>
      <c r="R128" s="40"/>
      <c r="S128" s="40"/>
      <c r="T128" s="40"/>
    </row>
    <row r="129" spans="14:20">
      <c r="N129" s="40"/>
      <c r="O129" s="40"/>
      <c r="P129" s="40"/>
      <c r="Q129" s="40"/>
      <c r="R129" s="40"/>
      <c r="S129" s="40"/>
      <c r="T129" s="40"/>
    </row>
    <row r="130" spans="14:20">
      <c r="N130" s="40"/>
      <c r="O130" s="40"/>
      <c r="P130" s="40"/>
      <c r="Q130" s="40"/>
      <c r="R130" s="40"/>
      <c r="S130" s="40"/>
      <c r="T130" s="40"/>
    </row>
    <row r="131" spans="14:20">
      <c r="N131" s="40"/>
      <c r="O131" s="40"/>
      <c r="P131" s="40"/>
      <c r="Q131" s="40"/>
      <c r="R131" s="40"/>
      <c r="S131" s="40"/>
      <c r="T131" s="40"/>
    </row>
    <row r="132" spans="14:20">
      <c r="N132" s="40"/>
      <c r="O132" s="40"/>
      <c r="P132" s="40"/>
      <c r="Q132" s="40"/>
      <c r="R132" s="40"/>
      <c r="S132" s="40"/>
      <c r="T132" s="40"/>
    </row>
    <row r="133" spans="14:20">
      <c r="N133" s="40"/>
      <c r="O133" s="40"/>
      <c r="P133" s="40"/>
      <c r="Q133" s="40"/>
      <c r="R133" s="40"/>
      <c r="S133" s="40"/>
      <c r="T133" s="40"/>
    </row>
    <row r="134" spans="14:20">
      <c r="N134" s="40"/>
      <c r="O134" s="40"/>
      <c r="P134" s="40"/>
      <c r="Q134" s="40"/>
      <c r="R134" s="40"/>
      <c r="S134" s="40"/>
      <c r="T134" s="40"/>
    </row>
    <row r="135" spans="14:20">
      <c r="N135" s="40"/>
      <c r="O135" s="40"/>
      <c r="P135" s="40"/>
      <c r="Q135" s="40"/>
      <c r="R135" s="40"/>
      <c r="S135" s="40"/>
      <c r="T135" s="40"/>
    </row>
    <row r="136" spans="14:20">
      <c r="N136" s="40"/>
      <c r="O136" s="40"/>
      <c r="P136" s="40"/>
      <c r="Q136" s="40"/>
      <c r="R136" s="40"/>
      <c r="S136" s="40"/>
      <c r="T136" s="40"/>
    </row>
    <row r="137" spans="14:20">
      <c r="N137" s="40"/>
      <c r="O137" s="40"/>
      <c r="P137" s="40"/>
      <c r="Q137" s="40"/>
      <c r="R137" s="40"/>
      <c r="S137" s="40"/>
      <c r="T137" s="40"/>
    </row>
    <row r="138" spans="14:20">
      <c r="N138" s="40"/>
      <c r="O138" s="40"/>
      <c r="P138" s="40"/>
      <c r="Q138" s="40"/>
      <c r="R138" s="40"/>
      <c r="S138" s="40"/>
      <c r="T138" s="40"/>
    </row>
    <row r="139" spans="14:20">
      <c r="N139" s="40"/>
      <c r="O139" s="40"/>
      <c r="P139" s="40"/>
      <c r="Q139" s="40"/>
      <c r="R139" s="40"/>
      <c r="S139" s="40"/>
      <c r="T139" s="40"/>
    </row>
    <row r="140" spans="14:20">
      <c r="N140" s="40"/>
      <c r="O140" s="40"/>
      <c r="P140" s="40"/>
      <c r="Q140" s="40"/>
      <c r="R140" s="40"/>
      <c r="S140" s="40"/>
      <c r="T140" s="40"/>
    </row>
    <row r="141" spans="14:20">
      <c r="N141" s="40"/>
      <c r="O141" s="40"/>
      <c r="P141" s="40"/>
      <c r="Q141" s="40"/>
      <c r="R141" s="40"/>
      <c r="S141" s="40"/>
      <c r="T141" s="40"/>
    </row>
    <row r="142" spans="14:20">
      <c r="N142" s="40"/>
      <c r="O142" s="40"/>
      <c r="P142" s="40"/>
      <c r="Q142" s="40"/>
      <c r="R142" s="40"/>
      <c r="S142" s="40"/>
      <c r="T142" s="40"/>
    </row>
    <row r="143" spans="14:20">
      <c r="N143" s="40"/>
      <c r="O143" s="40"/>
      <c r="P143" s="40"/>
      <c r="Q143" s="40"/>
      <c r="R143" s="40"/>
      <c r="S143" s="40"/>
      <c r="T143" s="40"/>
    </row>
    <row r="144" spans="14:20">
      <c r="N144" s="40"/>
      <c r="O144" s="40"/>
      <c r="P144" s="40"/>
      <c r="Q144" s="40"/>
      <c r="R144" s="40"/>
      <c r="S144" s="40"/>
      <c r="T144" s="40"/>
    </row>
    <row r="145" spans="14:20">
      <c r="N145" s="40"/>
      <c r="O145" s="40"/>
      <c r="P145" s="40"/>
      <c r="Q145" s="40"/>
      <c r="R145" s="40"/>
      <c r="S145" s="40"/>
      <c r="T145" s="40"/>
    </row>
    <row r="146" spans="14:20">
      <c r="N146" s="40"/>
      <c r="O146" s="40"/>
      <c r="P146" s="40"/>
      <c r="Q146" s="40"/>
      <c r="R146" s="40"/>
      <c r="S146" s="40"/>
      <c r="T146" s="40"/>
    </row>
    <row r="147" spans="14:20">
      <c r="N147" s="40"/>
      <c r="O147" s="40"/>
      <c r="P147" s="40"/>
      <c r="Q147" s="40"/>
      <c r="R147" s="40"/>
      <c r="S147" s="40"/>
      <c r="T147" s="40"/>
    </row>
    <row r="148" spans="14:20">
      <c r="N148" s="40"/>
      <c r="O148" s="40"/>
      <c r="P148" s="40"/>
      <c r="Q148" s="40"/>
      <c r="R148" s="40"/>
      <c r="S148" s="40"/>
      <c r="T148" s="40"/>
    </row>
    <row r="149" spans="14:20">
      <c r="N149" s="40"/>
      <c r="O149" s="40"/>
      <c r="P149" s="40"/>
      <c r="Q149" s="40"/>
      <c r="R149" s="40"/>
      <c r="S149" s="40"/>
      <c r="T149" s="40"/>
    </row>
    <row r="150" spans="14:20">
      <c r="N150" s="40"/>
      <c r="O150" s="40"/>
      <c r="P150" s="40"/>
      <c r="Q150" s="40"/>
      <c r="R150" s="40"/>
      <c r="S150" s="40"/>
      <c r="T150" s="40"/>
    </row>
    <row r="151" spans="14:20">
      <c r="N151" s="40"/>
      <c r="O151" s="40"/>
      <c r="P151" s="40"/>
      <c r="Q151" s="40"/>
      <c r="R151" s="40"/>
      <c r="S151" s="40"/>
      <c r="T151" s="40"/>
    </row>
    <row r="152" spans="14:20">
      <c r="N152" s="40"/>
      <c r="O152" s="40"/>
      <c r="P152" s="40"/>
      <c r="Q152" s="40"/>
      <c r="R152" s="40"/>
      <c r="S152" s="40"/>
      <c r="T152" s="40"/>
    </row>
    <row r="153" spans="14:20">
      <c r="N153" s="40"/>
      <c r="O153" s="40"/>
      <c r="P153" s="40"/>
      <c r="Q153" s="40"/>
      <c r="R153" s="40"/>
      <c r="S153" s="40"/>
      <c r="T153" s="40"/>
    </row>
    <row r="154" spans="14:20">
      <c r="N154" s="40"/>
      <c r="O154" s="40"/>
      <c r="P154" s="40"/>
      <c r="Q154" s="40"/>
      <c r="R154" s="40"/>
      <c r="S154" s="40"/>
      <c r="T154" s="40"/>
    </row>
    <row r="155" spans="14:20">
      <c r="N155" s="40"/>
      <c r="O155" s="40"/>
      <c r="P155" s="40"/>
      <c r="Q155" s="40"/>
      <c r="R155" s="40"/>
      <c r="S155" s="40"/>
      <c r="T155" s="40"/>
    </row>
    <row r="156" spans="14:20">
      <c r="N156" s="40"/>
      <c r="O156" s="40"/>
      <c r="P156" s="40"/>
      <c r="Q156" s="40"/>
      <c r="R156" s="40"/>
      <c r="S156" s="40"/>
      <c r="T156" s="40"/>
    </row>
    <row r="157" spans="14:20">
      <c r="N157" s="40"/>
      <c r="O157" s="40"/>
      <c r="P157" s="40"/>
      <c r="Q157" s="40"/>
      <c r="R157" s="40"/>
      <c r="S157" s="40"/>
      <c r="T157" s="40"/>
    </row>
    <row r="158" spans="14:20">
      <c r="N158" s="40"/>
      <c r="O158" s="40"/>
      <c r="P158" s="40"/>
      <c r="Q158" s="40"/>
      <c r="R158" s="40"/>
      <c r="S158" s="40"/>
      <c r="T158" s="40"/>
    </row>
    <row r="159" spans="14:20">
      <c r="N159" s="40"/>
      <c r="O159" s="40"/>
      <c r="P159" s="40"/>
      <c r="Q159" s="40"/>
      <c r="R159" s="40"/>
      <c r="S159" s="40"/>
      <c r="T159" s="40"/>
    </row>
    <row r="160" spans="14:20">
      <c r="N160" s="40"/>
      <c r="O160" s="40"/>
      <c r="P160" s="40"/>
      <c r="Q160" s="40"/>
      <c r="R160" s="40"/>
      <c r="S160" s="40"/>
      <c r="T160" s="40"/>
    </row>
    <row r="161" spans="14:20">
      <c r="N161" s="40"/>
      <c r="O161" s="40"/>
      <c r="P161" s="40"/>
      <c r="Q161" s="40"/>
      <c r="R161" s="40"/>
      <c r="S161" s="40"/>
      <c r="T161" s="40"/>
    </row>
    <row r="162" spans="14:20">
      <c r="N162" s="40"/>
      <c r="O162" s="40"/>
      <c r="P162" s="40"/>
      <c r="Q162" s="40"/>
      <c r="R162" s="40"/>
      <c r="S162" s="40"/>
      <c r="T162" s="40"/>
    </row>
    <row r="163" spans="14:20">
      <c r="N163" s="40"/>
      <c r="O163" s="40"/>
      <c r="P163" s="40"/>
      <c r="Q163" s="40"/>
      <c r="R163" s="40"/>
      <c r="S163" s="40"/>
      <c r="T163" s="40"/>
    </row>
    <row r="164" spans="14:20">
      <c r="N164" s="40"/>
      <c r="O164" s="40"/>
      <c r="P164" s="40"/>
      <c r="Q164" s="40"/>
      <c r="R164" s="40"/>
      <c r="S164" s="40"/>
      <c r="T164" s="40"/>
    </row>
    <row r="165" spans="14:20">
      <c r="N165" s="40"/>
      <c r="O165" s="40"/>
      <c r="P165" s="40"/>
      <c r="Q165" s="40"/>
      <c r="R165" s="40"/>
      <c r="S165" s="40"/>
      <c r="T165" s="40"/>
    </row>
    <row r="166" spans="14:20">
      <c r="N166" s="40"/>
      <c r="O166" s="40"/>
      <c r="P166" s="40"/>
      <c r="Q166" s="40"/>
      <c r="R166" s="40"/>
      <c r="S166" s="40"/>
      <c r="T166" s="40"/>
    </row>
    <row r="167" spans="14:20">
      <c r="N167" s="40"/>
      <c r="O167" s="40"/>
      <c r="P167" s="40"/>
      <c r="Q167" s="40"/>
      <c r="R167" s="40"/>
      <c r="S167" s="40"/>
      <c r="T167" s="40"/>
    </row>
    <row r="168" spans="14:20">
      <c r="N168" s="40"/>
      <c r="O168" s="40"/>
      <c r="P168" s="40"/>
      <c r="Q168" s="40"/>
      <c r="R168" s="40"/>
      <c r="S168" s="40"/>
      <c r="T168" s="40"/>
    </row>
    <row r="169" spans="14:20">
      <c r="N169" s="40"/>
      <c r="O169" s="40"/>
      <c r="P169" s="40"/>
      <c r="Q169" s="40"/>
      <c r="R169" s="40"/>
      <c r="S169" s="40"/>
      <c r="T169" s="40"/>
    </row>
    <row r="170" spans="14:20">
      <c r="N170" s="40"/>
      <c r="O170" s="40"/>
      <c r="P170" s="40"/>
      <c r="Q170" s="40"/>
      <c r="R170" s="40"/>
      <c r="S170" s="40"/>
      <c r="T170" s="40"/>
    </row>
    <row r="171" spans="14:20">
      <c r="N171" s="40"/>
      <c r="O171" s="40"/>
      <c r="P171" s="40"/>
      <c r="Q171" s="40"/>
      <c r="R171" s="40"/>
      <c r="S171" s="40"/>
      <c r="T171" s="40"/>
    </row>
    <row r="172" spans="14:20">
      <c r="N172" s="40"/>
      <c r="O172" s="40"/>
      <c r="P172" s="40"/>
      <c r="Q172" s="40"/>
      <c r="R172" s="40"/>
      <c r="S172" s="40"/>
      <c r="T172" s="40"/>
    </row>
    <row r="173" spans="14:20">
      <c r="N173" s="40"/>
      <c r="O173" s="40"/>
      <c r="P173" s="40"/>
      <c r="Q173" s="40"/>
      <c r="R173" s="40"/>
      <c r="S173" s="40"/>
      <c r="T173" s="40"/>
    </row>
    <row r="174" spans="14:20">
      <c r="N174" s="40"/>
      <c r="O174" s="40"/>
      <c r="P174" s="40"/>
      <c r="Q174" s="40"/>
      <c r="R174" s="40"/>
      <c r="S174" s="40"/>
      <c r="T174" s="40"/>
    </row>
    <row r="175" spans="14:20">
      <c r="N175" s="40"/>
      <c r="O175" s="40"/>
      <c r="P175" s="40"/>
      <c r="Q175" s="40"/>
      <c r="R175" s="40"/>
      <c r="S175" s="40"/>
      <c r="T175" s="40"/>
    </row>
    <row r="176" spans="14:20">
      <c r="N176" s="40"/>
      <c r="O176" s="40"/>
      <c r="P176" s="40"/>
      <c r="Q176" s="40"/>
      <c r="R176" s="40"/>
      <c r="S176" s="40"/>
      <c r="T176" s="40"/>
    </row>
    <row r="177" spans="14:20">
      <c r="N177" s="40"/>
      <c r="O177" s="40"/>
      <c r="P177" s="40"/>
      <c r="Q177" s="40"/>
      <c r="R177" s="40"/>
      <c r="S177" s="40"/>
      <c r="T177" s="40"/>
    </row>
    <row r="178" spans="14:20">
      <c r="N178" s="40"/>
      <c r="O178" s="40"/>
      <c r="P178" s="40"/>
      <c r="Q178" s="40"/>
      <c r="R178" s="40"/>
      <c r="S178" s="40"/>
      <c r="T178" s="40"/>
    </row>
    <row r="179" spans="14:20">
      <c r="N179" s="40"/>
      <c r="O179" s="40"/>
      <c r="P179" s="40"/>
      <c r="Q179" s="40"/>
      <c r="R179" s="40"/>
      <c r="S179" s="40"/>
      <c r="T179" s="40"/>
    </row>
    <row r="180" spans="14:20">
      <c r="N180" s="40"/>
      <c r="O180" s="40"/>
      <c r="P180" s="40"/>
      <c r="Q180" s="40"/>
      <c r="R180" s="40"/>
      <c r="S180" s="40"/>
      <c r="T180" s="40"/>
    </row>
    <row r="181" spans="14:20">
      <c r="N181" s="40"/>
      <c r="O181" s="40"/>
      <c r="P181" s="40"/>
      <c r="Q181" s="40"/>
      <c r="R181" s="40"/>
      <c r="S181" s="40"/>
      <c r="T181" s="40"/>
    </row>
    <row r="182" spans="14:20">
      <c r="N182" s="40"/>
      <c r="O182" s="40"/>
      <c r="P182" s="40"/>
      <c r="Q182" s="40"/>
      <c r="R182" s="40"/>
      <c r="S182" s="40"/>
      <c r="T182" s="40"/>
    </row>
    <row r="183" spans="14:20">
      <c r="N183" s="40"/>
      <c r="O183" s="40"/>
      <c r="P183" s="40"/>
      <c r="Q183" s="40"/>
      <c r="R183" s="40"/>
      <c r="S183" s="40"/>
      <c r="T183" s="40"/>
    </row>
    <row r="184" spans="14:20">
      <c r="N184" s="40"/>
      <c r="O184" s="40"/>
      <c r="P184" s="40"/>
      <c r="Q184" s="40"/>
      <c r="R184" s="40"/>
      <c r="S184" s="40"/>
      <c r="T184" s="40"/>
    </row>
    <row r="185" spans="14:20">
      <c r="N185" s="40"/>
      <c r="O185" s="40"/>
      <c r="P185" s="40"/>
      <c r="Q185" s="40"/>
      <c r="R185" s="40"/>
      <c r="S185" s="40"/>
      <c r="T185" s="40"/>
    </row>
    <row r="186" spans="14:20">
      <c r="N186" s="40"/>
      <c r="O186" s="40"/>
      <c r="P186" s="40"/>
      <c r="Q186" s="40"/>
      <c r="R186" s="40"/>
      <c r="S186" s="40"/>
      <c r="T186" s="40"/>
    </row>
    <row r="187" spans="14:20">
      <c r="N187" s="40"/>
      <c r="O187" s="40"/>
      <c r="P187" s="40"/>
      <c r="Q187" s="40"/>
      <c r="R187" s="40"/>
      <c r="S187" s="40"/>
      <c r="T187" s="40"/>
    </row>
    <row r="188" spans="14:20">
      <c r="N188" s="40"/>
      <c r="O188" s="40"/>
      <c r="P188" s="40"/>
      <c r="Q188" s="40"/>
      <c r="R188" s="40"/>
      <c r="S188" s="40"/>
      <c r="T188" s="40"/>
    </row>
    <row r="189" spans="14:20">
      <c r="N189" s="40"/>
      <c r="O189" s="40"/>
      <c r="P189" s="40"/>
      <c r="Q189" s="40"/>
      <c r="R189" s="40"/>
      <c r="S189" s="40"/>
      <c r="T189" s="40"/>
    </row>
    <row r="190" spans="14:20">
      <c r="N190" s="40"/>
      <c r="O190" s="40"/>
      <c r="P190" s="40"/>
      <c r="Q190" s="40"/>
      <c r="R190" s="40"/>
      <c r="S190" s="40"/>
      <c r="T190" s="40"/>
    </row>
    <row r="191" spans="14:20">
      <c r="N191" s="40"/>
      <c r="O191" s="40"/>
      <c r="P191" s="40"/>
      <c r="Q191" s="40"/>
      <c r="R191" s="40"/>
      <c r="S191" s="40"/>
      <c r="T191" s="40"/>
    </row>
    <row r="192" spans="14:20">
      <c r="N192" s="40"/>
      <c r="O192" s="40"/>
      <c r="P192" s="40"/>
      <c r="Q192" s="40"/>
      <c r="R192" s="40"/>
      <c r="S192" s="40"/>
      <c r="T192" s="40"/>
    </row>
    <row r="193" spans="14:20">
      <c r="N193" s="40"/>
      <c r="O193" s="40"/>
      <c r="P193" s="40"/>
      <c r="Q193" s="40"/>
      <c r="R193" s="40"/>
      <c r="S193" s="40"/>
      <c r="T193" s="40"/>
    </row>
    <row r="194" spans="14:20">
      <c r="N194" s="40"/>
      <c r="O194" s="40"/>
      <c r="P194" s="40"/>
      <c r="Q194" s="40"/>
      <c r="R194" s="40"/>
      <c r="S194" s="40"/>
      <c r="T194" s="40"/>
    </row>
    <row r="195" spans="14:20">
      <c r="N195" s="40"/>
      <c r="O195" s="40"/>
      <c r="P195" s="40"/>
      <c r="Q195" s="40"/>
      <c r="R195" s="40"/>
      <c r="S195" s="40"/>
      <c r="T195" s="40"/>
    </row>
    <row r="196" spans="14:20">
      <c r="N196" s="40"/>
      <c r="O196" s="40"/>
      <c r="P196" s="40"/>
      <c r="Q196" s="40"/>
      <c r="R196" s="40"/>
      <c r="S196" s="40"/>
      <c r="T196" s="40"/>
    </row>
    <row r="197" spans="14:20">
      <c r="N197" s="40"/>
      <c r="O197" s="40"/>
      <c r="P197" s="40"/>
      <c r="Q197" s="40"/>
      <c r="R197" s="40"/>
      <c r="S197" s="40"/>
      <c r="T197" s="40"/>
    </row>
    <row r="198" spans="14:20">
      <c r="N198" s="40"/>
      <c r="O198" s="40"/>
      <c r="P198" s="40"/>
      <c r="Q198" s="40"/>
      <c r="R198" s="40"/>
      <c r="S198" s="40"/>
      <c r="T198" s="40"/>
    </row>
    <row r="199" spans="14:20">
      <c r="N199" s="40"/>
      <c r="O199" s="40"/>
      <c r="P199" s="40"/>
      <c r="Q199" s="40"/>
      <c r="R199" s="40"/>
      <c r="S199" s="40"/>
      <c r="T199" s="40"/>
    </row>
    <row r="200" spans="14:20">
      <c r="N200" s="40"/>
      <c r="O200" s="40"/>
      <c r="P200" s="40"/>
      <c r="Q200" s="40"/>
      <c r="R200" s="40"/>
      <c r="S200" s="40"/>
      <c r="T200" s="40"/>
    </row>
    <row r="201" spans="14:20">
      <c r="N201" s="40"/>
      <c r="O201" s="40"/>
      <c r="P201" s="40"/>
      <c r="Q201" s="40"/>
      <c r="R201" s="40"/>
      <c r="S201" s="40"/>
      <c r="T201" s="40"/>
    </row>
    <row r="202" spans="14:20">
      <c r="N202" s="40"/>
      <c r="O202" s="40"/>
      <c r="P202" s="40"/>
      <c r="Q202" s="40"/>
      <c r="R202" s="40"/>
      <c r="S202" s="40"/>
      <c r="T202" s="40"/>
    </row>
    <row r="203" spans="14:20">
      <c r="N203" s="40"/>
      <c r="O203" s="40"/>
      <c r="P203" s="40"/>
      <c r="Q203" s="40"/>
      <c r="R203" s="40"/>
      <c r="S203" s="40"/>
      <c r="T203" s="40"/>
    </row>
    <row r="204" spans="14:20">
      <c r="N204" s="40"/>
      <c r="O204" s="40"/>
      <c r="P204" s="40"/>
      <c r="Q204" s="40"/>
      <c r="R204" s="40"/>
      <c r="S204" s="40"/>
      <c r="T204" s="40"/>
    </row>
    <row r="205" spans="14:20">
      <c r="N205" s="40"/>
      <c r="O205" s="40"/>
      <c r="P205" s="40"/>
      <c r="Q205" s="40"/>
      <c r="R205" s="40"/>
      <c r="S205" s="40"/>
      <c r="T205" s="40"/>
    </row>
    <row r="206" spans="14:20">
      <c r="N206" s="40"/>
      <c r="O206" s="40"/>
      <c r="P206" s="40"/>
      <c r="Q206" s="40"/>
      <c r="R206" s="40"/>
      <c r="S206" s="40"/>
      <c r="T206" s="40"/>
    </row>
    <row r="207" spans="14:20">
      <c r="N207" s="40"/>
      <c r="O207" s="40"/>
      <c r="P207" s="40"/>
      <c r="Q207" s="40"/>
      <c r="R207" s="40"/>
      <c r="S207" s="40"/>
      <c r="T207" s="40"/>
    </row>
    <row r="208" spans="14:20">
      <c r="N208" s="40"/>
      <c r="O208" s="40"/>
      <c r="P208" s="40"/>
      <c r="Q208" s="40"/>
      <c r="R208" s="40"/>
      <c r="S208" s="40"/>
      <c r="T208" s="40"/>
    </row>
    <row r="209" spans="14:20">
      <c r="N209" s="40"/>
      <c r="O209" s="40"/>
      <c r="P209" s="40"/>
      <c r="Q209" s="40"/>
      <c r="R209" s="40"/>
      <c r="S209" s="40"/>
      <c r="T209" s="40"/>
    </row>
    <row r="210" spans="14:20">
      <c r="N210" s="40"/>
      <c r="O210" s="40"/>
      <c r="P210" s="40"/>
      <c r="Q210" s="40"/>
      <c r="R210" s="40"/>
      <c r="S210" s="40"/>
      <c r="T210" s="40"/>
    </row>
    <row r="211" spans="14:20">
      <c r="N211" s="40"/>
      <c r="O211" s="40"/>
      <c r="P211" s="40"/>
      <c r="Q211" s="40"/>
      <c r="R211" s="40"/>
      <c r="S211" s="40"/>
      <c r="T211" s="40"/>
    </row>
    <row r="212" spans="14:20">
      <c r="N212" s="40"/>
      <c r="O212" s="40"/>
      <c r="P212" s="40"/>
      <c r="Q212" s="40"/>
      <c r="R212" s="40"/>
      <c r="S212" s="40"/>
      <c r="T212" s="40"/>
    </row>
    <row r="213" spans="14:20">
      <c r="N213" s="40"/>
      <c r="O213" s="40"/>
      <c r="P213" s="40"/>
      <c r="Q213" s="40"/>
      <c r="R213" s="40"/>
      <c r="S213" s="40"/>
      <c r="T213" s="40"/>
    </row>
    <row r="214" spans="14:20">
      <c r="N214" s="40"/>
      <c r="O214" s="40"/>
      <c r="P214" s="40"/>
      <c r="Q214" s="40"/>
      <c r="R214" s="40"/>
      <c r="S214" s="40"/>
      <c r="T214" s="40"/>
    </row>
    <row r="215" spans="14:20">
      <c r="N215" s="40"/>
      <c r="O215" s="40"/>
      <c r="P215" s="40"/>
      <c r="Q215" s="40"/>
      <c r="R215" s="40"/>
      <c r="S215" s="40"/>
      <c r="T215" s="40"/>
    </row>
    <row r="216" spans="14:20">
      <c r="N216" s="40"/>
      <c r="O216" s="40"/>
      <c r="P216" s="40"/>
      <c r="Q216" s="40"/>
      <c r="R216" s="40"/>
      <c r="S216" s="40"/>
      <c r="T216" s="40"/>
    </row>
    <row r="217" spans="14:20">
      <c r="N217" s="40"/>
      <c r="O217" s="40"/>
      <c r="P217" s="40"/>
      <c r="Q217" s="40"/>
      <c r="R217" s="40"/>
      <c r="S217" s="40"/>
      <c r="T217" s="40"/>
    </row>
    <row r="218" spans="14:20">
      <c r="N218" s="40"/>
      <c r="O218" s="40"/>
      <c r="P218" s="40"/>
      <c r="Q218" s="40"/>
      <c r="R218" s="40"/>
      <c r="S218" s="40"/>
      <c r="T218" s="40"/>
    </row>
    <row r="219" spans="14:20">
      <c r="N219" s="40"/>
      <c r="O219" s="40"/>
      <c r="P219" s="40"/>
      <c r="Q219" s="40"/>
      <c r="R219" s="40"/>
      <c r="S219" s="40"/>
      <c r="T219" s="40"/>
    </row>
    <row r="220" spans="14:20">
      <c r="N220" s="40"/>
      <c r="O220" s="40"/>
      <c r="P220" s="40"/>
      <c r="Q220" s="40"/>
      <c r="R220" s="40"/>
      <c r="S220" s="40"/>
      <c r="T220" s="40"/>
    </row>
    <row r="221" spans="14:20">
      <c r="N221" s="40"/>
      <c r="O221" s="40"/>
      <c r="P221" s="40"/>
      <c r="Q221" s="40"/>
      <c r="R221" s="40"/>
      <c r="S221" s="40"/>
      <c r="T221" s="40"/>
    </row>
    <row r="222" spans="14:20">
      <c r="N222" s="40"/>
      <c r="O222" s="40"/>
      <c r="P222" s="40"/>
      <c r="Q222" s="40"/>
      <c r="R222" s="40"/>
      <c r="S222" s="40"/>
      <c r="T222" s="40"/>
    </row>
    <row r="223" spans="14:20">
      <c r="N223" s="40"/>
      <c r="O223" s="40"/>
      <c r="P223" s="40"/>
      <c r="Q223" s="40"/>
      <c r="R223" s="40"/>
      <c r="S223" s="40"/>
      <c r="T223" s="40"/>
    </row>
    <row r="224" spans="14:20">
      <c r="N224" s="40"/>
      <c r="O224" s="40"/>
      <c r="P224" s="40"/>
      <c r="Q224" s="40"/>
      <c r="R224" s="40"/>
      <c r="S224" s="40"/>
      <c r="T224" s="40"/>
    </row>
    <row r="225" spans="14:20">
      <c r="N225" s="40"/>
      <c r="O225" s="40"/>
      <c r="P225" s="40"/>
      <c r="Q225" s="40"/>
      <c r="R225" s="40"/>
      <c r="S225" s="40"/>
      <c r="T225" s="40"/>
    </row>
    <row r="226" spans="14:20">
      <c r="N226" s="40"/>
      <c r="O226" s="40"/>
      <c r="P226" s="40"/>
      <c r="Q226" s="40"/>
      <c r="R226" s="40"/>
      <c r="S226" s="40"/>
      <c r="T226" s="40"/>
    </row>
    <row r="227" spans="14:20">
      <c r="N227" s="40"/>
      <c r="O227" s="40"/>
      <c r="P227" s="40"/>
      <c r="Q227" s="40"/>
      <c r="R227" s="40"/>
      <c r="S227" s="40"/>
      <c r="T227" s="40"/>
    </row>
    <row r="228" spans="14:20">
      <c r="N228" s="40"/>
      <c r="O228" s="40"/>
      <c r="P228" s="40"/>
      <c r="Q228" s="40"/>
      <c r="R228" s="40"/>
      <c r="S228" s="40"/>
      <c r="T228" s="40"/>
    </row>
    <row r="229" spans="14:20">
      <c r="N229" s="40"/>
      <c r="O229" s="40"/>
      <c r="P229" s="40"/>
      <c r="Q229" s="40"/>
      <c r="R229" s="40"/>
      <c r="S229" s="40"/>
      <c r="T229" s="40"/>
    </row>
    <row r="230" spans="14:20">
      <c r="N230" s="40"/>
      <c r="O230" s="40"/>
      <c r="P230" s="40"/>
      <c r="Q230" s="40"/>
      <c r="R230" s="40"/>
      <c r="S230" s="40"/>
      <c r="T230" s="40"/>
    </row>
    <row r="231" spans="14:20">
      <c r="N231" s="40"/>
      <c r="O231" s="40"/>
      <c r="P231" s="40"/>
      <c r="Q231" s="40"/>
      <c r="R231" s="40"/>
      <c r="S231" s="40"/>
      <c r="T231" s="40"/>
    </row>
    <row r="232" spans="14:20">
      <c r="N232" s="40"/>
      <c r="O232" s="40"/>
      <c r="P232" s="40"/>
      <c r="Q232" s="40"/>
      <c r="R232" s="40"/>
      <c r="S232" s="40"/>
      <c r="T232" s="40"/>
    </row>
    <row r="233" spans="14:20">
      <c r="N233" s="40"/>
      <c r="O233" s="40"/>
      <c r="P233" s="40"/>
      <c r="Q233" s="40"/>
      <c r="R233" s="40"/>
      <c r="S233" s="40"/>
      <c r="T233" s="40"/>
    </row>
    <row r="234" spans="14:20">
      <c r="N234" s="40"/>
      <c r="O234" s="40"/>
      <c r="P234" s="40"/>
      <c r="Q234" s="40"/>
      <c r="R234" s="40"/>
      <c r="S234" s="40"/>
      <c r="T234" s="40"/>
    </row>
    <row r="235" spans="14:20">
      <c r="N235" s="40"/>
      <c r="O235" s="40"/>
      <c r="P235" s="40"/>
      <c r="Q235" s="40"/>
      <c r="R235" s="40"/>
      <c r="S235" s="40"/>
      <c r="T235" s="40"/>
    </row>
    <row r="236" spans="14:20">
      <c r="N236" s="40"/>
      <c r="O236" s="40"/>
      <c r="P236" s="40"/>
      <c r="Q236" s="40"/>
      <c r="R236" s="40"/>
      <c r="S236" s="40"/>
      <c r="T236" s="40"/>
    </row>
    <row r="237" spans="14:20">
      <c r="N237" s="40"/>
      <c r="O237" s="40"/>
      <c r="P237" s="40"/>
      <c r="Q237" s="40"/>
      <c r="R237" s="40"/>
      <c r="S237" s="40"/>
      <c r="T237" s="40"/>
    </row>
    <row r="238" spans="14:20">
      <c r="N238" s="40"/>
      <c r="O238" s="40"/>
      <c r="P238" s="40"/>
      <c r="Q238" s="40"/>
      <c r="R238" s="40"/>
      <c r="S238" s="40"/>
      <c r="T238" s="40"/>
    </row>
    <row r="239" spans="14:20">
      <c r="N239" s="40"/>
      <c r="O239" s="40"/>
      <c r="P239" s="40"/>
      <c r="Q239" s="40"/>
      <c r="R239" s="40"/>
      <c r="S239" s="40"/>
      <c r="T239" s="40"/>
    </row>
    <row r="240" spans="14:20">
      <c r="N240" s="40"/>
      <c r="O240" s="40"/>
      <c r="P240" s="40"/>
      <c r="Q240" s="40"/>
      <c r="R240" s="40"/>
      <c r="S240" s="40"/>
      <c r="T240" s="40"/>
    </row>
    <row r="241" spans="14:20">
      <c r="N241" s="40"/>
      <c r="O241" s="40"/>
      <c r="P241" s="40"/>
      <c r="Q241" s="40"/>
      <c r="R241" s="40"/>
      <c r="S241" s="40"/>
      <c r="T241" s="40"/>
    </row>
    <row r="242" spans="14:20">
      <c r="N242" s="40"/>
      <c r="O242" s="40"/>
      <c r="P242" s="40"/>
      <c r="Q242" s="40"/>
      <c r="R242" s="40"/>
      <c r="S242" s="40"/>
      <c r="T242" s="40"/>
    </row>
    <row r="243" spans="14:20">
      <c r="N243" s="40"/>
      <c r="O243" s="40"/>
      <c r="P243" s="40"/>
      <c r="Q243" s="40"/>
      <c r="R243" s="40"/>
      <c r="S243" s="40"/>
      <c r="T243" s="40"/>
    </row>
    <row r="244" spans="14:20">
      <c r="N244" s="40"/>
      <c r="O244" s="40"/>
      <c r="P244" s="40"/>
      <c r="Q244" s="40"/>
      <c r="R244" s="40"/>
      <c r="S244" s="40"/>
      <c r="T244" s="40"/>
    </row>
    <row r="245" spans="14:20">
      <c r="N245" s="40"/>
      <c r="O245" s="40"/>
      <c r="P245" s="40"/>
      <c r="Q245" s="40"/>
      <c r="R245" s="40"/>
      <c r="S245" s="40"/>
      <c r="T245" s="40"/>
    </row>
    <row r="246" spans="14:20">
      <c r="N246" s="40"/>
      <c r="O246" s="40"/>
      <c r="P246" s="40"/>
      <c r="Q246" s="40"/>
      <c r="R246" s="40"/>
      <c r="S246" s="40"/>
      <c r="T246" s="40"/>
    </row>
    <row r="247" spans="14:20">
      <c r="N247" s="40"/>
      <c r="O247" s="40"/>
      <c r="P247" s="40"/>
      <c r="Q247" s="40"/>
      <c r="R247" s="40"/>
      <c r="S247" s="40"/>
      <c r="T247" s="40"/>
    </row>
    <row r="248" spans="14:20">
      <c r="N248" s="40"/>
      <c r="O248" s="40"/>
      <c r="P248" s="40"/>
      <c r="Q248" s="40"/>
      <c r="R248" s="40"/>
      <c r="S248" s="40"/>
      <c r="T248" s="40"/>
    </row>
    <row r="249" spans="14:20">
      <c r="N249" s="40"/>
      <c r="O249" s="40"/>
      <c r="P249" s="40"/>
      <c r="Q249" s="40"/>
      <c r="R249" s="40"/>
      <c r="S249" s="40"/>
      <c r="T249" s="40"/>
    </row>
    <row r="250" spans="14:20">
      <c r="N250" s="40"/>
      <c r="O250" s="40"/>
      <c r="P250" s="40"/>
      <c r="Q250" s="40"/>
      <c r="R250" s="40"/>
      <c r="S250" s="40"/>
      <c r="T250" s="40"/>
    </row>
    <row r="251" spans="14:20">
      <c r="N251" s="40"/>
      <c r="O251" s="40"/>
      <c r="P251" s="40"/>
      <c r="Q251" s="40"/>
      <c r="R251" s="40"/>
      <c r="S251" s="40"/>
      <c r="T251" s="40"/>
    </row>
    <row r="252" spans="14:20">
      <c r="N252" s="40"/>
      <c r="O252" s="40"/>
      <c r="P252" s="40"/>
      <c r="Q252" s="40"/>
      <c r="R252" s="40"/>
      <c r="S252" s="40"/>
      <c r="T252" s="40"/>
    </row>
    <row r="253" spans="14:20">
      <c r="N253" s="40"/>
      <c r="O253" s="40"/>
      <c r="P253" s="40"/>
      <c r="Q253" s="40"/>
      <c r="R253" s="40"/>
      <c r="S253" s="40"/>
      <c r="T253" s="40"/>
    </row>
    <row r="254" spans="14:20">
      <c r="N254" s="40"/>
      <c r="O254" s="40"/>
      <c r="P254" s="40"/>
      <c r="Q254" s="40"/>
      <c r="R254" s="40"/>
      <c r="S254" s="40"/>
      <c r="T254" s="40"/>
    </row>
    <row r="255" spans="14:20">
      <c r="N255" s="40"/>
      <c r="O255" s="40"/>
      <c r="P255" s="40"/>
      <c r="Q255" s="40"/>
      <c r="R255" s="40"/>
      <c r="S255" s="40"/>
      <c r="T255" s="40"/>
    </row>
    <row r="256" spans="14:20">
      <c r="N256" s="40"/>
      <c r="O256" s="40"/>
      <c r="P256" s="40"/>
      <c r="Q256" s="40"/>
      <c r="R256" s="40"/>
      <c r="S256" s="40"/>
      <c r="T256" s="40"/>
    </row>
    <row r="257" spans="14:20">
      <c r="N257" s="40"/>
      <c r="O257" s="40"/>
      <c r="P257" s="40"/>
      <c r="Q257" s="40"/>
      <c r="R257" s="40"/>
      <c r="S257" s="40"/>
      <c r="T257" s="40"/>
    </row>
    <row r="258" spans="14:20">
      <c r="N258" s="40"/>
      <c r="O258" s="40"/>
      <c r="P258" s="40"/>
      <c r="Q258" s="40"/>
      <c r="R258" s="40"/>
      <c r="S258" s="40"/>
      <c r="T258" s="40"/>
    </row>
    <row r="259" spans="14:20">
      <c r="N259" s="40"/>
      <c r="O259" s="40"/>
      <c r="P259" s="40"/>
      <c r="Q259" s="40"/>
      <c r="R259" s="40"/>
      <c r="S259" s="40"/>
      <c r="T259" s="40"/>
    </row>
    <row r="260" spans="14:20">
      <c r="N260" s="40"/>
      <c r="O260" s="40"/>
      <c r="P260" s="40"/>
      <c r="Q260" s="40"/>
      <c r="R260" s="40"/>
      <c r="S260" s="40"/>
      <c r="T260" s="40"/>
    </row>
    <row r="261" spans="14:20">
      <c r="N261" s="40"/>
      <c r="O261" s="40"/>
      <c r="P261" s="40"/>
      <c r="Q261" s="40"/>
      <c r="R261" s="40"/>
      <c r="S261" s="40"/>
      <c r="T261" s="40"/>
    </row>
    <row r="262" spans="14:20">
      <c r="N262" s="40"/>
      <c r="O262" s="40"/>
      <c r="P262" s="40"/>
      <c r="Q262" s="40"/>
      <c r="R262" s="40"/>
      <c r="S262" s="40"/>
      <c r="T262" s="40"/>
    </row>
    <row r="263" spans="14:20">
      <c r="N263" s="40"/>
      <c r="O263" s="40"/>
      <c r="P263" s="40"/>
      <c r="Q263" s="40"/>
      <c r="R263" s="40"/>
      <c r="S263" s="40"/>
      <c r="T263" s="40"/>
    </row>
    <row r="264" spans="14:20">
      <c r="N264" s="40"/>
      <c r="O264" s="40"/>
      <c r="P264" s="40"/>
      <c r="Q264" s="40"/>
      <c r="R264" s="40"/>
      <c r="S264" s="40"/>
      <c r="T264" s="40"/>
    </row>
    <row r="265" spans="14:20">
      <c r="N265" s="40"/>
      <c r="O265" s="40"/>
      <c r="P265" s="40"/>
      <c r="Q265" s="40"/>
      <c r="R265" s="40"/>
      <c r="S265" s="40"/>
      <c r="T265" s="40"/>
    </row>
    <row r="266" spans="14:20">
      <c r="N266" s="40"/>
      <c r="O266" s="40"/>
      <c r="P266" s="40"/>
      <c r="Q266" s="40"/>
      <c r="R266" s="40"/>
      <c r="S266" s="40"/>
      <c r="T266" s="40"/>
    </row>
    <row r="267" spans="14:20">
      <c r="N267" s="40"/>
      <c r="O267" s="40"/>
      <c r="P267" s="40"/>
      <c r="Q267" s="40"/>
      <c r="R267" s="40"/>
      <c r="S267" s="40"/>
      <c r="T267" s="40"/>
    </row>
    <row r="268" spans="14:20">
      <c r="N268" s="40"/>
      <c r="O268" s="40"/>
      <c r="P268" s="40"/>
      <c r="Q268" s="40"/>
      <c r="R268" s="40"/>
      <c r="S268" s="40"/>
      <c r="T268" s="40"/>
    </row>
    <row r="269" spans="14:20">
      <c r="N269" s="40"/>
      <c r="O269" s="40"/>
      <c r="P269" s="40"/>
      <c r="Q269" s="40"/>
      <c r="R269" s="40"/>
      <c r="S269" s="40"/>
      <c r="T269" s="40"/>
    </row>
    <row r="270" spans="14:20">
      <c r="N270" s="40"/>
      <c r="O270" s="40"/>
      <c r="P270" s="40"/>
      <c r="Q270" s="40"/>
      <c r="R270" s="40"/>
      <c r="S270" s="40"/>
      <c r="T270" s="40"/>
    </row>
    <row r="271" spans="14:20">
      <c r="N271" s="40"/>
      <c r="O271" s="40"/>
      <c r="P271" s="40"/>
      <c r="Q271" s="40"/>
      <c r="R271" s="40"/>
      <c r="S271" s="40"/>
      <c r="T271" s="40"/>
    </row>
    <row r="272" spans="14:20">
      <c r="N272" s="40"/>
      <c r="O272" s="40"/>
      <c r="P272" s="40"/>
      <c r="Q272" s="40"/>
      <c r="R272" s="40"/>
      <c r="S272" s="40"/>
      <c r="T272" s="40"/>
    </row>
    <row r="273" spans="14:20">
      <c r="N273" s="40"/>
      <c r="O273" s="40"/>
      <c r="P273" s="40"/>
      <c r="Q273" s="40"/>
      <c r="R273" s="40"/>
      <c r="S273" s="40"/>
      <c r="T273" s="40"/>
    </row>
    <row r="274" spans="14:20">
      <c r="N274" s="40"/>
      <c r="O274" s="40"/>
      <c r="P274" s="40"/>
      <c r="Q274" s="40"/>
      <c r="R274" s="40"/>
      <c r="S274" s="40"/>
      <c r="T274" s="40"/>
    </row>
    <row r="275" spans="14:20">
      <c r="N275" s="40"/>
      <c r="O275" s="40"/>
      <c r="P275" s="40"/>
      <c r="Q275" s="40"/>
      <c r="R275" s="40"/>
      <c r="S275" s="40"/>
      <c r="T275" s="40"/>
    </row>
    <row r="276" spans="14:20">
      <c r="N276" s="40"/>
      <c r="O276" s="40"/>
      <c r="P276" s="40"/>
      <c r="Q276" s="40"/>
      <c r="R276" s="40"/>
      <c r="S276" s="40"/>
      <c r="T276" s="40"/>
    </row>
    <row r="277" spans="14:20">
      <c r="N277" s="40"/>
      <c r="O277" s="40"/>
      <c r="P277" s="40"/>
      <c r="Q277" s="40"/>
      <c r="R277" s="40"/>
      <c r="S277" s="40"/>
      <c r="T277" s="40"/>
    </row>
    <row r="278" spans="14:20">
      <c r="N278" s="40"/>
      <c r="O278" s="40"/>
      <c r="P278" s="40"/>
      <c r="Q278" s="40"/>
      <c r="R278" s="40"/>
      <c r="S278" s="40"/>
      <c r="T278" s="40"/>
    </row>
    <row r="279" spans="14:20">
      <c r="N279" s="40"/>
      <c r="O279" s="40"/>
      <c r="P279" s="40"/>
      <c r="Q279" s="40"/>
      <c r="R279" s="40"/>
      <c r="S279" s="40"/>
      <c r="T279" s="40"/>
    </row>
    <row r="280" spans="14:20">
      <c r="N280" s="40"/>
      <c r="O280" s="40"/>
      <c r="P280" s="40"/>
      <c r="Q280" s="40"/>
      <c r="R280" s="40"/>
      <c r="S280" s="40"/>
      <c r="T280" s="40"/>
    </row>
    <row r="281" spans="14:20">
      <c r="N281" s="40"/>
      <c r="O281" s="40"/>
      <c r="P281" s="40"/>
      <c r="Q281" s="40"/>
      <c r="R281" s="40"/>
      <c r="S281" s="40"/>
      <c r="T281" s="40"/>
    </row>
    <row r="282" spans="14:20">
      <c r="N282" s="40"/>
      <c r="O282" s="40"/>
      <c r="P282" s="40"/>
      <c r="Q282" s="40"/>
      <c r="R282" s="40"/>
      <c r="S282" s="40"/>
      <c r="T282" s="40"/>
    </row>
    <row r="283" spans="14:20">
      <c r="N283" s="40"/>
      <c r="O283" s="40"/>
      <c r="P283" s="40"/>
      <c r="Q283" s="40"/>
      <c r="R283" s="40"/>
      <c r="S283" s="40"/>
      <c r="T283" s="40"/>
    </row>
    <row r="284" spans="14:20">
      <c r="N284" s="40"/>
      <c r="O284" s="40"/>
      <c r="P284" s="40"/>
      <c r="Q284" s="40"/>
      <c r="R284" s="40"/>
      <c r="S284" s="40"/>
      <c r="T284" s="40"/>
    </row>
    <row r="285" spans="14:20">
      <c r="N285" s="40"/>
      <c r="O285" s="40"/>
      <c r="P285" s="40"/>
      <c r="Q285" s="40"/>
      <c r="R285" s="40"/>
      <c r="S285" s="40"/>
      <c r="T285" s="40"/>
    </row>
    <row r="286" spans="14:20">
      <c r="N286" s="40"/>
      <c r="O286" s="40"/>
      <c r="P286" s="40"/>
      <c r="Q286" s="40"/>
      <c r="R286" s="40"/>
      <c r="S286" s="40"/>
      <c r="T286" s="40"/>
    </row>
    <row r="287" spans="14:20">
      <c r="N287" s="40"/>
      <c r="O287" s="40"/>
      <c r="P287" s="40"/>
      <c r="Q287" s="40"/>
      <c r="R287" s="40"/>
      <c r="S287" s="40"/>
      <c r="T287" s="40"/>
    </row>
    <row r="288" spans="14:20">
      <c r="N288" s="40"/>
      <c r="O288" s="40"/>
      <c r="P288" s="40"/>
      <c r="Q288" s="40"/>
      <c r="R288" s="40"/>
      <c r="S288" s="40"/>
      <c r="T288" s="40"/>
    </row>
    <row r="289" spans="14:20">
      <c r="N289" s="40"/>
      <c r="O289" s="40"/>
      <c r="P289" s="40"/>
      <c r="Q289" s="40"/>
      <c r="R289" s="40"/>
      <c r="S289" s="40"/>
      <c r="T289" s="40"/>
    </row>
    <row r="290" spans="14:20">
      <c r="N290" s="40"/>
      <c r="O290" s="40"/>
      <c r="P290" s="40"/>
      <c r="Q290" s="40"/>
      <c r="R290" s="40"/>
      <c r="S290" s="40"/>
      <c r="T290" s="40"/>
    </row>
    <row r="291" spans="14:20">
      <c r="N291" s="40"/>
      <c r="O291" s="40"/>
      <c r="P291" s="40"/>
      <c r="Q291" s="40"/>
      <c r="R291" s="40"/>
      <c r="S291" s="40"/>
      <c r="T291" s="40"/>
    </row>
    <row r="292" spans="14:20">
      <c r="N292" s="40"/>
      <c r="O292" s="40"/>
      <c r="P292" s="40"/>
      <c r="Q292" s="40"/>
      <c r="R292" s="40"/>
      <c r="S292" s="40"/>
      <c r="T292" s="40"/>
    </row>
    <row r="293" spans="14:20">
      <c r="N293" s="40"/>
      <c r="O293" s="40"/>
      <c r="P293" s="40"/>
      <c r="Q293" s="40"/>
      <c r="R293" s="40"/>
      <c r="S293" s="40"/>
      <c r="T293" s="40"/>
    </row>
    <row r="294" spans="14:20">
      <c r="N294" s="40"/>
      <c r="O294" s="40"/>
      <c r="P294" s="40"/>
      <c r="Q294" s="40"/>
      <c r="R294" s="40"/>
      <c r="S294" s="40"/>
      <c r="T294" s="40"/>
    </row>
    <row r="295" spans="14:20">
      <c r="N295" s="40"/>
      <c r="O295" s="40"/>
      <c r="P295" s="40"/>
      <c r="Q295" s="40"/>
      <c r="R295" s="40"/>
      <c r="S295" s="40"/>
      <c r="T295" s="40"/>
    </row>
    <row r="296" spans="14:20">
      <c r="N296" s="40"/>
      <c r="O296" s="40"/>
      <c r="P296" s="40"/>
      <c r="Q296" s="40"/>
      <c r="R296" s="40"/>
      <c r="S296" s="40"/>
      <c r="T296" s="40"/>
    </row>
    <row r="297" spans="14:20">
      <c r="N297" s="40"/>
      <c r="O297" s="40"/>
      <c r="P297" s="40"/>
      <c r="Q297" s="40"/>
      <c r="R297" s="40"/>
      <c r="S297" s="40"/>
      <c r="T297" s="40"/>
    </row>
    <row r="298" spans="14:20">
      <c r="N298" s="40"/>
      <c r="O298" s="40"/>
      <c r="P298" s="40"/>
      <c r="Q298" s="40"/>
      <c r="R298" s="40"/>
      <c r="S298" s="40"/>
      <c r="T298" s="40"/>
    </row>
    <row r="299" spans="14:20">
      <c r="N299" s="40"/>
      <c r="O299" s="40"/>
      <c r="P299" s="40"/>
      <c r="Q299" s="40"/>
      <c r="R299" s="40"/>
      <c r="S299" s="40"/>
      <c r="T299" s="40"/>
    </row>
    <row r="300" spans="14:20">
      <c r="N300" s="40"/>
      <c r="O300" s="40"/>
      <c r="P300" s="40"/>
      <c r="Q300" s="40"/>
      <c r="R300" s="40"/>
      <c r="S300" s="40"/>
      <c r="T300" s="40"/>
    </row>
    <row r="301" spans="14:20">
      <c r="N301" s="40"/>
      <c r="O301" s="40"/>
      <c r="P301" s="40"/>
      <c r="Q301" s="40"/>
      <c r="R301" s="40"/>
      <c r="S301" s="40"/>
      <c r="T301" s="40"/>
    </row>
    <row r="302" spans="14:20">
      <c r="N302" s="40"/>
      <c r="O302" s="40"/>
      <c r="P302" s="40"/>
      <c r="Q302" s="40"/>
      <c r="R302" s="40"/>
      <c r="S302" s="40"/>
      <c r="T302" s="40"/>
    </row>
    <row r="303" spans="14:20">
      <c r="N303" s="40"/>
      <c r="O303" s="40"/>
      <c r="P303" s="40"/>
      <c r="Q303" s="40"/>
      <c r="R303" s="40"/>
      <c r="S303" s="40"/>
      <c r="T303" s="40"/>
    </row>
    <row r="304" spans="14:20">
      <c r="N304" s="40"/>
      <c r="O304" s="40"/>
      <c r="P304" s="40"/>
      <c r="Q304" s="40"/>
      <c r="R304" s="40"/>
      <c r="S304" s="40"/>
      <c r="T304" s="40"/>
    </row>
    <row r="305" spans="14:20">
      <c r="N305" s="40"/>
      <c r="O305" s="40"/>
      <c r="P305" s="40"/>
      <c r="Q305" s="40"/>
      <c r="R305" s="40"/>
      <c r="S305" s="40"/>
      <c r="T305" s="40"/>
    </row>
    <row r="306" spans="14:20">
      <c r="N306" s="40"/>
      <c r="O306" s="40"/>
      <c r="P306" s="40"/>
      <c r="Q306" s="40"/>
      <c r="R306" s="40"/>
      <c r="S306" s="40"/>
      <c r="T306" s="40"/>
    </row>
    <row r="307" spans="14:20">
      <c r="N307" s="40"/>
      <c r="O307" s="40"/>
      <c r="P307" s="40"/>
      <c r="Q307" s="40"/>
      <c r="R307" s="40"/>
      <c r="S307" s="40"/>
      <c r="T307" s="40"/>
    </row>
    <row r="308" spans="14:20">
      <c r="N308" s="40"/>
      <c r="O308" s="40"/>
      <c r="P308" s="40"/>
      <c r="Q308" s="40"/>
      <c r="R308" s="40"/>
      <c r="S308" s="40"/>
      <c r="T308" s="40"/>
    </row>
    <row r="309" spans="14:20">
      <c r="N309" s="40"/>
      <c r="O309" s="40"/>
      <c r="P309" s="40"/>
      <c r="Q309" s="40"/>
      <c r="R309" s="40"/>
      <c r="S309" s="40"/>
      <c r="T309" s="40"/>
    </row>
    <row r="310" spans="14:20">
      <c r="N310" s="40"/>
      <c r="O310" s="40"/>
      <c r="P310" s="40"/>
      <c r="Q310" s="40"/>
      <c r="R310" s="40"/>
      <c r="S310" s="40"/>
      <c r="T310" s="40"/>
    </row>
    <row r="311" spans="14:20">
      <c r="N311" s="40"/>
      <c r="O311" s="40"/>
      <c r="P311" s="40"/>
      <c r="Q311" s="40"/>
      <c r="R311" s="40"/>
      <c r="S311" s="40"/>
      <c r="T311" s="40"/>
    </row>
    <row r="312" spans="14:20">
      <c r="N312" s="40"/>
      <c r="O312" s="40"/>
      <c r="P312" s="40"/>
      <c r="Q312" s="40"/>
      <c r="R312" s="40"/>
      <c r="S312" s="40"/>
      <c r="T312" s="40"/>
    </row>
    <row r="313" spans="14:20">
      <c r="N313" s="40"/>
      <c r="O313" s="40"/>
      <c r="P313" s="40"/>
      <c r="Q313" s="40"/>
      <c r="R313" s="40"/>
      <c r="S313" s="40"/>
      <c r="T313" s="40"/>
    </row>
    <row r="314" spans="14:20">
      <c r="N314" s="40"/>
      <c r="O314" s="40"/>
      <c r="P314" s="40"/>
      <c r="Q314" s="40"/>
      <c r="R314" s="40"/>
      <c r="S314" s="40"/>
      <c r="T314" s="40"/>
    </row>
    <row r="315" spans="14:20">
      <c r="N315" s="40"/>
      <c r="O315" s="40"/>
      <c r="P315" s="40"/>
      <c r="Q315" s="40"/>
      <c r="R315" s="40"/>
      <c r="S315" s="40"/>
      <c r="T315" s="40"/>
    </row>
    <row r="316" spans="14:20">
      <c r="N316" s="40"/>
      <c r="O316" s="40"/>
      <c r="P316" s="40"/>
      <c r="Q316" s="40"/>
      <c r="R316" s="40"/>
      <c r="S316" s="40"/>
      <c r="T316" s="40"/>
    </row>
    <row r="317" spans="14:20">
      <c r="N317" s="40"/>
      <c r="O317" s="40"/>
      <c r="P317" s="40"/>
      <c r="Q317" s="40"/>
      <c r="R317" s="40"/>
      <c r="S317" s="40"/>
      <c r="T317" s="40"/>
    </row>
    <row r="318" spans="14:20">
      <c r="N318" s="40"/>
      <c r="O318" s="40"/>
      <c r="P318" s="40"/>
      <c r="Q318" s="40"/>
      <c r="R318" s="40"/>
      <c r="S318" s="40"/>
      <c r="T318" s="40"/>
    </row>
    <row r="319" spans="14:20">
      <c r="N319" s="40"/>
      <c r="O319" s="40"/>
      <c r="P319" s="40"/>
      <c r="Q319" s="40"/>
      <c r="R319" s="40"/>
      <c r="S319" s="40"/>
      <c r="T319" s="40"/>
    </row>
    <row r="320" spans="14:20">
      <c r="N320" s="40"/>
      <c r="O320" s="40"/>
      <c r="P320" s="40"/>
      <c r="Q320" s="40"/>
      <c r="R320" s="40"/>
      <c r="S320" s="40"/>
      <c r="T320" s="40"/>
    </row>
    <row r="321" spans="14:20">
      <c r="N321" s="40"/>
      <c r="O321" s="40"/>
      <c r="P321" s="40"/>
      <c r="Q321" s="40"/>
      <c r="R321" s="40"/>
      <c r="S321" s="40"/>
      <c r="T321" s="40"/>
    </row>
    <row r="322" spans="14:20">
      <c r="N322" s="40"/>
      <c r="O322" s="40"/>
      <c r="P322" s="40"/>
      <c r="Q322" s="40"/>
      <c r="R322" s="40"/>
      <c r="S322" s="40"/>
      <c r="T322" s="40"/>
    </row>
    <row r="323" spans="14:20">
      <c r="N323" s="40"/>
      <c r="O323" s="40"/>
      <c r="P323" s="40"/>
      <c r="Q323" s="40"/>
      <c r="R323" s="40"/>
      <c r="S323" s="40"/>
      <c r="T323" s="40"/>
    </row>
    <row r="324" spans="14:20">
      <c r="N324" s="40"/>
      <c r="O324" s="40"/>
      <c r="P324" s="40"/>
      <c r="Q324" s="40"/>
      <c r="R324" s="40"/>
      <c r="S324" s="40"/>
      <c r="T324" s="40"/>
    </row>
    <row r="325" spans="14:20">
      <c r="N325" s="40"/>
      <c r="O325" s="40"/>
      <c r="P325" s="40"/>
      <c r="Q325" s="40"/>
      <c r="R325" s="40"/>
      <c r="S325" s="40"/>
      <c r="T325" s="40"/>
    </row>
    <row r="326" spans="14:20">
      <c r="N326" s="40"/>
      <c r="O326" s="40"/>
      <c r="P326" s="40"/>
      <c r="Q326" s="40"/>
      <c r="R326" s="40"/>
      <c r="S326" s="40"/>
      <c r="T326" s="40"/>
    </row>
    <row r="327" spans="14:20">
      <c r="N327" s="40"/>
      <c r="O327" s="40"/>
      <c r="P327" s="40"/>
      <c r="Q327" s="40"/>
      <c r="R327" s="40"/>
      <c r="S327" s="40"/>
      <c r="T327" s="40"/>
    </row>
    <row r="328" spans="14:20">
      <c r="N328" s="40"/>
      <c r="O328" s="40"/>
      <c r="P328" s="40"/>
      <c r="Q328" s="40"/>
      <c r="R328" s="40"/>
      <c r="S328" s="40"/>
      <c r="T328" s="40"/>
    </row>
    <row r="329" spans="14:20">
      <c r="N329" s="40"/>
      <c r="O329" s="40"/>
      <c r="P329" s="40"/>
      <c r="Q329" s="40"/>
      <c r="R329" s="40"/>
      <c r="S329" s="40"/>
      <c r="T329" s="40"/>
    </row>
    <row r="330" spans="14:20">
      <c r="N330" s="40"/>
      <c r="O330" s="40"/>
      <c r="P330" s="40"/>
      <c r="Q330" s="40"/>
      <c r="R330" s="40"/>
      <c r="S330" s="40"/>
      <c r="T330" s="40"/>
    </row>
    <row r="331" spans="14:20">
      <c r="N331" s="40"/>
      <c r="O331" s="40"/>
      <c r="P331" s="40"/>
      <c r="Q331" s="40"/>
      <c r="R331" s="40"/>
      <c r="S331" s="40"/>
      <c r="T331" s="40"/>
    </row>
    <row r="332" spans="14:20">
      <c r="N332" s="40"/>
      <c r="O332" s="40"/>
      <c r="P332" s="40"/>
      <c r="Q332" s="40"/>
      <c r="R332" s="40"/>
      <c r="S332" s="40"/>
      <c r="T332" s="40"/>
    </row>
    <row r="333" spans="14:20">
      <c r="N333" s="40"/>
      <c r="O333" s="40"/>
      <c r="P333" s="40"/>
      <c r="Q333" s="40"/>
      <c r="R333" s="40"/>
      <c r="S333" s="40"/>
      <c r="T333" s="40"/>
    </row>
    <row r="334" spans="14:20">
      <c r="N334" s="40"/>
      <c r="O334" s="40"/>
      <c r="P334" s="40"/>
      <c r="Q334" s="40"/>
      <c r="R334" s="40"/>
      <c r="S334" s="40"/>
      <c r="T334" s="40"/>
    </row>
    <row r="335" spans="14:20">
      <c r="N335" s="40"/>
      <c r="O335" s="40"/>
      <c r="P335" s="40"/>
      <c r="Q335" s="40"/>
      <c r="R335" s="40"/>
      <c r="S335" s="40"/>
      <c r="T335" s="40"/>
    </row>
    <row r="336" spans="14:20">
      <c r="N336" s="40"/>
      <c r="O336" s="40"/>
      <c r="P336" s="40"/>
      <c r="Q336" s="40"/>
      <c r="R336" s="40"/>
      <c r="S336" s="40"/>
      <c r="T336" s="40"/>
    </row>
    <row r="337" spans="14:20">
      <c r="N337" s="40"/>
      <c r="O337" s="40"/>
      <c r="P337" s="40"/>
      <c r="Q337" s="40"/>
      <c r="R337" s="40"/>
      <c r="S337" s="40"/>
      <c r="T337" s="40"/>
    </row>
    <row r="338" spans="14:20">
      <c r="N338" s="40"/>
      <c r="O338" s="40"/>
      <c r="P338" s="40"/>
      <c r="Q338" s="40"/>
      <c r="R338" s="40"/>
      <c r="S338" s="40"/>
      <c r="T338" s="40"/>
    </row>
    <row r="339" spans="14:20">
      <c r="N339" s="40"/>
      <c r="O339" s="40"/>
      <c r="P339" s="40"/>
      <c r="Q339" s="40"/>
      <c r="R339" s="40"/>
      <c r="S339" s="40"/>
      <c r="T339" s="40"/>
    </row>
    <row r="340" spans="14:20">
      <c r="N340" s="40"/>
      <c r="O340" s="40"/>
      <c r="P340" s="40"/>
      <c r="Q340" s="40"/>
      <c r="R340" s="40"/>
      <c r="S340" s="40"/>
      <c r="T340" s="40"/>
    </row>
    <row r="341" spans="14:20">
      <c r="N341" s="40"/>
      <c r="O341" s="40"/>
      <c r="P341" s="40"/>
      <c r="Q341" s="40"/>
      <c r="R341" s="40"/>
      <c r="S341" s="40"/>
      <c r="T341" s="40"/>
    </row>
    <row r="342" spans="14:20">
      <c r="N342" s="40"/>
      <c r="O342" s="40"/>
      <c r="P342" s="40"/>
      <c r="Q342" s="40"/>
      <c r="R342" s="40"/>
      <c r="S342" s="40"/>
      <c r="T342" s="40"/>
    </row>
    <row r="343" spans="14:20">
      <c r="N343" s="40"/>
      <c r="O343" s="40"/>
      <c r="P343" s="40"/>
      <c r="Q343" s="40"/>
      <c r="R343" s="40"/>
      <c r="S343" s="40"/>
      <c r="T343" s="40"/>
    </row>
    <row r="344" spans="14:20">
      <c r="N344" s="40"/>
      <c r="O344" s="40"/>
      <c r="P344" s="40"/>
      <c r="Q344" s="40"/>
      <c r="R344" s="40"/>
      <c r="S344" s="40"/>
      <c r="T344" s="40"/>
    </row>
    <row r="345" spans="14:20">
      <c r="N345" s="40"/>
      <c r="O345" s="40"/>
      <c r="P345" s="40"/>
      <c r="Q345" s="40"/>
      <c r="R345" s="40"/>
      <c r="S345" s="40"/>
      <c r="T345" s="40"/>
    </row>
    <row r="346" spans="14:20">
      <c r="N346" s="40"/>
      <c r="O346" s="40"/>
      <c r="P346" s="40"/>
      <c r="Q346" s="40"/>
      <c r="R346" s="40"/>
      <c r="S346" s="40"/>
      <c r="T346" s="40"/>
    </row>
    <row r="347" spans="14:20">
      <c r="N347" s="40"/>
      <c r="O347" s="40"/>
      <c r="P347" s="40"/>
      <c r="Q347" s="40"/>
      <c r="R347" s="40"/>
      <c r="S347" s="40"/>
      <c r="T347" s="40"/>
    </row>
    <row r="348" spans="14:20">
      <c r="N348" s="40"/>
      <c r="O348" s="40"/>
      <c r="P348" s="40"/>
      <c r="Q348" s="40"/>
      <c r="R348" s="40"/>
      <c r="S348" s="40"/>
      <c r="T348" s="40"/>
    </row>
    <row r="349" spans="14:20">
      <c r="N349" s="40"/>
      <c r="O349" s="40"/>
      <c r="P349" s="40"/>
      <c r="Q349" s="40"/>
      <c r="R349" s="40"/>
      <c r="S349" s="40"/>
      <c r="T349" s="40"/>
    </row>
    <row r="350" spans="14:20">
      <c r="N350" s="40"/>
      <c r="O350" s="40"/>
      <c r="P350" s="40"/>
      <c r="Q350" s="40"/>
      <c r="R350" s="40"/>
      <c r="S350" s="40"/>
      <c r="T350" s="40"/>
    </row>
    <row r="351" spans="14:20">
      <c r="N351" s="40"/>
      <c r="O351" s="40"/>
      <c r="P351" s="40"/>
      <c r="Q351" s="40"/>
      <c r="R351" s="40"/>
      <c r="S351" s="40"/>
      <c r="T351" s="40"/>
    </row>
    <row r="352" spans="14:20">
      <c r="N352" s="40"/>
      <c r="O352" s="40"/>
      <c r="P352" s="40"/>
      <c r="Q352" s="40"/>
      <c r="R352" s="40"/>
      <c r="S352" s="40"/>
      <c r="T352" s="40"/>
    </row>
    <row r="353" spans="14:20">
      <c r="N353" s="40"/>
      <c r="O353" s="40"/>
      <c r="P353" s="40"/>
      <c r="Q353" s="40"/>
      <c r="R353" s="40"/>
      <c r="S353" s="40"/>
      <c r="T353" s="40"/>
    </row>
  </sheetData>
  <mergeCells count="2">
    <mergeCell ref="A1:K1"/>
    <mergeCell ref="A17:H17"/>
  </mergeCells>
  <printOptions horizontalCentered="1" verticalCentered="1"/>
  <pageMargins left="0.4" right="0.4" top="0.25" bottom="0.25" header="0.31496062992126" footer="0.31496062992126"/>
  <pageSetup scale="57"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N68"/>
  <sheetViews>
    <sheetView showGridLines="0" view="pageBreakPreview" zoomScale="85" zoomScaleNormal="100" zoomScaleSheetLayoutView="85" workbookViewId="0">
      <pane ySplit="1" topLeftCell="A2" activePane="bottomLeft" state="frozen"/>
      <selection activeCell="M22" sqref="M22"/>
      <selection pane="bottomLeft" activeCell="H16" sqref="H16"/>
    </sheetView>
  </sheetViews>
  <sheetFormatPr baseColWidth="10" defaultColWidth="11.5703125" defaultRowHeight="15"/>
  <cols>
    <col min="1" max="1" width="5.28515625" style="2269" customWidth="1"/>
    <col min="2" max="2" width="27.7109375" style="45" customWidth="1"/>
    <col min="3" max="3" width="22.5703125" style="43" customWidth="1"/>
    <col min="4" max="4" width="20.7109375" style="43" customWidth="1"/>
    <col min="5" max="5" width="19.85546875" style="77" customWidth="1"/>
    <col min="6" max="6" width="19.7109375" style="77" customWidth="1"/>
    <col min="7" max="12" width="17.42578125" style="77" bestFit="1" customWidth="1"/>
    <col min="13" max="13" width="17.140625" style="77" customWidth="1"/>
    <col min="14" max="16384" width="11.5703125" style="77"/>
  </cols>
  <sheetData>
    <row r="1" spans="1:14" ht="81.75" customHeight="1">
      <c r="B1" s="2176"/>
      <c r="C1" s="2176"/>
      <c r="D1" s="2176"/>
      <c r="E1" s="2176"/>
      <c r="F1" s="2176"/>
      <c r="G1" s="2176"/>
      <c r="H1" s="2176"/>
      <c r="I1" s="2176"/>
      <c r="J1" s="2176"/>
      <c r="K1" s="2176"/>
      <c r="L1" s="2176"/>
      <c r="M1" s="2176"/>
    </row>
    <row r="2" spans="1:14" ht="9.75" customHeight="1">
      <c r="B2" s="213"/>
      <c r="C2" s="1649"/>
      <c r="D2" s="1649"/>
      <c r="E2" s="1192"/>
      <c r="F2" s="1192"/>
      <c r="G2" s="1192"/>
      <c r="H2" s="1192"/>
      <c r="I2" s="1192"/>
      <c r="J2" s="1192"/>
      <c r="K2" s="1192"/>
      <c r="L2" s="1192"/>
      <c r="M2" s="1192"/>
    </row>
    <row r="3" spans="1:14" ht="20.25" customHeight="1">
      <c r="A3" s="2270" t="s">
        <v>721</v>
      </c>
      <c r="B3" s="845" t="s">
        <v>99</v>
      </c>
      <c r="C3" s="846" t="s">
        <v>91</v>
      </c>
      <c r="D3" s="1644" t="s">
        <v>1008</v>
      </c>
      <c r="E3" s="1645">
        <v>2015</v>
      </c>
      <c r="F3" s="1644" t="s">
        <v>541</v>
      </c>
      <c r="G3" s="1645" t="s">
        <v>534</v>
      </c>
      <c r="H3" s="1645" t="s">
        <v>464</v>
      </c>
      <c r="I3" s="1646">
        <v>2011</v>
      </c>
      <c r="J3" s="1646" t="s">
        <v>141</v>
      </c>
      <c r="K3" s="1646" t="s">
        <v>10</v>
      </c>
      <c r="L3" s="1646" t="s">
        <v>9</v>
      </c>
      <c r="M3" s="1647" t="s">
        <v>165</v>
      </c>
      <c r="N3" s="94"/>
    </row>
    <row r="4" spans="1:14">
      <c r="A4" s="2271">
        <v>1</v>
      </c>
      <c r="B4" s="847" t="s">
        <v>101</v>
      </c>
      <c r="C4" s="1650">
        <f>SUM(D4:M4)</f>
        <v>66829278850.410004</v>
      </c>
      <c r="D4" s="1456">
        <v>4524581312.9799995</v>
      </c>
      <c r="E4" s="1457">
        <v>12161540941.25</v>
      </c>
      <c r="F4" s="1456">
        <v>10983547966.809999</v>
      </c>
      <c r="G4" s="1456">
        <v>9607837034.2199993</v>
      </c>
      <c r="H4" s="1456">
        <v>8353917156.0299997</v>
      </c>
      <c r="I4" s="1456">
        <v>7058982563.4399996</v>
      </c>
      <c r="J4" s="1456">
        <v>5993827607.7299995</v>
      </c>
      <c r="K4" s="1456">
        <v>4255864090.8899999</v>
      </c>
      <c r="L4" s="1456">
        <v>3171956840.4299998</v>
      </c>
      <c r="M4" s="1648">
        <v>717223336.63</v>
      </c>
      <c r="N4" s="94"/>
    </row>
    <row r="5" spans="1:14">
      <c r="A5" s="2271">
        <v>2</v>
      </c>
      <c r="B5" s="847" t="s">
        <v>419</v>
      </c>
      <c r="C5" s="1650">
        <f>SUM(D5:M5)</f>
        <v>28946061275.809998</v>
      </c>
      <c r="D5" s="1456">
        <v>2044413379.6300001</v>
      </c>
      <c r="E5" s="1457">
        <v>5476509428.1899996</v>
      </c>
      <c r="F5" s="1456">
        <v>4893712873.4899998</v>
      </c>
      <c r="G5" s="1456">
        <v>4219650063.0100002</v>
      </c>
      <c r="H5" s="1456">
        <v>3583267317.25</v>
      </c>
      <c r="I5" s="1456">
        <v>2917251369.6199999</v>
      </c>
      <c r="J5" s="1456">
        <v>2453330107.3899999</v>
      </c>
      <c r="K5" s="1456">
        <v>1730845321.46</v>
      </c>
      <c r="L5" s="1456">
        <v>1321741372.6700001</v>
      </c>
      <c r="M5" s="1648">
        <v>305340043.10000002</v>
      </c>
      <c r="N5" s="94"/>
    </row>
    <row r="6" spans="1:14">
      <c r="A6" s="2271">
        <v>3</v>
      </c>
      <c r="B6" s="847" t="s">
        <v>104</v>
      </c>
      <c r="C6" s="1650">
        <f>SUM(D6:M6)</f>
        <v>27537351201.759998</v>
      </c>
      <c r="D6" s="1456">
        <v>2076201607.4000001</v>
      </c>
      <c r="E6" s="1457">
        <v>5083466120.5200005</v>
      </c>
      <c r="F6" s="1456">
        <v>4732632296.4300003</v>
      </c>
      <c r="G6" s="1456">
        <v>4513278180.0799999</v>
      </c>
      <c r="H6" s="1456">
        <v>4227970510.3499999</v>
      </c>
      <c r="I6" s="1456">
        <v>1418521323.0899999</v>
      </c>
      <c r="J6" s="1456">
        <v>2673949903.4499998</v>
      </c>
      <c r="K6" s="1456">
        <v>1522359931.3</v>
      </c>
      <c r="L6" s="1456">
        <v>837169120.65999997</v>
      </c>
      <c r="M6" s="1648">
        <v>451802208.48000002</v>
      </c>
      <c r="N6" s="94"/>
    </row>
    <row r="7" spans="1:14">
      <c r="A7" s="2271">
        <v>4</v>
      </c>
      <c r="B7" s="847" t="s">
        <v>103</v>
      </c>
      <c r="C7" s="1650">
        <f t="shared" ref="C7:C32" si="0">SUM(D7:M7)</f>
        <v>24306924954.560001</v>
      </c>
      <c r="D7" s="1456">
        <v>1500632511.03</v>
      </c>
      <c r="E7" s="1457">
        <v>4171076664.54</v>
      </c>
      <c r="F7" s="1456">
        <v>4114822500.02</v>
      </c>
      <c r="G7" s="1456">
        <v>3882133121.6999998</v>
      </c>
      <c r="H7" s="1456">
        <v>2827902358.5799999</v>
      </c>
      <c r="I7" s="1456">
        <v>2348696304.6199999</v>
      </c>
      <c r="J7" s="1456">
        <v>2159111716.5100002</v>
      </c>
      <c r="K7" s="1456">
        <v>1693827132.6099999</v>
      </c>
      <c r="L7" s="1456">
        <v>1308068082.8399999</v>
      </c>
      <c r="M7" s="1648">
        <v>300654562.11000001</v>
      </c>
      <c r="N7" s="94"/>
    </row>
    <row r="8" spans="1:14">
      <c r="A8" s="2271">
        <v>5</v>
      </c>
      <c r="B8" s="847" t="s">
        <v>102</v>
      </c>
      <c r="C8" s="1650">
        <f t="shared" si="0"/>
        <v>13816450526.41</v>
      </c>
      <c r="D8" s="1456">
        <v>233124236.40000001</v>
      </c>
      <c r="E8" s="1457">
        <v>803563614.11000001</v>
      </c>
      <c r="F8" s="1456">
        <v>978092827.33000004</v>
      </c>
      <c r="G8" s="1456">
        <v>1082661823.8499999</v>
      </c>
      <c r="H8" s="1456">
        <v>1207272450.53</v>
      </c>
      <c r="I8" s="1456">
        <v>3576534755.3000002</v>
      </c>
      <c r="J8" s="1456">
        <v>1854716686.5899999</v>
      </c>
      <c r="K8" s="1456">
        <v>1853101176.1400001</v>
      </c>
      <c r="L8" s="1456">
        <v>2032990871.3399999</v>
      </c>
      <c r="M8" s="1648">
        <v>194392084.81999999</v>
      </c>
      <c r="N8" s="94"/>
    </row>
    <row r="9" spans="1:14">
      <c r="A9" s="2271">
        <v>6</v>
      </c>
      <c r="B9" s="847" t="s">
        <v>105</v>
      </c>
      <c r="C9" s="1650">
        <f t="shared" si="0"/>
        <v>10158332019.379999</v>
      </c>
      <c r="D9" s="1456">
        <v>466417360.68000001</v>
      </c>
      <c r="E9" s="1456">
        <v>1331980733.04</v>
      </c>
      <c r="F9" s="1456">
        <v>1141651799.97</v>
      </c>
      <c r="G9" s="1456">
        <v>1100171649.97</v>
      </c>
      <c r="H9" s="1456">
        <v>1108857163.1099999</v>
      </c>
      <c r="I9" s="1456">
        <v>1156590386.46</v>
      </c>
      <c r="J9" s="1456">
        <v>1325824546.05</v>
      </c>
      <c r="K9" s="1456">
        <v>1179591255.9300001</v>
      </c>
      <c r="L9" s="1456">
        <v>1086385507.04</v>
      </c>
      <c r="M9" s="1648">
        <v>260861617.13</v>
      </c>
      <c r="N9" s="94"/>
    </row>
    <row r="10" spans="1:14">
      <c r="A10" s="2271">
        <v>7</v>
      </c>
      <c r="B10" s="847" t="s">
        <v>192</v>
      </c>
      <c r="C10" s="1650">
        <f t="shared" si="0"/>
        <v>3119370268.7700009</v>
      </c>
      <c r="D10" s="1456">
        <v>0</v>
      </c>
      <c r="E10" s="1457">
        <v>0</v>
      </c>
      <c r="F10" s="1457">
        <v>0</v>
      </c>
      <c r="G10" s="1457">
        <v>0</v>
      </c>
      <c r="H10" s="1456">
        <v>543095997.98000002</v>
      </c>
      <c r="I10" s="1456">
        <v>713723197.57000005</v>
      </c>
      <c r="J10" s="1456">
        <v>664368054.84000003</v>
      </c>
      <c r="K10" s="1456">
        <v>532130158.67000002</v>
      </c>
      <c r="L10" s="1456">
        <v>540021886.18000007</v>
      </c>
      <c r="M10" s="1648">
        <v>126030973.53</v>
      </c>
      <c r="N10" s="94"/>
    </row>
    <row r="11" spans="1:14">
      <c r="A11" s="2271">
        <v>8</v>
      </c>
      <c r="B11" s="847" t="s">
        <v>109</v>
      </c>
      <c r="C11" s="1650">
        <f t="shared" si="0"/>
        <v>4817616443.5699997</v>
      </c>
      <c r="D11" s="1456">
        <v>576251330.32000005</v>
      </c>
      <c r="E11" s="1456">
        <v>1454871775.4000001</v>
      </c>
      <c r="F11" s="1456">
        <v>970844788.00999999</v>
      </c>
      <c r="G11" s="1456">
        <v>639742830.92999995</v>
      </c>
      <c r="H11" s="1456">
        <v>531091333.37</v>
      </c>
      <c r="I11" s="1456">
        <v>164597786.84</v>
      </c>
      <c r="J11" s="1456">
        <v>212070337.19999999</v>
      </c>
      <c r="K11" s="1456">
        <v>143613388.97999999</v>
      </c>
      <c r="L11" s="1456">
        <v>101815700.27</v>
      </c>
      <c r="M11" s="1648">
        <v>22717172.25</v>
      </c>
      <c r="N11" s="94"/>
    </row>
    <row r="12" spans="1:14">
      <c r="A12" s="2271">
        <v>9</v>
      </c>
      <c r="B12" s="847" t="s">
        <v>693</v>
      </c>
      <c r="C12" s="1650">
        <f t="shared" si="0"/>
        <v>3262944610.9600005</v>
      </c>
      <c r="D12" s="1456">
        <v>229595283.41999999</v>
      </c>
      <c r="E12" s="1456">
        <v>558661306.02999997</v>
      </c>
      <c r="F12" s="1456">
        <v>517246744.63</v>
      </c>
      <c r="G12" s="1456">
        <v>473446266.83999997</v>
      </c>
      <c r="H12" s="1456">
        <v>435689492.37</v>
      </c>
      <c r="I12" s="1456">
        <v>277244404.79000002</v>
      </c>
      <c r="J12" s="1456">
        <v>324858266.55000001</v>
      </c>
      <c r="K12" s="1456">
        <v>237105863.31999999</v>
      </c>
      <c r="L12" s="1456">
        <v>188778365.44</v>
      </c>
      <c r="M12" s="1648">
        <v>20318617.57</v>
      </c>
      <c r="N12" s="94"/>
    </row>
    <row r="13" spans="1:14">
      <c r="A13" s="2271">
        <v>10</v>
      </c>
      <c r="B13" s="847" t="s">
        <v>106</v>
      </c>
      <c r="C13" s="1650">
        <f t="shared" si="0"/>
        <v>2163231786.7200003</v>
      </c>
      <c r="D13" s="1456">
        <v>0</v>
      </c>
      <c r="E13" s="1457">
        <v>0</v>
      </c>
      <c r="F13" s="1457">
        <v>0</v>
      </c>
      <c r="G13" s="1457">
        <v>0</v>
      </c>
      <c r="H13" s="1456">
        <v>421484991.5</v>
      </c>
      <c r="I13" s="1456">
        <v>442351015.86000001</v>
      </c>
      <c r="J13" s="1456">
        <v>453220008.48000002</v>
      </c>
      <c r="K13" s="1456">
        <v>392090764.45999998</v>
      </c>
      <c r="L13" s="1456">
        <v>388215503.41000003</v>
      </c>
      <c r="M13" s="1648">
        <v>65869503.009999998</v>
      </c>
      <c r="N13" s="94"/>
    </row>
    <row r="14" spans="1:14">
      <c r="A14" s="2271">
        <v>11</v>
      </c>
      <c r="B14" s="847" t="s">
        <v>108</v>
      </c>
      <c r="C14" s="1650">
        <f t="shared" si="0"/>
        <v>2839704631.6599998</v>
      </c>
      <c r="D14" s="1456">
        <v>225965749.86000001</v>
      </c>
      <c r="E14" s="1456">
        <v>599716233.71000004</v>
      </c>
      <c r="F14" s="1456">
        <v>516044438.89999998</v>
      </c>
      <c r="G14" s="1456">
        <v>440612182.11000001</v>
      </c>
      <c r="H14" s="1456">
        <v>362032677.48000002</v>
      </c>
      <c r="I14" s="1456">
        <v>164358672.62</v>
      </c>
      <c r="J14" s="1456">
        <v>212481656.75</v>
      </c>
      <c r="K14" s="1456">
        <v>144258968.12</v>
      </c>
      <c r="L14" s="1456">
        <v>142744043.59999999</v>
      </c>
      <c r="M14" s="1648">
        <v>31490008.510000002</v>
      </c>
      <c r="N14" s="94"/>
    </row>
    <row r="15" spans="1:14">
      <c r="A15" s="2271">
        <v>12</v>
      </c>
      <c r="B15" s="847" t="s">
        <v>203</v>
      </c>
      <c r="C15" s="1650">
        <f t="shared" si="0"/>
        <v>2194190616.3000002</v>
      </c>
      <c r="D15" s="1456">
        <v>103780251.98999999</v>
      </c>
      <c r="E15" s="1456">
        <v>301937576.62</v>
      </c>
      <c r="F15" s="1456">
        <v>258311833.18000001</v>
      </c>
      <c r="G15" s="1456">
        <v>215448057.84</v>
      </c>
      <c r="H15" s="1456">
        <v>180182244.78999999</v>
      </c>
      <c r="I15" s="1456">
        <v>376763650.83999997</v>
      </c>
      <c r="J15" s="1456">
        <v>230757864.44</v>
      </c>
      <c r="K15" s="1456">
        <v>179223706.03999999</v>
      </c>
      <c r="L15" s="1456">
        <v>279898886.94999999</v>
      </c>
      <c r="M15" s="1648">
        <v>67886543.609999999</v>
      </c>
      <c r="N15" s="94"/>
    </row>
    <row r="16" spans="1:14">
      <c r="A16" s="2271">
        <v>13</v>
      </c>
      <c r="B16" s="847" t="s">
        <v>111</v>
      </c>
      <c r="C16" s="1650">
        <f t="shared" si="0"/>
        <v>2328539091.27</v>
      </c>
      <c r="D16" s="1456">
        <v>174540398.72999999</v>
      </c>
      <c r="E16" s="1456">
        <v>493740373.5</v>
      </c>
      <c r="F16" s="1456">
        <v>443167668.97000003</v>
      </c>
      <c r="G16" s="1456">
        <v>372436306.32999998</v>
      </c>
      <c r="H16" s="1456">
        <v>320437811.80000001</v>
      </c>
      <c r="I16" s="1456">
        <v>168441449.5</v>
      </c>
      <c r="J16" s="1456">
        <v>177045106.05000001</v>
      </c>
      <c r="K16" s="1456">
        <v>99785424.680000007</v>
      </c>
      <c r="L16" s="1456">
        <v>59317583.659999996</v>
      </c>
      <c r="M16" s="1648">
        <v>19626968.050000001</v>
      </c>
      <c r="N16" s="94"/>
    </row>
    <row r="17" spans="1:14">
      <c r="A17" s="2271">
        <v>14</v>
      </c>
      <c r="B17" s="847" t="s">
        <v>93</v>
      </c>
      <c r="C17" s="1650">
        <f t="shared" si="0"/>
        <v>1908196280.6800001</v>
      </c>
      <c r="D17" s="1456">
        <v>99941870.579999998</v>
      </c>
      <c r="E17" s="1456">
        <v>268665691.10000002</v>
      </c>
      <c r="F17" s="1456">
        <v>247529123.78999999</v>
      </c>
      <c r="G17" s="1456">
        <v>228289268.22</v>
      </c>
      <c r="H17" s="1456">
        <v>219725858.91</v>
      </c>
      <c r="I17" s="1456">
        <v>328109846.66000003</v>
      </c>
      <c r="J17" s="1456">
        <v>185320118.5</v>
      </c>
      <c r="K17" s="1456">
        <v>156843229.44999999</v>
      </c>
      <c r="L17" s="1456">
        <v>142842652.22999999</v>
      </c>
      <c r="M17" s="1648">
        <v>30928621.239999998</v>
      </c>
      <c r="N17" s="94"/>
    </row>
    <row r="18" spans="1:14">
      <c r="A18" s="2271">
        <v>15</v>
      </c>
      <c r="B18" s="847" t="s">
        <v>189</v>
      </c>
      <c r="C18" s="1650">
        <f t="shared" si="0"/>
        <v>2039560960.28</v>
      </c>
      <c r="D18" s="1456">
        <v>158506126.02000001</v>
      </c>
      <c r="E18" s="1457">
        <v>527584646.73000002</v>
      </c>
      <c r="F18" s="1456">
        <v>359504426.99000001</v>
      </c>
      <c r="G18" s="1456">
        <v>217473814.38999999</v>
      </c>
      <c r="H18" s="1456">
        <v>162704809.56</v>
      </c>
      <c r="I18" s="1456">
        <v>242443956.69</v>
      </c>
      <c r="J18" s="1456">
        <v>147377060.99000001</v>
      </c>
      <c r="K18" s="1456">
        <v>112268471.84999999</v>
      </c>
      <c r="L18" s="1456">
        <v>101180101.09999999</v>
      </c>
      <c r="M18" s="1648">
        <v>10517545.960000001</v>
      </c>
      <c r="N18" s="94"/>
    </row>
    <row r="19" spans="1:14">
      <c r="A19" s="2271">
        <v>16</v>
      </c>
      <c r="B19" s="847" t="s">
        <v>107</v>
      </c>
      <c r="C19" s="1650">
        <f t="shared" si="0"/>
        <v>1540394601.8799999</v>
      </c>
      <c r="D19" s="1456">
        <v>85111618.140000001</v>
      </c>
      <c r="E19" s="1457">
        <v>220640690.58000001</v>
      </c>
      <c r="F19" s="1456">
        <v>157228072.71000001</v>
      </c>
      <c r="G19" s="1456">
        <v>158346055.74000001</v>
      </c>
      <c r="H19" s="1456">
        <v>165405764.31</v>
      </c>
      <c r="I19" s="1456">
        <v>207747862.83000001</v>
      </c>
      <c r="J19" s="1456">
        <v>183095103.16999999</v>
      </c>
      <c r="K19" s="1456">
        <v>173289666.88999999</v>
      </c>
      <c r="L19" s="1456">
        <v>152381750.58000001</v>
      </c>
      <c r="M19" s="1648">
        <v>37148016.93</v>
      </c>
      <c r="N19" s="94"/>
    </row>
    <row r="20" spans="1:14">
      <c r="A20" s="2271">
        <v>17</v>
      </c>
      <c r="B20" s="847" t="s">
        <v>110</v>
      </c>
      <c r="C20" s="1650">
        <f t="shared" si="0"/>
        <v>1573640170.8200002</v>
      </c>
      <c r="D20" s="1456">
        <v>125910821.13</v>
      </c>
      <c r="E20" s="1457">
        <v>245897869.16</v>
      </c>
      <c r="F20" s="1456">
        <v>188260257.72</v>
      </c>
      <c r="G20" s="1456">
        <v>176997737.69999999</v>
      </c>
      <c r="H20" s="1456">
        <v>165030447.47999999</v>
      </c>
      <c r="I20" s="1456">
        <v>200254647.37</v>
      </c>
      <c r="J20" s="1456">
        <v>162351674.63</v>
      </c>
      <c r="K20" s="1456">
        <v>133956323.18000001</v>
      </c>
      <c r="L20" s="1456">
        <v>144575101.05000001</v>
      </c>
      <c r="M20" s="1648">
        <v>30405291.399999999</v>
      </c>
      <c r="N20" s="94"/>
    </row>
    <row r="21" spans="1:14">
      <c r="A21" s="2271">
        <v>18</v>
      </c>
      <c r="B21" s="847" t="s">
        <v>418</v>
      </c>
      <c r="C21" s="1650">
        <f t="shared" si="0"/>
        <v>1569144529.1600003</v>
      </c>
      <c r="D21" s="1456">
        <v>140661659.66999999</v>
      </c>
      <c r="E21" s="1457">
        <v>371192040.16000003</v>
      </c>
      <c r="F21" s="1456">
        <v>289565045.02999997</v>
      </c>
      <c r="G21" s="1456">
        <v>198348265.86000001</v>
      </c>
      <c r="H21" s="1456">
        <v>192373833.68000001</v>
      </c>
      <c r="I21" s="1456">
        <v>84838162.140000001</v>
      </c>
      <c r="J21" s="1456">
        <v>146415631.84</v>
      </c>
      <c r="K21" s="1456">
        <v>82340505.900000006</v>
      </c>
      <c r="L21" s="1456">
        <v>51990419.979999997</v>
      </c>
      <c r="M21" s="1648">
        <v>11418964.9</v>
      </c>
      <c r="N21" s="94"/>
    </row>
    <row r="22" spans="1:14">
      <c r="A22" s="2271">
        <v>19</v>
      </c>
      <c r="B22" s="847" t="s">
        <v>112</v>
      </c>
      <c r="C22" s="1650">
        <f t="shared" si="0"/>
        <v>1263104422.1000001</v>
      </c>
      <c r="D22" s="1456">
        <v>98085018.480000004</v>
      </c>
      <c r="E22" s="1457">
        <v>236239286.34</v>
      </c>
      <c r="F22" s="1456">
        <v>198373489.30000001</v>
      </c>
      <c r="G22" s="1456">
        <v>152949848.16</v>
      </c>
      <c r="H22" s="1456">
        <v>126354636.18000001</v>
      </c>
      <c r="I22" s="1456">
        <v>157728696.47</v>
      </c>
      <c r="J22" s="1456">
        <v>100744058.06999999</v>
      </c>
      <c r="K22" s="1456">
        <v>98244497.489999995</v>
      </c>
      <c r="L22" s="1456">
        <v>84894705.409999996</v>
      </c>
      <c r="M22" s="1648">
        <v>9490186.1999999993</v>
      </c>
      <c r="N22" s="94"/>
    </row>
    <row r="23" spans="1:14">
      <c r="A23" s="2271">
        <v>20</v>
      </c>
      <c r="B23" s="847" t="s">
        <v>191</v>
      </c>
      <c r="C23" s="1650">
        <f t="shared" si="0"/>
        <v>1068501199.9099994</v>
      </c>
      <c r="D23" s="1456">
        <v>74808044.489999995</v>
      </c>
      <c r="E23" s="1457">
        <v>265105463.34</v>
      </c>
      <c r="F23" s="1456">
        <v>254472361.72999999</v>
      </c>
      <c r="G23" s="1456">
        <v>206719754.03999999</v>
      </c>
      <c r="H23" s="1456">
        <v>167609040.38999999</v>
      </c>
      <c r="I23" s="1456">
        <v>0</v>
      </c>
      <c r="J23" s="1456">
        <v>97694135.319999993</v>
      </c>
      <c r="K23" s="1456">
        <v>0</v>
      </c>
      <c r="L23" s="1456">
        <v>0</v>
      </c>
      <c r="M23" s="1648">
        <v>2092400.5999994278</v>
      </c>
      <c r="N23" s="94"/>
    </row>
    <row r="24" spans="1:14">
      <c r="A24" s="2271">
        <v>21</v>
      </c>
      <c r="B24" s="847" t="s">
        <v>113</v>
      </c>
      <c r="C24" s="1650">
        <f t="shared" si="0"/>
        <v>554704683.16000009</v>
      </c>
      <c r="D24" s="1456">
        <v>13025588.49</v>
      </c>
      <c r="E24" s="1457">
        <v>39294751.079999998</v>
      </c>
      <c r="F24" s="1456">
        <v>40249307.670000002</v>
      </c>
      <c r="G24" s="1456">
        <v>42257397.75</v>
      </c>
      <c r="H24" s="1456">
        <v>47552830.670000002</v>
      </c>
      <c r="I24" s="1456">
        <v>148201570.16</v>
      </c>
      <c r="J24" s="1456">
        <v>72128067.510000005</v>
      </c>
      <c r="K24" s="1456">
        <v>72945917.959999993</v>
      </c>
      <c r="L24" s="1456">
        <v>66282696.030000001</v>
      </c>
      <c r="M24" s="1648">
        <v>12766555.84</v>
      </c>
      <c r="N24" s="94"/>
    </row>
    <row r="25" spans="1:14">
      <c r="A25" s="2271">
        <v>22</v>
      </c>
      <c r="B25" s="847" t="s">
        <v>190</v>
      </c>
      <c r="C25" s="1650">
        <f t="shared" si="0"/>
        <v>591961047.18999994</v>
      </c>
      <c r="D25" s="1456">
        <v>29791986.210000001</v>
      </c>
      <c r="E25" s="1457">
        <v>84418000.680000007</v>
      </c>
      <c r="F25" s="1456">
        <v>83222214.719999999</v>
      </c>
      <c r="G25" s="1456">
        <v>79446217.159999996</v>
      </c>
      <c r="H25" s="1456">
        <v>78944015.969999999</v>
      </c>
      <c r="I25" s="1456">
        <v>50919574.450000003</v>
      </c>
      <c r="J25" s="1456">
        <v>67501380.629999995</v>
      </c>
      <c r="K25" s="1456">
        <v>58003635.020000003</v>
      </c>
      <c r="L25" s="1456">
        <v>53886807.359999999</v>
      </c>
      <c r="M25" s="1648">
        <v>5827214.9900000002</v>
      </c>
      <c r="N25" s="94"/>
    </row>
    <row r="26" spans="1:14">
      <c r="A26" s="2271">
        <v>23</v>
      </c>
      <c r="B26" s="847" t="s">
        <v>735</v>
      </c>
      <c r="C26" s="1650">
        <f t="shared" si="0"/>
        <v>387469499.48000002</v>
      </c>
      <c r="D26" s="1456">
        <v>0</v>
      </c>
      <c r="E26" s="1457">
        <v>23446830.300000001</v>
      </c>
      <c r="F26" s="1456">
        <v>36451324.079999998</v>
      </c>
      <c r="G26" s="1456">
        <v>41174860.159999996</v>
      </c>
      <c r="H26" s="1456">
        <v>45850977.93</v>
      </c>
      <c r="I26" s="1456">
        <v>53812757.039999999</v>
      </c>
      <c r="J26" s="1456">
        <v>63399690.530000001</v>
      </c>
      <c r="K26" s="1456">
        <v>57287198.299999997</v>
      </c>
      <c r="L26" s="1456">
        <v>54700745.920000002</v>
      </c>
      <c r="M26" s="1648">
        <v>11345115.220000001</v>
      </c>
      <c r="N26" s="94"/>
    </row>
    <row r="27" spans="1:14">
      <c r="A27" s="2271">
        <v>24</v>
      </c>
      <c r="B27" s="847" t="s">
        <v>150</v>
      </c>
      <c r="C27" s="1650">
        <f t="shared" si="0"/>
        <v>260644027.96000001</v>
      </c>
      <c r="D27" s="1456">
        <v>0</v>
      </c>
      <c r="E27" s="1457">
        <v>0</v>
      </c>
      <c r="F27" s="1457">
        <v>0</v>
      </c>
      <c r="G27" s="1457">
        <v>0</v>
      </c>
      <c r="H27" s="1457">
        <v>0</v>
      </c>
      <c r="I27" s="1456">
        <v>75662331.959999993</v>
      </c>
      <c r="J27" s="1456">
        <v>0</v>
      </c>
      <c r="K27" s="1456">
        <v>84626497.980000004</v>
      </c>
      <c r="L27" s="1456">
        <v>86908288.420000002</v>
      </c>
      <c r="M27" s="1648">
        <v>13446909.6</v>
      </c>
      <c r="N27" s="94"/>
    </row>
    <row r="28" spans="1:14">
      <c r="A28" s="2271">
        <v>25</v>
      </c>
      <c r="B28" s="847" t="s">
        <v>114</v>
      </c>
      <c r="C28" s="1650">
        <f t="shared" si="0"/>
        <v>192934618.85999998</v>
      </c>
      <c r="D28" s="1456">
        <v>8221539.1500000004</v>
      </c>
      <c r="E28" s="1457">
        <v>24559449.510000002</v>
      </c>
      <c r="F28" s="1456">
        <v>23089101.420000002</v>
      </c>
      <c r="G28" s="1456">
        <v>21341806.690000001</v>
      </c>
      <c r="H28" s="1456">
        <v>20222094.07</v>
      </c>
      <c r="I28" s="1456">
        <v>0</v>
      </c>
      <c r="J28" s="1456">
        <v>23975542.640000001</v>
      </c>
      <c r="K28" s="1456">
        <v>32578583.809999999</v>
      </c>
      <c r="L28" s="1456">
        <v>38946501.57</v>
      </c>
      <c r="M28" s="1648">
        <v>0</v>
      </c>
      <c r="N28" s="94"/>
    </row>
    <row r="29" spans="1:14">
      <c r="A29" s="2271">
        <v>26</v>
      </c>
      <c r="B29" s="847" t="s">
        <v>115</v>
      </c>
      <c r="C29" s="1650">
        <f t="shared" si="0"/>
        <v>114002984.84</v>
      </c>
      <c r="D29" s="1456">
        <v>0</v>
      </c>
      <c r="E29" s="1457">
        <v>0</v>
      </c>
      <c r="F29" s="1457">
        <v>0</v>
      </c>
      <c r="G29" s="1457">
        <v>0</v>
      </c>
      <c r="H29" s="1457">
        <v>0</v>
      </c>
      <c r="I29" s="1456">
        <v>19428109.170000002</v>
      </c>
      <c r="J29" s="1456">
        <v>26456723.530000001</v>
      </c>
      <c r="K29" s="1456">
        <v>29143437.670000002</v>
      </c>
      <c r="L29" s="1456">
        <v>29052164.510000002</v>
      </c>
      <c r="M29" s="1648">
        <v>9922549.9600000009</v>
      </c>
      <c r="N29" s="94"/>
    </row>
    <row r="30" spans="1:14">
      <c r="A30" s="2271">
        <v>27</v>
      </c>
      <c r="B30" s="847" t="s">
        <v>149</v>
      </c>
      <c r="C30" s="1650">
        <f t="shared" si="0"/>
        <v>75538660.520000011</v>
      </c>
      <c r="D30" s="1456">
        <v>0</v>
      </c>
      <c r="E30" s="1457">
        <v>0</v>
      </c>
      <c r="F30" s="1457">
        <v>0</v>
      </c>
      <c r="G30" s="1456">
        <v>9039886.4199999999</v>
      </c>
      <c r="H30" s="1456">
        <v>11648475.24</v>
      </c>
      <c r="I30" s="1456">
        <v>11616199</v>
      </c>
      <c r="J30" s="1456">
        <v>13123437.08</v>
      </c>
      <c r="K30" s="1456">
        <v>12290501.890000001</v>
      </c>
      <c r="L30" s="1456">
        <v>10178195.6</v>
      </c>
      <c r="M30" s="1648">
        <v>7641965.29</v>
      </c>
      <c r="N30" s="94"/>
    </row>
    <row r="31" spans="1:14">
      <c r="A31" s="2271">
        <v>28</v>
      </c>
      <c r="B31" s="847" t="s">
        <v>148</v>
      </c>
      <c r="C31" s="1650">
        <f t="shared" si="0"/>
        <v>65746073.510000005</v>
      </c>
      <c r="D31" s="1456">
        <v>0</v>
      </c>
      <c r="E31" s="1457">
        <v>0</v>
      </c>
      <c r="F31" s="1457">
        <v>0</v>
      </c>
      <c r="G31" s="1457">
        <v>0</v>
      </c>
      <c r="H31" s="1457">
        <v>0</v>
      </c>
      <c r="I31" s="1457">
        <v>0</v>
      </c>
      <c r="J31" s="1457">
        <v>0</v>
      </c>
      <c r="K31" s="1457">
        <v>0</v>
      </c>
      <c r="L31" s="1456">
        <v>18445870.670000002</v>
      </c>
      <c r="M31" s="1648">
        <v>47300202.840000004</v>
      </c>
      <c r="N31" s="94"/>
    </row>
    <row r="32" spans="1:14">
      <c r="A32" s="2271">
        <v>29</v>
      </c>
      <c r="B32" s="847" t="s">
        <v>116</v>
      </c>
      <c r="C32" s="1650">
        <f t="shared" si="0"/>
        <v>40803540.200000003</v>
      </c>
      <c r="D32" s="1456">
        <v>0</v>
      </c>
      <c r="E32" s="1456">
        <v>0</v>
      </c>
      <c r="F32" s="1456">
        <v>0</v>
      </c>
      <c r="G32" s="1456">
        <v>0</v>
      </c>
      <c r="H32" s="1456">
        <v>0</v>
      </c>
      <c r="I32" s="1456">
        <v>0</v>
      </c>
      <c r="J32" s="1456">
        <v>12853568.029999999</v>
      </c>
      <c r="K32" s="1456">
        <v>13003979.24</v>
      </c>
      <c r="L32" s="1456">
        <v>12185832.32</v>
      </c>
      <c r="M32" s="1648">
        <v>2760160.61</v>
      </c>
      <c r="N32" s="94"/>
    </row>
    <row r="33" spans="1:14" s="879" customFormat="1" ht="18" customHeight="1">
      <c r="A33" s="2270" t="s">
        <v>23</v>
      </c>
      <c r="B33" s="845" t="s">
        <v>23</v>
      </c>
      <c r="C33" s="1747">
        <f t="shared" ref="C33" si="1">SUM(C4:C32)</f>
        <v>205566343578.13</v>
      </c>
      <c r="D33" s="848">
        <f>SUM(D4:D32)</f>
        <v>12989567694.799997</v>
      </c>
      <c r="E33" s="848">
        <f>SUM(E4:E32)</f>
        <v>34744109485.890007</v>
      </c>
      <c r="F33" s="849">
        <f t="shared" ref="F33:M33" si="2">SUM(F4:F32)</f>
        <v>31428020462.900005</v>
      </c>
      <c r="G33" s="849">
        <f t="shared" si="2"/>
        <v>28079802429.170002</v>
      </c>
      <c r="H33" s="849">
        <f t="shared" si="2"/>
        <v>25506624289.529999</v>
      </c>
      <c r="I33" s="849">
        <f t="shared" si="2"/>
        <v>22364820594.489998</v>
      </c>
      <c r="J33" s="849">
        <f t="shared" si="2"/>
        <v>20037998054.499992</v>
      </c>
      <c r="K33" s="849">
        <f t="shared" si="2"/>
        <v>15080619629.229998</v>
      </c>
      <c r="L33" s="849">
        <f t="shared" si="2"/>
        <v>12507555597.240002</v>
      </c>
      <c r="M33" s="850">
        <f t="shared" si="2"/>
        <v>2827225340.3800001</v>
      </c>
      <c r="N33" s="163"/>
    </row>
    <row r="34" spans="1:14" ht="5.25" customHeight="1">
      <c r="B34" s="214"/>
      <c r="C34" s="1651"/>
      <c r="D34" s="1651"/>
      <c r="E34" s="106"/>
      <c r="F34" s="106"/>
      <c r="G34" s="106"/>
      <c r="H34" s="106" t="s">
        <v>201</v>
      </c>
      <c r="I34" s="106"/>
      <c r="J34" s="106"/>
      <c r="K34" s="106"/>
      <c r="L34" s="106"/>
      <c r="M34" s="94"/>
    </row>
    <row r="35" spans="1:14" ht="15.75">
      <c r="B35" s="169"/>
      <c r="C35" s="1652"/>
      <c r="D35" s="1652"/>
      <c r="E35" s="1453"/>
      <c r="F35" s="94"/>
      <c r="G35" s="94"/>
      <c r="H35" s="118" t="s">
        <v>201</v>
      </c>
      <c r="I35" s="94"/>
      <c r="J35" s="94"/>
      <c r="K35" s="94"/>
      <c r="L35" s="94"/>
      <c r="M35" s="94"/>
    </row>
    <row r="36" spans="1:14" ht="15.75">
      <c r="B36" s="169"/>
      <c r="C36" s="1652"/>
      <c r="D36" s="1652"/>
      <c r="E36" s="94"/>
      <c r="F36" s="94"/>
      <c r="G36" s="94"/>
      <c r="H36" s="118" t="s">
        <v>201</v>
      </c>
      <c r="I36" s="94"/>
      <c r="J36" s="94"/>
      <c r="K36" s="94"/>
      <c r="L36" s="94"/>
      <c r="M36" s="94"/>
    </row>
    <row r="37" spans="1:14" ht="15.75">
      <c r="B37" s="169"/>
      <c r="C37" s="1652"/>
      <c r="D37" s="1652"/>
      <c r="E37" s="94"/>
      <c r="F37" s="94"/>
      <c r="G37" s="94"/>
      <c r="H37" s="118" t="s">
        <v>201</v>
      </c>
      <c r="I37" s="94"/>
      <c r="J37" s="94"/>
      <c r="K37" s="94"/>
      <c r="L37" s="94"/>
      <c r="M37" s="94"/>
    </row>
    <row r="38" spans="1:14" ht="15.75">
      <c r="B38" s="169"/>
      <c r="C38" s="1652"/>
      <c r="D38" s="1652"/>
      <c r="E38" s="94"/>
      <c r="F38" s="94"/>
      <c r="G38" s="94"/>
      <c r="H38" s="118" t="s">
        <v>201</v>
      </c>
      <c r="I38" s="94"/>
      <c r="J38" s="94"/>
      <c r="K38" s="94"/>
      <c r="L38" s="94"/>
      <c r="M38" s="94"/>
    </row>
    <row r="39" spans="1:14" ht="15.75">
      <c r="B39" s="169"/>
      <c r="C39" s="1652"/>
      <c r="D39" s="1652"/>
      <c r="E39" s="94"/>
      <c r="F39" s="94"/>
      <c r="G39" s="94"/>
      <c r="H39" s="118" t="s">
        <v>201</v>
      </c>
      <c r="I39" s="94"/>
      <c r="J39" s="94"/>
      <c r="K39" s="94"/>
      <c r="L39" s="94"/>
      <c r="M39" s="94"/>
    </row>
    <row r="40" spans="1:14" ht="15.75">
      <c r="B40" s="169"/>
      <c r="C40" s="1652"/>
      <c r="D40" s="1652"/>
      <c r="E40" s="94"/>
      <c r="F40" s="94"/>
      <c r="G40" s="94"/>
      <c r="H40" s="118" t="s">
        <v>201</v>
      </c>
      <c r="I40" s="94"/>
      <c r="J40" s="94"/>
      <c r="K40" s="94"/>
      <c r="L40" s="94"/>
      <c r="M40" s="94"/>
    </row>
    <row r="41" spans="1:14" ht="15.75">
      <c r="B41" s="169"/>
      <c r="C41" s="1652"/>
      <c r="D41" s="1652"/>
      <c r="E41" s="94"/>
      <c r="F41" s="94"/>
      <c r="G41" s="94"/>
      <c r="H41" s="118" t="s">
        <v>201</v>
      </c>
      <c r="I41" s="94"/>
      <c r="J41" s="94"/>
      <c r="K41" s="94"/>
      <c r="L41" s="94"/>
      <c r="M41" s="94"/>
    </row>
    <row r="42" spans="1:14" ht="15.75">
      <c r="B42" s="169"/>
      <c r="C42" s="1652"/>
      <c r="D42" s="1652"/>
      <c r="E42" s="94"/>
      <c r="F42" s="94"/>
      <c r="G42" s="94"/>
      <c r="H42" s="118" t="s">
        <v>201</v>
      </c>
      <c r="I42" s="94"/>
      <c r="J42" s="94"/>
      <c r="K42" s="94"/>
      <c r="L42" s="94"/>
      <c r="M42" s="94"/>
    </row>
    <row r="43" spans="1:14" ht="15.75">
      <c r="B43" s="169"/>
      <c r="C43" s="1652"/>
      <c r="D43" s="1652"/>
      <c r="E43" s="94"/>
      <c r="F43" s="94"/>
      <c r="G43" s="94"/>
      <c r="H43" s="118" t="s">
        <v>201</v>
      </c>
      <c r="I43" s="94"/>
      <c r="J43" s="94"/>
      <c r="K43" s="94"/>
      <c r="L43" s="94"/>
      <c r="M43" s="94"/>
    </row>
    <row r="44" spans="1:14" ht="15.75">
      <c r="B44" s="169"/>
      <c r="C44" s="1652"/>
      <c r="D44" s="1652"/>
      <c r="E44" s="94"/>
      <c r="F44" s="94"/>
      <c r="G44" s="94"/>
      <c r="H44" s="118" t="s">
        <v>201</v>
      </c>
      <c r="I44" s="94"/>
      <c r="J44" s="94"/>
      <c r="K44" s="94"/>
      <c r="L44" s="94"/>
      <c r="M44" s="94"/>
    </row>
    <row r="45" spans="1:14" ht="15.75">
      <c r="B45" s="169"/>
      <c r="C45" s="1652"/>
      <c r="D45" s="1652"/>
      <c r="E45" s="94"/>
      <c r="F45" s="94"/>
      <c r="G45" s="94"/>
      <c r="H45" s="118" t="s">
        <v>201</v>
      </c>
      <c r="I45" s="94"/>
      <c r="J45" s="94"/>
      <c r="K45" s="94"/>
      <c r="L45" s="94"/>
      <c r="M45" s="94"/>
    </row>
    <row r="46" spans="1:14" ht="15.75">
      <c r="B46" s="169"/>
      <c r="C46" s="1652"/>
      <c r="D46" s="1652"/>
      <c r="E46" s="94"/>
      <c r="F46" s="94"/>
      <c r="G46" s="94"/>
      <c r="H46" s="118" t="s">
        <v>201</v>
      </c>
      <c r="I46" s="94"/>
      <c r="J46" s="94"/>
      <c r="K46" s="94"/>
      <c r="L46" s="94"/>
      <c r="M46" s="94"/>
    </row>
    <row r="47" spans="1:14" ht="15.75">
      <c r="B47" s="169"/>
      <c r="C47" s="1652"/>
      <c r="D47" s="1652"/>
      <c r="E47" s="94"/>
      <c r="F47" s="94"/>
      <c r="G47" s="94"/>
      <c r="H47" s="118" t="s">
        <v>201</v>
      </c>
      <c r="I47" s="94"/>
      <c r="J47" s="94"/>
      <c r="K47" s="94"/>
      <c r="L47" s="94"/>
      <c r="M47" s="94"/>
    </row>
    <row r="48" spans="1:14" ht="15.75">
      <c r="B48" s="169"/>
      <c r="C48" s="1652"/>
      <c r="D48" s="1652"/>
      <c r="E48" s="94"/>
      <c r="F48" s="94"/>
      <c r="G48" s="94"/>
      <c r="H48" s="118" t="s">
        <v>201</v>
      </c>
      <c r="I48" s="94"/>
      <c r="J48" s="94"/>
      <c r="K48" s="94"/>
      <c r="L48" s="94"/>
      <c r="M48" s="94"/>
    </row>
    <row r="49" spans="2:13" ht="15.75">
      <c r="B49" s="169"/>
      <c r="C49" s="1652"/>
      <c r="D49" s="1652"/>
      <c r="E49" s="94"/>
      <c r="F49" s="94"/>
      <c r="G49" s="94"/>
      <c r="H49" s="118" t="s">
        <v>201</v>
      </c>
      <c r="I49" s="94"/>
      <c r="J49" s="94"/>
      <c r="K49" s="94"/>
      <c r="L49" s="94"/>
      <c r="M49" s="94"/>
    </row>
    <row r="50" spans="2:13" ht="15.75">
      <c r="B50" s="169"/>
      <c r="C50" s="1652"/>
      <c r="D50" s="1652"/>
      <c r="E50" s="94"/>
      <c r="F50" s="94"/>
      <c r="G50" s="94"/>
      <c r="H50" s="118" t="s">
        <v>201</v>
      </c>
      <c r="I50" s="94"/>
      <c r="J50" s="94"/>
      <c r="K50" s="94"/>
      <c r="L50" s="94"/>
      <c r="M50" s="94"/>
    </row>
    <row r="51" spans="2:13" ht="15.75">
      <c r="B51" s="169"/>
      <c r="C51" s="1652"/>
      <c r="D51" s="1652"/>
      <c r="E51" s="94"/>
      <c r="F51" s="94"/>
      <c r="G51" s="94"/>
      <c r="H51" s="118" t="s">
        <v>201</v>
      </c>
      <c r="I51" s="94"/>
      <c r="J51" s="94"/>
      <c r="K51" s="94"/>
      <c r="L51" s="94"/>
      <c r="M51" s="94"/>
    </row>
    <row r="52" spans="2:13" ht="15.75">
      <c r="B52" s="169"/>
      <c r="C52" s="1652"/>
      <c r="D52" s="1652"/>
      <c r="E52" s="94"/>
      <c r="F52" s="94"/>
      <c r="G52" s="94"/>
      <c r="H52" s="118" t="s">
        <v>201</v>
      </c>
      <c r="I52" s="94"/>
      <c r="J52" s="94"/>
      <c r="K52" s="94"/>
      <c r="L52" s="94"/>
      <c r="M52" s="94"/>
    </row>
    <row r="53" spans="2:13" ht="15.75">
      <c r="B53" s="169"/>
      <c r="C53" s="1652"/>
      <c r="D53" s="1652"/>
      <c r="E53" s="94"/>
      <c r="F53" s="94"/>
      <c r="G53" s="94"/>
      <c r="H53" s="118" t="s">
        <v>201</v>
      </c>
      <c r="I53" s="94"/>
      <c r="J53" s="94"/>
      <c r="K53" s="94"/>
      <c r="L53" s="94"/>
      <c r="M53" s="94"/>
    </row>
    <row r="54" spans="2:13" ht="15.75">
      <c r="B54" s="169"/>
      <c r="C54" s="1652"/>
      <c r="D54" s="1652"/>
      <c r="E54" s="94"/>
      <c r="F54" s="94"/>
      <c r="G54" s="94"/>
      <c r="H54" s="118" t="s">
        <v>201</v>
      </c>
      <c r="I54" s="94"/>
      <c r="J54" s="94"/>
      <c r="K54" s="94"/>
      <c r="L54" s="94"/>
      <c r="M54" s="94"/>
    </row>
    <row r="55" spans="2:13" ht="15.75">
      <c r="B55" s="169"/>
      <c r="C55" s="1652"/>
      <c r="D55" s="1652"/>
      <c r="E55" s="94"/>
      <c r="F55" s="94"/>
      <c r="G55" s="94"/>
      <c r="H55" s="118" t="s">
        <v>201</v>
      </c>
      <c r="I55" s="94"/>
      <c r="J55" s="94"/>
      <c r="K55" s="94"/>
      <c r="L55" s="94"/>
      <c r="M55" s="94"/>
    </row>
    <row r="56" spans="2:13" ht="15.75">
      <c r="B56" s="169"/>
      <c r="C56" s="1652"/>
      <c r="D56" s="1652"/>
      <c r="E56" s="94"/>
      <c r="F56" s="94"/>
      <c r="G56" s="94"/>
      <c r="H56" s="118" t="s">
        <v>201</v>
      </c>
      <c r="I56" s="94"/>
      <c r="J56" s="94"/>
      <c r="K56" s="94"/>
      <c r="L56" s="94"/>
      <c r="M56" s="94"/>
    </row>
    <row r="57" spans="2:13" ht="15.75">
      <c r="B57" s="169"/>
      <c r="C57" s="1652"/>
      <c r="D57" s="1652"/>
      <c r="E57" s="94"/>
      <c r="F57" s="94"/>
      <c r="G57" s="94"/>
      <c r="H57" s="118" t="s">
        <v>201</v>
      </c>
      <c r="I57" s="94"/>
      <c r="J57" s="94"/>
      <c r="K57" s="94"/>
      <c r="L57" s="94"/>
      <c r="M57" s="94"/>
    </row>
    <row r="58" spans="2:13">
      <c r="B58" s="169"/>
      <c r="C58" s="1652"/>
      <c r="D58" s="1652"/>
      <c r="E58" s="94"/>
      <c r="F58" s="94"/>
      <c r="G58" s="94"/>
      <c r="H58" s="94" t="e">
        <f>SUM(#REF!)</f>
        <v>#REF!</v>
      </c>
      <c r="I58" s="94"/>
      <c r="J58" s="94"/>
      <c r="K58" s="94"/>
      <c r="L58" s="94"/>
      <c r="M58" s="94"/>
    </row>
    <row r="67" spans="2:2" ht="15.75" customHeight="1"/>
    <row r="68" spans="2:2" ht="13.5" customHeight="1">
      <c r="B68" s="50" t="s">
        <v>31</v>
      </c>
    </row>
  </sheetData>
  <autoFilter ref="B3:M58"/>
  <mergeCells count="1">
    <mergeCell ref="B1:M1"/>
  </mergeCells>
  <printOptions horizontalCentered="1" verticalCentered="1"/>
  <pageMargins left="0.39370078740157483" right="0.39370078740157483" top="0.23622047244094491" bottom="0.23622047244094491" header="0.25" footer="0.31496062992125984"/>
  <pageSetup scale="46"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N60"/>
  <sheetViews>
    <sheetView showGridLines="0" view="pageBreakPreview" zoomScale="70" zoomScaleNormal="100" zoomScaleSheetLayoutView="70" workbookViewId="0">
      <pane ySplit="1" topLeftCell="A2" activePane="bottomLeft" state="frozen"/>
      <selection activeCell="M22" sqref="M22"/>
      <selection pane="bottomLeft" activeCell="L3" sqref="L3:M12"/>
    </sheetView>
  </sheetViews>
  <sheetFormatPr baseColWidth="10" defaultColWidth="11.5703125" defaultRowHeight="15" customHeight="1"/>
  <cols>
    <col min="1" max="1" width="35.42578125" style="77" customWidth="1"/>
    <col min="2" max="2" width="21.28515625" style="77" bestFit="1" customWidth="1"/>
    <col min="3" max="3" width="12.85546875" style="77" customWidth="1"/>
    <col min="4" max="4" width="11" style="77" customWidth="1"/>
    <col min="5" max="5" width="12.28515625" style="77" customWidth="1"/>
    <col min="6" max="6" width="11.7109375" style="77" customWidth="1"/>
    <col min="7" max="7" width="16.85546875" style="77" bestFit="1" customWidth="1"/>
    <col min="8" max="8" width="16" style="77" customWidth="1"/>
    <col min="9" max="9" width="33.85546875" style="77" customWidth="1"/>
    <col min="10" max="10" width="25.42578125" style="77" customWidth="1"/>
    <col min="11" max="11" width="16.42578125" style="77" customWidth="1"/>
    <col min="12" max="12" width="11.5703125" style="77" customWidth="1"/>
    <col min="13" max="13" width="20.85546875" style="77" customWidth="1"/>
    <col min="14" max="14" width="11.5703125" style="77" customWidth="1"/>
    <col min="15" max="16384" width="11.5703125" style="77"/>
  </cols>
  <sheetData>
    <row r="1" spans="1:14" ht="86.25" customHeight="1">
      <c r="A1" s="2177"/>
      <c r="B1" s="2177"/>
      <c r="C1" s="2177"/>
      <c r="D1" s="2177"/>
      <c r="E1" s="2177"/>
      <c r="F1" s="2177"/>
      <c r="G1" s="2177"/>
      <c r="H1" s="2177"/>
      <c r="I1" s="2177"/>
      <c r="J1" s="2177"/>
      <c r="K1" s="2177"/>
      <c r="L1" s="2177"/>
    </row>
    <row r="2" spans="1:14" ht="7.5" customHeight="1">
      <c r="A2" s="2178" t="s">
        <v>31</v>
      </c>
      <c r="B2" s="2178"/>
      <c r="C2" s="2178"/>
      <c r="D2" s="2178"/>
      <c r="E2" s="2178"/>
      <c r="F2" s="2178"/>
      <c r="G2" s="2178"/>
      <c r="H2" s="2178"/>
      <c r="I2" s="2178"/>
      <c r="J2" s="2178"/>
      <c r="K2" s="2178"/>
      <c r="L2" s="2178"/>
    </row>
    <row r="3" spans="1:14" ht="27" customHeight="1">
      <c r="D3" s="94"/>
      <c r="E3" s="94"/>
      <c r="F3" s="95"/>
      <c r="G3" s="95"/>
      <c r="I3" s="366" t="s">
        <v>99</v>
      </c>
      <c r="J3" s="302" t="s">
        <v>100</v>
      </c>
      <c r="K3" s="366" t="s">
        <v>35</v>
      </c>
    </row>
    <row r="4" spans="1:14" ht="15" customHeight="1">
      <c r="D4" s="94"/>
      <c r="E4" s="94"/>
      <c r="F4" s="95"/>
      <c r="G4" s="95"/>
      <c r="I4" s="1454" t="s">
        <v>101</v>
      </c>
      <c r="J4" s="2020">
        <v>1140324321.3199999</v>
      </c>
      <c r="K4" s="687">
        <f t="shared" ref="K4:K24" si="0">+J4/$J$25</f>
        <v>0.34693198381500345</v>
      </c>
      <c r="L4" s="173"/>
    </row>
    <row r="5" spans="1:14" ht="15" customHeight="1">
      <c r="D5" s="94"/>
      <c r="E5" s="94"/>
      <c r="F5" s="95"/>
      <c r="G5" s="95"/>
      <c r="I5" s="1454" t="s">
        <v>104</v>
      </c>
      <c r="J5" s="2021">
        <v>550828796.41999996</v>
      </c>
      <c r="K5" s="687">
        <f t="shared" si="0"/>
        <v>0.16758401404892456</v>
      </c>
      <c r="L5" s="173"/>
    </row>
    <row r="6" spans="1:14" ht="15" customHeight="1">
      <c r="D6" s="20"/>
      <c r="E6" s="20"/>
      <c r="I6" s="1454" t="s">
        <v>419</v>
      </c>
      <c r="J6" s="2021">
        <v>515967912.91000003</v>
      </c>
      <c r="K6" s="687">
        <f t="shared" si="0"/>
        <v>0.15697794764522988</v>
      </c>
      <c r="L6" s="173"/>
      <c r="M6" s="727"/>
    </row>
    <row r="7" spans="1:14" ht="15" customHeight="1">
      <c r="D7" s="94"/>
      <c r="E7" s="94"/>
      <c r="I7" s="1454" t="s">
        <v>103</v>
      </c>
      <c r="J7" s="2021">
        <v>375384580.55000001</v>
      </c>
      <c r="K7" s="687">
        <f t="shared" si="0"/>
        <v>0.11420691007714484</v>
      </c>
      <c r="M7" s="727"/>
    </row>
    <row r="8" spans="1:14" ht="15" customHeight="1">
      <c r="D8" s="65"/>
      <c r="E8" s="20"/>
      <c r="F8" s="18"/>
      <c r="I8" s="1454" t="s">
        <v>109</v>
      </c>
      <c r="J8" s="2021">
        <v>144895266.88</v>
      </c>
      <c r="K8" s="687">
        <f t="shared" si="0"/>
        <v>4.4082899438550371E-2</v>
      </c>
      <c r="M8" s="727"/>
    </row>
    <row r="9" spans="1:14" ht="15" customHeight="1">
      <c r="D9" s="94"/>
      <c r="E9" s="20"/>
      <c r="G9" s="94"/>
      <c r="I9" s="1454" t="s">
        <v>105</v>
      </c>
      <c r="J9" s="2021">
        <v>116434462.89</v>
      </c>
      <c r="K9" s="687">
        <f t="shared" si="0"/>
        <v>3.5423991613282815E-2</v>
      </c>
      <c r="M9" s="727"/>
    </row>
    <row r="10" spans="1:14" ht="15" customHeight="1">
      <c r="D10" s="94"/>
      <c r="E10" s="20"/>
      <c r="F10" s="18"/>
      <c r="G10" s="148"/>
      <c r="I10" s="1454" t="s">
        <v>151</v>
      </c>
      <c r="J10" s="2021">
        <v>58316641.649999999</v>
      </c>
      <c r="K10" s="687">
        <f t="shared" si="0"/>
        <v>1.7742240342329452E-2</v>
      </c>
      <c r="M10" s="727"/>
    </row>
    <row r="11" spans="1:14" ht="15" customHeight="1">
      <c r="D11" s="94"/>
      <c r="E11" s="20"/>
      <c r="G11" s="149"/>
      <c r="I11" s="1454" t="s">
        <v>108</v>
      </c>
      <c r="J11" s="2021">
        <v>56383081.530000001</v>
      </c>
      <c r="K11" s="687">
        <f t="shared" si="0"/>
        <v>1.7153974499257135E-2</v>
      </c>
      <c r="M11" s="727"/>
    </row>
    <row r="12" spans="1:14" ht="15" customHeight="1">
      <c r="D12" s="94"/>
      <c r="E12" s="20"/>
      <c r="I12" s="1454" t="s">
        <v>102</v>
      </c>
      <c r="J12" s="2021">
        <v>56320154.850000001</v>
      </c>
      <c r="K12" s="687">
        <f t="shared" si="0"/>
        <v>1.7134829702010312E-2</v>
      </c>
      <c r="M12" s="727"/>
    </row>
    <row r="13" spans="1:14" ht="15" customHeight="1">
      <c r="D13" s="94"/>
      <c r="E13" s="20"/>
      <c r="I13" s="1454" t="s">
        <v>111</v>
      </c>
      <c r="J13" s="2021">
        <v>43116917.909999996</v>
      </c>
      <c r="K13" s="687">
        <f t="shared" si="0"/>
        <v>1.311788022655638E-2</v>
      </c>
      <c r="M13" s="727"/>
    </row>
    <row r="14" spans="1:14" ht="15" customHeight="1">
      <c r="D14" s="94"/>
      <c r="E14" s="20"/>
      <c r="I14" s="1454" t="s">
        <v>189</v>
      </c>
      <c r="J14" s="2021">
        <v>37746099.299999997</v>
      </c>
      <c r="K14" s="687">
        <f t="shared" si="0"/>
        <v>1.1483863727705476E-2</v>
      </c>
      <c r="M14" s="727"/>
    </row>
    <row r="15" spans="1:14" ht="15" customHeight="1">
      <c r="D15" s="94"/>
      <c r="E15" s="20"/>
      <c r="I15" s="1454" t="s">
        <v>418</v>
      </c>
      <c r="J15" s="2021">
        <v>35256894.43</v>
      </c>
      <c r="K15" s="687">
        <f t="shared" si="0"/>
        <v>1.0726548666082121E-2</v>
      </c>
      <c r="M15" s="727"/>
      <c r="N15" s="156"/>
    </row>
    <row r="16" spans="1:14" ht="15" customHeight="1">
      <c r="D16" s="94"/>
      <c r="E16" s="20"/>
      <c r="F16" s="95"/>
      <c r="G16" s="95"/>
      <c r="I16" s="1454" t="s">
        <v>110</v>
      </c>
      <c r="J16" s="2021">
        <v>33833867.939999998</v>
      </c>
      <c r="K16" s="687">
        <f t="shared" si="0"/>
        <v>1.0293607445793563E-2</v>
      </c>
      <c r="M16" s="727"/>
    </row>
    <row r="17" spans="1:13" ht="15" customHeight="1">
      <c r="D17" s="94"/>
      <c r="E17" s="20"/>
      <c r="F17" s="95"/>
      <c r="G17" s="95"/>
      <c r="I17" s="1454" t="s">
        <v>112</v>
      </c>
      <c r="J17" s="2021">
        <v>25720890.359999999</v>
      </c>
      <c r="K17" s="687">
        <f t="shared" si="0"/>
        <v>7.8253171937555273E-3</v>
      </c>
      <c r="M17" s="727"/>
    </row>
    <row r="18" spans="1:13" ht="15" customHeight="1">
      <c r="D18" s="94"/>
      <c r="E18" s="20"/>
      <c r="F18" s="95"/>
      <c r="G18" s="95"/>
      <c r="I18" s="1454" t="s">
        <v>93</v>
      </c>
      <c r="J18" s="2021">
        <v>25142623.120000001</v>
      </c>
      <c r="K18" s="687">
        <f t="shared" si="0"/>
        <v>7.6493853145545325E-3</v>
      </c>
      <c r="M18" s="727"/>
    </row>
    <row r="19" spans="1:13" ht="15" customHeight="1">
      <c r="D19" s="94"/>
      <c r="E19" s="20"/>
      <c r="F19" s="95"/>
      <c r="G19" s="95"/>
      <c r="I19" s="1454" t="s">
        <v>107</v>
      </c>
      <c r="J19" s="2021">
        <v>20702862.210000001</v>
      </c>
      <c r="K19" s="687">
        <f t="shared" si="0"/>
        <v>6.2986335754461244E-3</v>
      </c>
      <c r="M19" s="727"/>
    </row>
    <row r="20" spans="1:13" ht="15" customHeight="1">
      <c r="D20" s="94"/>
      <c r="E20" s="20"/>
      <c r="F20" s="95"/>
      <c r="G20" s="95"/>
      <c r="I20" s="1454" t="s">
        <v>203</v>
      </c>
      <c r="J20" s="2021">
        <v>20373302.309999999</v>
      </c>
      <c r="K20" s="687">
        <f t="shared" si="0"/>
        <v>6.198368354617961E-3</v>
      </c>
      <c r="M20" s="727"/>
    </row>
    <row r="21" spans="1:13" ht="15" customHeight="1">
      <c r="D21" s="94"/>
      <c r="E21" s="20"/>
      <c r="F21" s="95"/>
      <c r="G21" s="95"/>
      <c r="I21" s="1454" t="s">
        <v>191</v>
      </c>
      <c r="J21" s="2021">
        <v>17521844.030000001</v>
      </c>
      <c r="K21" s="687">
        <f t="shared" si="0"/>
        <v>5.3308414069326033E-3</v>
      </c>
      <c r="M21" s="727"/>
    </row>
    <row r="22" spans="1:13" ht="15" customHeight="1">
      <c r="D22" s="94"/>
      <c r="E22" s="20"/>
      <c r="F22" s="95"/>
      <c r="G22" s="95"/>
      <c r="I22" s="1454" t="s">
        <v>190</v>
      </c>
      <c r="J22" s="2021">
        <v>7422015.5999999996</v>
      </c>
      <c r="K22" s="687">
        <f t="shared" si="0"/>
        <v>2.2580721535722819E-3</v>
      </c>
      <c r="M22" s="727"/>
    </row>
    <row r="23" spans="1:13" ht="15" customHeight="1">
      <c r="D23" s="94"/>
      <c r="E23" s="20"/>
      <c r="F23" s="95"/>
      <c r="G23" s="95"/>
      <c r="I23" s="1454" t="s">
        <v>113</v>
      </c>
      <c r="J23" s="2021">
        <v>3173415.12</v>
      </c>
      <c r="K23" s="687">
        <f t="shared" si="0"/>
        <v>9.6547901545737007E-4</v>
      </c>
      <c r="M23" s="727"/>
    </row>
    <row r="24" spans="1:13" ht="15" customHeight="1">
      <c r="D24" s="94"/>
      <c r="E24" s="20"/>
      <c r="F24" s="95"/>
      <c r="G24" s="95"/>
      <c r="I24" s="1454" t="s">
        <v>114</v>
      </c>
      <c r="J24" s="2021">
        <v>2015554.32</v>
      </c>
      <c r="K24" s="687">
        <f t="shared" si="0"/>
        <v>6.1321173779321032E-4</v>
      </c>
      <c r="M24" s="727"/>
    </row>
    <row r="25" spans="1:13" s="879" customFormat="1" ht="20.25" customHeight="1">
      <c r="D25" s="163"/>
      <c r="E25" s="199"/>
      <c r="F25" s="1196"/>
      <c r="G25" s="1196"/>
      <c r="I25" s="366" t="s">
        <v>23</v>
      </c>
      <c r="J25" s="1197">
        <f>SUM(J4:J24)</f>
        <v>3286881505.6500001</v>
      </c>
      <c r="K25" s="1198">
        <f>SUM(K4:K24)</f>
        <v>1</v>
      </c>
      <c r="M25" s="727"/>
    </row>
    <row r="26" spans="1:13">
      <c r="D26" s="94"/>
      <c r="E26" s="20"/>
      <c r="F26" s="95"/>
      <c r="G26" s="95"/>
      <c r="I26" s="94"/>
      <c r="J26" s="94"/>
      <c r="K26" s="94"/>
      <c r="L26" s="94"/>
    </row>
    <row r="27" spans="1:13" s="94" customFormat="1" ht="15" customHeight="1">
      <c r="A27" s="31"/>
      <c r="B27" s="77"/>
      <c r="C27" s="31"/>
      <c r="D27" s="32"/>
      <c r="E27" s="33"/>
      <c r="F27" s="95"/>
      <c r="G27" s="95"/>
      <c r="H27" s="95"/>
      <c r="I27" s="77"/>
      <c r="J27" s="77"/>
      <c r="K27" s="77"/>
      <c r="L27" s="77"/>
      <c r="M27" s="77"/>
    </row>
    <row r="36" spans="9:11" ht="15" customHeight="1">
      <c r="I36" s="94"/>
      <c r="J36" s="94"/>
      <c r="K36" s="94"/>
    </row>
    <row r="46" spans="9:11" ht="15" customHeight="1">
      <c r="I46" s="95"/>
      <c r="J46" s="95"/>
      <c r="K46" s="95"/>
    </row>
    <row r="60" spans="1:1" ht="15" customHeight="1">
      <c r="A60" s="50" t="s">
        <v>31</v>
      </c>
    </row>
  </sheetData>
  <sortState ref="I4:K24">
    <sortCondition descending="1" ref="J4:J24"/>
  </sortState>
  <mergeCells count="2">
    <mergeCell ref="A1:L1"/>
    <mergeCell ref="A2:L2"/>
  </mergeCells>
  <printOptions horizontalCentered="1" verticalCentered="1"/>
  <pageMargins left="0.39370078740157499" right="0.39370078740157499" top="0.23622047244094499" bottom="0.23622047244094499" header="0.31496062992126" footer="0.31496062992126"/>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M51"/>
  <sheetViews>
    <sheetView showGridLines="0" view="pageBreakPreview" zoomScale="70" zoomScaleNormal="85" zoomScaleSheetLayoutView="70" workbookViewId="0">
      <selection activeCell="B9" sqref="B9"/>
    </sheetView>
  </sheetViews>
  <sheetFormatPr baseColWidth="10" defaultColWidth="11.42578125" defaultRowHeight="15"/>
  <cols>
    <col min="1" max="1" width="66.140625" style="76" customWidth="1"/>
    <col min="2" max="2" width="23.5703125" style="76" customWidth="1"/>
    <col min="3" max="3" width="15.85546875" style="76" customWidth="1"/>
    <col min="4" max="5" width="12" style="76" customWidth="1"/>
    <col min="6" max="6" width="12.42578125" style="76" customWidth="1"/>
    <col min="7" max="8" width="12.28515625" style="76" customWidth="1"/>
    <col min="9" max="10" width="10.7109375" style="76" customWidth="1"/>
    <col min="11" max="16384" width="11.42578125" style="76"/>
  </cols>
  <sheetData>
    <row r="1" spans="1:13" ht="79.5" customHeight="1">
      <c r="A1" s="2179"/>
      <c r="B1" s="2179"/>
      <c r="C1" s="2179"/>
      <c r="D1" s="2179"/>
      <c r="E1" s="2179"/>
      <c r="F1" s="2179"/>
      <c r="G1" s="2179"/>
      <c r="H1" s="2179"/>
      <c r="I1" s="2179"/>
      <c r="J1" s="2179"/>
      <c r="K1" s="1458"/>
      <c r="L1" s="1458"/>
      <c r="M1" s="1459"/>
    </row>
    <row r="2" spans="1:13" ht="9.75" customHeight="1">
      <c r="K2" s="1458"/>
      <c r="L2" s="1458"/>
      <c r="M2" s="1459"/>
    </row>
    <row r="3" spans="1:13" ht="25.5" customHeight="1">
      <c r="A3" s="1891" t="s">
        <v>646</v>
      </c>
      <c r="B3" s="1892" t="s">
        <v>199</v>
      </c>
      <c r="C3" s="1893" t="s">
        <v>35</v>
      </c>
      <c r="I3" s="77"/>
      <c r="J3" s="114"/>
      <c r="K3" s="1459"/>
      <c r="L3" s="1459"/>
      <c r="M3" s="1459"/>
    </row>
    <row r="4" spans="1:13" ht="18.75">
      <c r="A4" s="686" t="s">
        <v>576</v>
      </c>
      <c r="B4" s="1455">
        <v>3868741907.7800002</v>
      </c>
      <c r="C4" s="744">
        <f>+B4/$B$9</f>
        <v>0.60419682157407273</v>
      </c>
      <c r="I4" s="77"/>
      <c r="J4" s="114"/>
      <c r="K4" s="1460"/>
      <c r="L4" s="1460"/>
      <c r="M4" s="1459"/>
    </row>
    <row r="5" spans="1:13" ht="18.75">
      <c r="A5" s="686" t="s">
        <v>577</v>
      </c>
      <c r="B5" s="1455">
        <v>800000000</v>
      </c>
      <c r="C5" s="744">
        <f>+B5/$B$9</f>
        <v>0.1249391840503062</v>
      </c>
      <c r="D5" s="114"/>
      <c r="I5" s="77"/>
      <c r="J5" s="114"/>
      <c r="K5" s="1460"/>
      <c r="L5" s="1460"/>
      <c r="M5" s="1459"/>
    </row>
    <row r="6" spans="1:13" s="1459" customFormat="1" ht="18.75">
      <c r="A6" s="686" t="s">
        <v>977</v>
      </c>
      <c r="B6" s="1460">
        <v>30000000</v>
      </c>
      <c r="C6" s="744">
        <f t="shared" ref="C6:C8" si="0">+B6/$B$9</f>
        <v>4.6852194018864824E-3</v>
      </c>
      <c r="D6" s="114"/>
      <c r="I6" s="1458"/>
      <c r="J6" s="114"/>
      <c r="K6" s="1460"/>
      <c r="L6" s="1460"/>
    </row>
    <row r="7" spans="1:13" s="1459" customFormat="1" ht="18.75">
      <c r="A7" s="686" t="s">
        <v>972</v>
      </c>
      <c r="B7" s="1460">
        <v>20000000</v>
      </c>
      <c r="C7" s="744">
        <f t="shared" si="0"/>
        <v>3.123479601257655E-3</v>
      </c>
      <c r="D7" s="114"/>
      <c r="I7" s="1458"/>
      <c r="J7" s="114"/>
      <c r="K7" s="1460"/>
      <c r="L7" s="1460"/>
    </row>
    <row r="8" spans="1:13" ht="18.75">
      <c r="A8" s="686" t="s">
        <v>578</v>
      </c>
      <c r="B8" s="1455">
        <v>1684373384.52</v>
      </c>
      <c r="C8" s="744">
        <f t="shared" si="0"/>
        <v>0.26305529537247679</v>
      </c>
      <c r="D8" s="114"/>
      <c r="E8" s="114"/>
      <c r="I8" s="114"/>
      <c r="J8" s="114"/>
      <c r="K8" s="1455"/>
      <c r="L8" s="1455"/>
    </row>
    <row r="9" spans="1:13" ht="18.75">
      <c r="A9" s="477" t="s">
        <v>23</v>
      </c>
      <c r="B9" s="893">
        <f>SUM(B4:B8)</f>
        <v>6403115292.3000011</v>
      </c>
      <c r="C9" s="894">
        <f>SUM(C4:C8)</f>
        <v>1</v>
      </c>
      <c r="D9" s="114"/>
      <c r="E9" s="114"/>
      <c r="I9" s="114"/>
      <c r="J9" s="114"/>
      <c r="K9" s="1455"/>
      <c r="L9" s="1455"/>
    </row>
    <row r="10" spans="1:13" ht="15.75">
      <c r="A10" s="1231" t="s">
        <v>726</v>
      </c>
      <c r="B10" s="114"/>
      <c r="C10" s="114"/>
      <c r="D10" s="114"/>
      <c r="E10" s="114"/>
      <c r="F10" s="114"/>
      <c r="G10" s="114"/>
      <c r="H10" s="114"/>
      <c r="I10" s="114"/>
      <c r="J10" s="114"/>
    </row>
    <row r="11" spans="1:13">
      <c r="B11" s="114"/>
      <c r="C11" s="114"/>
      <c r="D11" s="114"/>
      <c r="E11" s="114"/>
      <c r="F11" s="114"/>
      <c r="G11" s="114"/>
      <c r="H11" s="114"/>
      <c r="I11" s="114"/>
      <c r="J11" s="114"/>
    </row>
    <row r="12" spans="1:13">
      <c r="B12" s="114"/>
      <c r="C12" s="114"/>
      <c r="D12" s="114"/>
      <c r="E12" s="114"/>
      <c r="F12" s="114"/>
      <c r="G12" s="114"/>
      <c r="H12" s="114"/>
      <c r="I12" s="114"/>
      <c r="J12" s="114"/>
    </row>
    <row r="13" spans="1:13">
      <c r="B13" s="114"/>
      <c r="C13" s="114"/>
      <c r="D13" s="114"/>
      <c r="E13" s="114"/>
      <c r="F13" s="114"/>
      <c r="G13" s="114"/>
      <c r="H13" s="114"/>
      <c r="I13" s="114"/>
      <c r="J13" s="114"/>
    </row>
    <row r="14" spans="1:13">
      <c r="B14" s="114"/>
      <c r="C14" s="114"/>
      <c r="D14" s="114"/>
      <c r="E14" s="114"/>
      <c r="F14" s="114"/>
      <c r="G14" s="114"/>
      <c r="H14" s="114"/>
      <c r="I14" s="114"/>
      <c r="J14" s="114"/>
    </row>
    <row r="15" spans="1:13">
      <c r="B15" s="114"/>
      <c r="C15" s="114"/>
      <c r="D15" s="114"/>
      <c r="E15" s="114"/>
      <c r="F15" s="114"/>
      <c r="G15" s="114"/>
      <c r="H15" s="114"/>
      <c r="I15" s="114"/>
      <c r="J15" s="114"/>
    </row>
    <row r="16" spans="1:13">
      <c r="B16" s="114"/>
      <c r="C16" s="114"/>
      <c r="D16" s="114"/>
      <c r="E16" s="114"/>
      <c r="F16" s="114"/>
      <c r="G16" s="114"/>
      <c r="H16" s="114"/>
      <c r="I16" s="114"/>
      <c r="J16" s="114"/>
    </row>
    <row r="17" spans="2:13">
      <c r="B17" s="114"/>
      <c r="C17" s="114"/>
      <c r="D17" s="114"/>
      <c r="E17" s="114"/>
      <c r="F17" s="114"/>
      <c r="G17" s="114"/>
      <c r="H17" s="114"/>
      <c r="I17" s="114"/>
      <c r="J17" s="114"/>
    </row>
    <row r="18" spans="2:13">
      <c r="B18" s="114"/>
      <c r="C18" s="114"/>
      <c r="D18" s="114"/>
      <c r="E18" s="114"/>
      <c r="F18" s="114"/>
      <c r="G18" s="114"/>
      <c r="H18" s="114"/>
      <c r="I18" s="114"/>
      <c r="J18" s="114"/>
    </row>
    <row r="19" spans="2:13">
      <c r="B19" s="114"/>
      <c r="C19" s="114"/>
      <c r="D19" s="114"/>
      <c r="E19" s="114"/>
      <c r="F19" s="114"/>
      <c r="G19" s="114"/>
      <c r="H19" s="114"/>
      <c r="I19" s="114"/>
      <c r="J19" s="114"/>
    </row>
    <row r="20" spans="2:13">
      <c r="B20" s="114"/>
      <c r="C20" s="114"/>
      <c r="D20" s="114"/>
      <c r="E20" s="114"/>
      <c r="F20" s="114"/>
      <c r="G20" s="114"/>
      <c r="H20" s="114"/>
      <c r="I20" s="114"/>
      <c r="J20" s="114"/>
    </row>
    <row r="21" spans="2:13">
      <c r="B21" s="114"/>
      <c r="C21" s="114"/>
      <c r="D21" s="114"/>
      <c r="E21" s="114"/>
      <c r="F21" s="114"/>
      <c r="G21" s="114"/>
      <c r="H21" s="114"/>
      <c r="I21" s="114"/>
      <c r="J21" s="114"/>
    </row>
    <row r="22" spans="2:13">
      <c r="B22" s="114"/>
      <c r="C22" s="114"/>
      <c r="D22" s="114"/>
      <c r="E22" s="114"/>
      <c r="F22" s="114"/>
      <c r="G22" s="114"/>
      <c r="H22" s="114"/>
      <c r="I22" s="114"/>
      <c r="J22" s="114"/>
    </row>
    <row r="23" spans="2:13">
      <c r="B23" s="114"/>
      <c r="C23" s="114"/>
      <c r="D23" s="114"/>
      <c r="E23" s="114"/>
      <c r="F23" s="114"/>
      <c r="G23" s="114"/>
      <c r="H23" s="114"/>
      <c r="I23" s="114"/>
      <c r="J23" s="114"/>
    </row>
    <row r="24" spans="2:13">
      <c r="E24" s="114"/>
      <c r="F24" s="114"/>
      <c r="G24" s="114"/>
      <c r="H24" s="114"/>
      <c r="I24" s="114"/>
      <c r="J24" s="114"/>
      <c r="K24" s="114"/>
      <c r="L24" s="114"/>
      <c r="M24" s="114"/>
    </row>
    <row r="25" spans="2:13">
      <c r="E25" s="114"/>
      <c r="F25" s="114"/>
      <c r="G25" s="114"/>
      <c r="H25" s="114"/>
      <c r="I25" s="114"/>
      <c r="J25" s="114"/>
      <c r="K25" s="114"/>
      <c r="L25" s="114"/>
      <c r="M25" s="114"/>
    </row>
    <row r="26" spans="2:13">
      <c r="E26" s="114"/>
      <c r="F26" s="114"/>
      <c r="G26" s="114"/>
      <c r="H26" s="114"/>
      <c r="I26" s="114"/>
      <c r="J26" s="114"/>
      <c r="K26" s="114"/>
      <c r="L26" s="114"/>
      <c r="M26" s="114"/>
    </row>
    <row r="27" spans="2:13">
      <c r="E27" s="114"/>
      <c r="F27" s="114"/>
      <c r="G27" s="114"/>
      <c r="H27" s="114"/>
      <c r="I27" s="114"/>
      <c r="J27" s="114"/>
      <c r="K27" s="114"/>
      <c r="L27" s="114"/>
      <c r="M27" s="114"/>
    </row>
    <row r="28" spans="2:13">
      <c r="E28" s="114"/>
      <c r="F28" s="114"/>
      <c r="G28" s="114"/>
      <c r="H28" s="114"/>
      <c r="I28" s="114"/>
      <c r="J28" s="114"/>
      <c r="K28" s="114"/>
      <c r="L28" s="114"/>
      <c r="M28" s="114"/>
    </row>
    <row r="29" spans="2:13">
      <c r="E29" s="114"/>
      <c r="F29" s="114"/>
      <c r="G29" s="114"/>
      <c r="H29" s="114"/>
      <c r="I29" s="114"/>
      <c r="J29" s="114"/>
      <c r="K29" s="114"/>
      <c r="L29" s="114"/>
      <c r="M29" s="114"/>
    </row>
    <row r="30" spans="2:13">
      <c r="B30" s="114"/>
      <c r="C30" s="114"/>
      <c r="D30" s="114"/>
      <c r="E30" s="114"/>
      <c r="F30" s="114"/>
      <c r="G30" s="114"/>
      <c r="H30" s="114"/>
      <c r="I30" s="114"/>
      <c r="J30" s="114"/>
    </row>
    <row r="31" spans="2:13" ht="28.5">
      <c r="B31" s="114"/>
      <c r="C31" s="114"/>
      <c r="D31" s="115"/>
      <c r="E31" s="114"/>
      <c r="F31" s="114"/>
      <c r="G31" s="114"/>
      <c r="H31" s="114"/>
      <c r="I31" s="114"/>
      <c r="J31" s="114"/>
    </row>
    <row r="32" spans="2:13">
      <c r="B32" s="114"/>
      <c r="C32" s="114"/>
      <c r="D32" s="114"/>
      <c r="E32" s="114"/>
      <c r="F32" s="114"/>
      <c r="G32" s="114"/>
      <c r="H32" s="114"/>
      <c r="I32" s="114"/>
      <c r="J32" s="114"/>
    </row>
    <row r="33" spans="2:10">
      <c r="B33" s="114"/>
      <c r="F33" s="114"/>
      <c r="G33" s="114"/>
      <c r="H33" s="114"/>
      <c r="I33" s="114"/>
      <c r="J33" s="114"/>
    </row>
    <row r="34" spans="2:10">
      <c r="B34" s="114"/>
      <c r="F34" s="114"/>
      <c r="G34" s="114"/>
      <c r="H34" s="114"/>
      <c r="I34" s="114"/>
      <c r="J34" s="114"/>
    </row>
    <row r="35" spans="2:10">
      <c r="B35" s="114"/>
      <c r="F35" s="114"/>
      <c r="G35" s="114"/>
      <c r="H35" s="114"/>
      <c r="I35" s="114"/>
      <c r="J35" s="114"/>
    </row>
    <row r="36" spans="2:10">
      <c r="B36" s="114"/>
      <c r="F36" s="114"/>
      <c r="G36" s="114"/>
      <c r="H36" s="114"/>
      <c r="I36" s="114"/>
      <c r="J36" s="114"/>
    </row>
    <row r="37" spans="2:10">
      <c r="B37" s="114"/>
      <c r="F37" s="114"/>
      <c r="G37" s="114"/>
      <c r="H37" s="114"/>
      <c r="I37" s="114"/>
      <c r="J37" s="114"/>
    </row>
    <row r="38" spans="2:10">
      <c r="B38" s="114"/>
      <c r="F38" s="114"/>
      <c r="G38" s="114"/>
      <c r="H38" s="114"/>
      <c r="I38" s="114"/>
      <c r="J38" s="114"/>
    </row>
    <row r="39" spans="2:10">
      <c r="B39" s="114"/>
      <c r="F39" s="114"/>
      <c r="G39" s="114"/>
      <c r="H39" s="114"/>
      <c r="I39" s="114"/>
      <c r="J39" s="114"/>
    </row>
    <row r="40" spans="2:10">
      <c r="B40" s="114"/>
      <c r="C40" s="114"/>
      <c r="D40" s="114"/>
      <c r="E40" s="114"/>
    </row>
    <row r="41" spans="2:10">
      <c r="B41" s="114"/>
      <c r="C41" s="114"/>
      <c r="D41" s="114"/>
      <c r="E41" s="114"/>
    </row>
    <row r="42" spans="2:10">
      <c r="B42" s="114"/>
      <c r="C42" s="114"/>
      <c r="D42" s="114"/>
      <c r="E42" s="114"/>
    </row>
    <row r="43" spans="2:10">
      <c r="B43" s="114"/>
      <c r="C43" s="114"/>
      <c r="D43" s="114"/>
      <c r="E43" s="114"/>
    </row>
    <row r="44" spans="2:10">
      <c r="B44" s="114"/>
      <c r="C44" s="114"/>
      <c r="D44" s="114"/>
      <c r="E44" s="114"/>
    </row>
    <row r="45" spans="2:10">
      <c r="B45" s="114"/>
      <c r="C45" s="114"/>
      <c r="D45" s="114"/>
      <c r="E45" s="114"/>
    </row>
    <row r="46" spans="2:10">
      <c r="B46" s="114"/>
      <c r="C46" s="114"/>
      <c r="D46" s="114"/>
      <c r="E46" s="114"/>
    </row>
    <row r="47" spans="2:10">
      <c r="B47" s="114"/>
      <c r="C47" s="114"/>
      <c r="D47" s="114"/>
      <c r="E47" s="114"/>
    </row>
    <row r="48" spans="2:10">
      <c r="B48" s="114"/>
      <c r="C48" s="114"/>
      <c r="D48" s="114"/>
      <c r="E48" s="114"/>
    </row>
    <row r="49" spans="2:5">
      <c r="B49" s="114"/>
      <c r="C49" s="114"/>
      <c r="D49" s="114"/>
      <c r="E49" s="114"/>
    </row>
    <row r="50" spans="2:5">
      <c r="B50" s="114"/>
      <c r="C50" s="114"/>
      <c r="D50" s="114"/>
      <c r="E50" s="114"/>
    </row>
    <row r="51" spans="2:5">
      <c r="B51" s="114"/>
      <c r="C51" s="114"/>
      <c r="D51" s="114"/>
      <c r="E51" s="114"/>
    </row>
  </sheetData>
  <mergeCells count="1">
    <mergeCell ref="A1:J1"/>
  </mergeCells>
  <pageMargins left="0.70866141732283472" right="0.70866141732283472" top="0.74803149606299213" bottom="0.74803149606299213" header="0.31496062992125984" footer="0.31496062992125984"/>
  <pageSetup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6" sqref="Q6"/>
    </sheetView>
  </sheetViews>
  <sheetFormatPr baseColWidth="10" defaultColWidth="11.42578125" defaultRowHeight="15"/>
  <cols>
    <col min="1" max="6" width="11.42578125" style="77"/>
    <col min="7" max="7" width="13.42578125" style="77" customWidth="1"/>
    <col min="8" max="10" width="11.42578125" style="77"/>
    <col min="11" max="12" width="15.5703125" style="77" customWidth="1"/>
    <col min="13" max="13" width="13.140625" style="77" customWidth="1"/>
    <col min="14" max="16384" width="11.42578125" style="7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Q70"/>
  <sheetViews>
    <sheetView showGridLines="0" view="pageBreakPreview" zoomScale="70" zoomScaleNormal="85" zoomScaleSheetLayoutView="70" workbookViewId="0">
      <selection activeCell="F4" sqref="F4"/>
    </sheetView>
  </sheetViews>
  <sheetFormatPr baseColWidth="10" defaultColWidth="11.42578125" defaultRowHeight="15"/>
  <cols>
    <col min="1" max="1" width="29.5703125" style="76" customWidth="1"/>
    <col min="2" max="2" width="25.42578125" style="76" customWidth="1"/>
    <col min="3" max="3" width="18.85546875" style="76" customWidth="1"/>
    <col min="4" max="5" width="12" style="76" customWidth="1"/>
    <col min="6" max="6" width="14" style="76" customWidth="1"/>
    <col min="7" max="7" width="11.7109375" style="76" customWidth="1"/>
    <col min="8" max="8" width="16.5703125" style="76" customWidth="1"/>
    <col min="9" max="9" width="14.7109375" style="76" customWidth="1"/>
    <col min="10" max="10" width="19.28515625" style="76" customWidth="1"/>
    <col min="11" max="11" width="9.85546875" style="76" customWidth="1"/>
    <col min="12" max="12" width="18.7109375" style="76" customWidth="1"/>
    <col min="13" max="13" width="15.140625" style="76" bestFit="1" customWidth="1"/>
    <col min="14" max="16384" width="11.42578125" style="76"/>
  </cols>
  <sheetData>
    <row r="1" spans="1:16" ht="78" customHeight="1">
      <c r="A1" s="2180"/>
      <c r="B1" s="2180"/>
      <c r="C1" s="2180"/>
      <c r="D1" s="2180"/>
      <c r="E1" s="2180"/>
      <c r="F1" s="2180"/>
      <c r="G1" s="2180"/>
      <c r="H1" s="2180"/>
      <c r="I1" s="2180"/>
      <c r="J1" s="2180"/>
      <c r="K1" s="2180"/>
      <c r="L1"/>
      <c r="M1"/>
      <c r="N1"/>
      <c r="O1"/>
      <c r="P1"/>
    </row>
    <row r="2" spans="1:16" ht="18.75">
      <c r="A2" s="476" t="s">
        <v>169</v>
      </c>
      <c r="B2" s="825" t="s">
        <v>199</v>
      </c>
      <c r="C2" s="476" t="s">
        <v>35</v>
      </c>
      <c r="F2"/>
      <c r="G2"/>
      <c r="H2"/>
      <c r="I2"/>
      <c r="J2" s="114"/>
      <c r="K2" s="114"/>
    </row>
    <row r="3" spans="1:16" ht="18.75">
      <c r="A3" s="478" t="s">
        <v>36</v>
      </c>
      <c r="B3" s="1471">
        <f>+'IV.2.6.INV_SFS x Entidad'!B9</f>
        <v>6403115292.3000011</v>
      </c>
      <c r="C3" s="1232">
        <f>+B3/$B$6</f>
        <v>0.85627048093852709</v>
      </c>
      <c r="F3" s="77"/>
      <c r="G3"/>
      <c r="H3"/>
      <c r="I3"/>
      <c r="J3" s="114"/>
      <c r="K3" s="114"/>
    </row>
    <row r="4" spans="1:16" ht="18.75">
      <c r="A4" s="478" t="s">
        <v>98</v>
      </c>
      <c r="B4" s="1471">
        <v>927135368.63</v>
      </c>
      <c r="C4" s="1232">
        <f>+B4/$B$6</f>
        <v>0.12398318814383978</v>
      </c>
      <c r="F4"/>
      <c r="G4"/>
      <c r="H4"/>
      <c r="I4"/>
      <c r="J4" s="114"/>
      <c r="K4" s="114"/>
    </row>
    <row r="5" spans="1:16" ht="18" customHeight="1">
      <c r="A5" s="478" t="s">
        <v>440</v>
      </c>
      <c r="B5" s="1471">
        <v>147661324.63999999</v>
      </c>
      <c r="C5" s="1232">
        <f>+B5/$B$6</f>
        <v>1.974633091763309E-2</v>
      </c>
      <c r="F5" s="77"/>
      <c r="G5" s="77"/>
      <c r="H5" s="77"/>
      <c r="I5" s="77"/>
      <c r="J5" s="114"/>
      <c r="K5" s="114"/>
    </row>
    <row r="6" spans="1:16" ht="18.75">
      <c r="A6" s="477" t="s">
        <v>23</v>
      </c>
      <c r="B6" s="826">
        <f>+B4+B3+B5</f>
        <v>7477911985.5700016</v>
      </c>
      <c r="C6" s="827">
        <f>SUM(C3:C5)</f>
        <v>1</v>
      </c>
      <c r="F6"/>
      <c r="G6"/>
      <c r="H6"/>
      <c r="I6"/>
      <c r="J6" s="114"/>
      <c r="K6" s="116"/>
      <c r="M6" s="117"/>
    </row>
    <row r="7" spans="1:16">
      <c r="A7" s="114"/>
      <c r="B7" s="114"/>
      <c r="C7" s="114"/>
      <c r="D7" s="114"/>
      <c r="F7"/>
      <c r="G7"/>
      <c r="H7"/>
      <c r="I7"/>
      <c r="J7" s="114"/>
      <c r="K7" s="114"/>
    </row>
    <row r="8" spans="1:16">
      <c r="A8" s="114"/>
      <c r="B8" s="114"/>
      <c r="C8" s="114"/>
      <c r="D8" s="114"/>
      <c r="E8" s="114"/>
      <c r="F8"/>
      <c r="G8"/>
      <c r="H8"/>
      <c r="I8"/>
      <c r="J8" s="114"/>
      <c r="K8" s="114"/>
    </row>
    <row r="9" spans="1:16">
      <c r="B9" s="114"/>
      <c r="C9" s="114"/>
      <c r="D9" s="114"/>
      <c r="E9" s="114"/>
      <c r="F9"/>
      <c r="G9"/>
      <c r="H9"/>
      <c r="I9"/>
      <c r="J9" s="114"/>
      <c r="K9" s="114"/>
    </row>
    <row r="10" spans="1:16">
      <c r="B10" s="114"/>
      <c r="C10" s="114"/>
      <c r="D10" s="114"/>
      <c r="E10" s="114"/>
      <c r="F10"/>
      <c r="G10"/>
      <c r="H10"/>
      <c r="I10"/>
      <c r="J10" s="114"/>
      <c r="K10" s="114"/>
    </row>
    <row r="11" spans="1:16">
      <c r="B11" s="114"/>
      <c r="C11" s="114"/>
      <c r="D11" s="114"/>
      <c r="E11" s="114"/>
      <c r="F11"/>
      <c r="G11"/>
      <c r="H11"/>
      <c r="I11"/>
      <c r="J11" s="114"/>
      <c r="K11" s="114"/>
    </row>
    <row r="12" spans="1:16">
      <c r="B12" s="114"/>
      <c r="C12" s="114"/>
      <c r="D12" s="114"/>
      <c r="E12" s="114"/>
      <c r="F12"/>
      <c r="G12"/>
      <c r="H12"/>
      <c r="I12"/>
      <c r="J12" s="114"/>
      <c r="K12" s="114"/>
    </row>
    <row r="13" spans="1:16">
      <c r="B13" s="114"/>
      <c r="C13" s="114"/>
      <c r="D13" s="114"/>
      <c r="E13" s="114"/>
      <c r="F13"/>
      <c r="G13"/>
      <c r="H13"/>
      <c r="I13"/>
      <c r="J13" s="114"/>
      <c r="K13" s="114"/>
    </row>
    <row r="14" spans="1:16">
      <c r="B14" s="114"/>
      <c r="C14" s="114"/>
      <c r="D14" s="114"/>
      <c r="E14" s="114"/>
      <c r="F14" s="114"/>
      <c r="G14" s="114"/>
      <c r="H14" s="114"/>
      <c r="I14" s="114"/>
      <c r="J14" s="114"/>
      <c r="K14" s="114"/>
    </row>
    <row r="15" spans="1:16">
      <c r="B15" s="114"/>
      <c r="C15" s="114"/>
      <c r="D15" s="114"/>
      <c r="E15" s="114"/>
      <c r="F15" s="114"/>
      <c r="G15" s="114"/>
      <c r="H15" s="114"/>
      <c r="I15" s="114"/>
      <c r="J15" s="114"/>
      <c r="K15" s="114"/>
    </row>
    <row r="16" spans="1:16">
      <c r="B16" s="114"/>
      <c r="C16" s="114"/>
      <c r="D16" s="114"/>
      <c r="E16" s="114"/>
      <c r="F16" s="114"/>
      <c r="G16" s="114"/>
      <c r="H16" s="114"/>
      <c r="I16" s="114"/>
      <c r="J16" s="114"/>
      <c r="K16" s="114"/>
    </row>
    <row r="17" spans="2:17">
      <c r="B17" s="114"/>
      <c r="C17" s="114"/>
      <c r="D17" s="114"/>
      <c r="E17" s="114"/>
      <c r="F17" s="114"/>
      <c r="G17" s="114"/>
      <c r="H17" s="114"/>
      <c r="I17" s="114"/>
      <c r="J17" s="114"/>
      <c r="K17" s="114"/>
    </row>
    <row r="18" spans="2:17">
      <c r="B18" s="114"/>
      <c r="C18" s="114"/>
      <c r="D18" s="114"/>
      <c r="E18" s="114"/>
      <c r="F18" s="114"/>
      <c r="G18" s="114"/>
      <c r="H18" s="114"/>
      <c r="I18" s="114"/>
      <c r="J18" s="114"/>
      <c r="K18" s="114"/>
    </row>
    <row r="19" spans="2:17">
      <c r="B19" s="114"/>
      <c r="C19" s="114"/>
      <c r="D19" s="114"/>
      <c r="E19" s="114"/>
      <c r="F19" s="114"/>
      <c r="G19" s="114"/>
      <c r="H19" s="114"/>
      <c r="I19" s="114"/>
      <c r="J19" s="114"/>
      <c r="K19" s="114"/>
    </row>
    <row r="20" spans="2:17">
      <c r="B20" s="114"/>
      <c r="C20" s="114"/>
      <c r="D20" s="114"/>
      <c r="E20" s="114"/>
      <c r="F20" s="114"/>
      <c r="G20" s="114"/>
      <c r="H20" s="114"/>
      <c r="I20" s="114"/>
      <c r="J20" s="114"/>
      <c r="K20" s="114"/>
    </row>
    <row r="21" spans="2:17">
      <c r="B21" s="114"/>
      <c r="C21" s="114"/>
      <c r="D21" s="114"/>
      <c r="E21" s="114"/>
      <c r="F21" s="114"/>
      <c r="G21" s="114"/>
      <c r="H21" s="114"/>
      <c r="I21" s="114"/>
      <c r="J21" s="114"/>
      <c r="K21" s="114"/>
    </row>
    <row r="22" spans="2:17">
      <c r="B22" s="114"/>
      <c r="C22" s="114"/>
      <c r="D22" s="114"/>
      <c r="E22" s="114"/>
      <c r="F22" s="114"/>
      <c r="G22" s="114"/>
      <c r="H22" s="114"/>
      <c r="I22" s="114"/>
      <c r="J22" s="114"/>
      <c r="K22" s="114"/>
    </row>
    <row r="23" spans="2:17">
      <c r="B23" s="114"/>
      <c r="C23" s="114"/>
      <c r="D23" s="114"/>
      <c r="E23" s="114"/>
      <c r="F23" s="114"/>
      <c r="G23" s="114"/>
      <c r="H23" s="114"/>
      <c r="I23" s="114"/>
      <c r="J23" s="114"/>
      <c r="K23" s="114"/>
    </row>
    <row r="24" spans="2:17">
      <c r="B24" s="114"/>
      <c r="C24" s="114"/>
      <c r="D24" s="114"/>
      <c r="E24" s="114"/>
      <c r="F24" s="114"/>
      <c r="G24" s="114"/>
      <c r="H24" s="114"/>
      <c r="I24" s="114"/>
      <c r="J24" s="114"/>
      <c r="K24" s="114"/>
    </row>
    <row r="25" spans="2:17">
      <c r="B25" s="114"/>
      <c r="C25" s="114"/>
      <c r="D25" s="114"/>
      <c r="E25" s="114"/>
      <c r="F25" s="114"/>
      <c r="G25" s="114"/>
      <c r="H25" s="114"/>
      <c r="I25" s="114"/>
      <c r="J25" s="114"/>
      <c r="K25" s="114"/>
    </row>
    <row r="26" spans="2:17">
      <c r="E26" s="114"/>
      <c r="F26" s="114"/>
      <c r="G26" s="114"/>
      <c r="H26" s="114"/>
      <c r="I26" s="114"/>
      <c r="J26" s="114"/>
      <c r="K26" s="114"/>
      <c r="N26" s="114"/>
      <c r="O26" s="114"/>
      <c r="P26" s="114"/>
      <c r="Q26" s="114"/>
    </row>
    <row r="27" spans="2:17">
      <c r="E27" s="114"/>
      <c r="F27" s="114"/>
      <c r="G27" s="114"/>
      <c r="H27" s="114"/>
      <c r="I27" s="114"/>
      <c r="J27" s="114"/>
      <c r="K27" s="114"/>
      <c r="N27" s="114"/>
      <c r="O27" s="114"/>
      <c r="P27" s="114"/>
      <c r="Q27" s="114"/>
    </row>
    <row r="28" spans="2:17">
      <c r="E28" s="114"/>
      <c r="F28" s="114"/>
      <c r="G28" s="114"/>
      <c r="H28" s="114"/>
      <c r="I28" s="114"/>
      <c r="J28" s="114"/>
      <c r="K28" s="114"/>
      <c r="N28" s="114"/>
      <c r="O28" s="114"/>
      <c r="P28" s="114"/>
      <c r="Q28" s="114"/>
    </row>
    <row r="29" spans="2:17">
      <c r="E29" s="114"/>
      <c r="F29" s="114"/>
      <c r="G29" s="114"/>
      <c r="H29" s="114"/>
      <c r="I29" s="114"/>
      <c r="J29" s="114"/>
      <c r="K29" s="114"/>
      <c r="N29" s="114"/>
      <c r="O29" s="114"/>
      <c r="P29" s="114"/>
      <c r="Q29" s="114"/>
    </row>
    <row r="30" spans="2:17">
      <c r="E30" s="114"/>
      <c r="F30" s="114"/>
      <c r="G30" s="114"/>
      <c r="H30" s="114"/>
      <c r="I30" s="114"/>
      <c r="J30" s="114"/>
      <c r="K30" s="114"/>
      <c r="N30" s="114"/>
      <c r="O30" s="114"/>
      <c r="P30" s="114"/>
      <c r="Q30" s="114"/>
    </row>
    <row r="31" spans="2:17">
      <c r="E31" s="114"/>
      <c r="F31" s="114"/>
      <c r="G31" s="114"/>
      <c r="H31" s="114"/>
      <c r="I31" s="114"/>
      <c r="J31" s="114"/>
      <c r="K31" s="114"/>
      <c r="N31" s="114"/>
      <c r="O31" s="114"/>
      <c r="P31" s="114"/>
      <c r="Q31" s="114"/>
    </row>
    <row r="32" spans="2:17">
      <c r="B32" s="114"/>
      <c r="C32" s="114"/>
      <c r="D32" s="114"/>
      <c r="E32" s="114"/>
      <c r="F32" s="114"/>
      <c r="G32" s="114"/>
      <c r="H32" s="114"/>
      <c r="I32" s="114"/>
      <c r="J32" s="114"/>
      <c r="K32" s="114"/>
      <c r="N32" s="114"/>
    </row>
    <row r="33" spans="2:14" ht="28.5">
      <c r="B33" s="114"/>
      <c r="C33" s="114"/>
      <c r="D33" s="115"/>
      <c r="E33" s="114"/>
      <c r="F33" s="114"/>
      <c r="G33" s="114"/>
      <c r="H33" s="114"/>
      <c r="I33" s="114"/>
      <c r="J33" s="114"/>
      <c r="K33" s="114"/>
      <c r="N33" s="114"/>
    </row>
    <row r="34" spans="2:14">
      <c r="B34" s="114"/>
      <c r="C34" s="114"/>
      <c r="D34" s="114"/>
      <c r="E34" s="114"/>
      <c r="F34" s="114"/>
      <c r="G34" s="114"/>
      <c r="H34" s="114"/>
      <c r="I34" s="114"/>
      <c r="J34" s="114"/>
      <c r="K34" s="114"/>
      <c r="N34" s="114"/>
    </row>
    <row r="35" spans="2:14">
      <c r="B35" s="114"/>
      <c r="F35" s="114"/>
      <c r="G35" s="114"/>
      <c r="H35" s="114"/>
      <c r="I35" s="114"/>
      <c r="J35" s="114"/>
      <c r="K35" s="114"/>
      <c r="N35" s="114"/>
    </row>
    <row r="36" spans="2:14">
      <c r="B36" s="114"/>
      <c r="F36" s="114"/>
      <c r="G36" s="114"/>
      <c r="H36" s="114"/>
      <c r="I36" s="114"/>
      <c r="J36" s="114"/>
      <c r="K36" s="114"/>
      <c r="N36" s="114"/>
    </row>
    <row r="37" spans="2:14">
      <c r="B37" s="114"/>
      <c r="F37" s="114"/>
      <c r="G37" s="114"/>
      <c r="H37" s="114"/>
      <c r="I37" s="114"/>
      <c r="J37" s="114"/>
      <c r="K37" s="114"/>
    </row>
    <row r="38" spans="2:14">
      <c r="B38" s="114"/>
      <c r="F38" s="114"/>
      <c r="G38" s="114"/>
      <c r="H38" s="114"/>
      <c r="I38" s="114"/>
      <c r="J38" s="114"/>
      <c r="K38" s="114"/>
    </row>
    <row r="39" spans="2:14">
      <c r="B39" s="114"/>
      <c r="F39" s="114"/>
      <c r="G39" s="114"/>
      <c r="H39" s="114"/>
      <c r="I39" s="114"/>
      <c r="J39" s="114"/>
      <c r="K39" s="114"/>
    </row>
    <row r="40" spans="2:14">
      <c r="B40" s="114"/>
      <c r="C40" s="114"/>
      <c r="D40" s="114"/>
      <c r="E40" s="114"/>
    </row>
    <row r="41" spans="2:14">
      <c r="B41" s="114"/>
      <c r="C41" s="114"/>
      <c r="D41" s="114"/>
      <c r="E41" s="114"/>
    </row>
    <row r="42" spans="2:14">
      <c r="B42" s="114"/>
      <c r="C42" s="114"/>
      <c r="D42" s="114"/>
      <c r="E42" s="114"/>
    </row>
    <row r="43" spans="2:14">
      <c r="B43" s="114"/>
      <c r="C43" s="114"/>
      <c r="D43" s="114"/>
      <c r="E43" s="114"/>
    </row>
    <row r="44" spans="2:14">
      <c r="B44" s="114"/>
      <c r="C44" s="114"/>
      <c r="D44" s="114"/>
      <c r="E44" s="114"/>
    </row>
    <row r="45" spans="2:14">
      <c r="B45" s="114"/>
      <c r="C45" s="114"/>
      <c r="D45" s="114"/>
      <c r="E45" s="114"/>
    </row>
    <row r="46" spans="2:14">
      <c r="B46" s="114"/>
      <c r="C46" s="114"/>
      <c r="D46" s="114"/>
      <c r="E46" s="114"/>
    </row>
    <row r="47" spans="2:14">
      <c r="B47" s="114"/>
      <c r="C47" s="114"/>
      <c r="D47" s="114"/>
      <c r="E47" s="114"/>
    </row>
    <row r="48" spans="2:14">
      <c r="B48" s="114"/>
      <c r="C48" s="114"/>
      <c r="D48" s="114"/>
      <c r="E48" s="114"/>
    </row>
    <row r="49" spans="2:5">
      <c r="B49" s="114"/>
      <c r="C49" s="114"/>
      <c r="D49" s="114"/>
      <c r="E49" s="114"/>
    </row>
    <row r="50" spans="2:5">
      <c r="B50" s="114"/>
      <c r="C50" s="114"/>
      <c r="D50" s="114"/>
      <c r="E50" s="114"/>
    </row>
    <row r="51" spans="2:5">
      <c r="B51" s="114"/>
      <c r="C51" s="114"/>
      <c r="D51" s="114"/>
      <c r="E51" s="114"/>
    </row>
    <row r="52" spans="2:5">
      <c r="B52" s="114"/>
      <c r="C52" s="114"/>
      <c r="D52" s="114"/>
      <c r="E52" s="114"/>
    </row>
    <row r="53" spans="2:5">
      <c r="B53" s="114"/>
      <c r="C53" s="114"/>
      <c r="D53" s="114"/>
      <c r="E53" s="114"/>
    </row>
    <row r="54" spans="2:5">
      <c r="B54" s="114"/>
      <c r="C54" s="114"/>
      <c r="D54" s="114"/>
      <c r="E54" s="114"/>
    </row>
    <row r="55" spans="2:5">
      <c r="B55" s="114"/>
      <c r="C55" s="114"/>
      <c r="D55" s="114"/>
      <c r="E55" s="114"/>
    </row>
    <row r="56" spans="2:5">
      <c r="B56" s="114"/>
      <c r="C56" s="114"/>
      <c r="D56" s="114"/>
      <c r="E56" s="114"/>
    </row>
    <row r="57" spans="2:5">
      <c r="B57" s="114"/>
      <c r="C57" s="114"/>
      <c r="D57" s="114"/>
      <c r="E57" s="114"/>
    </row>
    <row r="58" spans="2:5">
      <c r="B58" s="114"/>
      <c r="C58" s="114"/>
      <c r="D58" s="114"/>
      <c r="E58" s="114"/>
    </row>
    <row r="59" spans="2:5">
      <c r="B59" s="114"/>
      <c r="C59" s="114"/>
      <c r="D59" s="114"/>
      <c r="E59" s="114"/>
    </row>
    <row r="60" spans="2:5">
      <c r="B60" s="114"/>
      <c r="C60" s="114"/>
      <c r="D60" s="114"/>
      <c r="E60" s="114"/>
    </row>
    <row r="61" spans="2:5">
      <c r="B61" s="114"/>
      <c r="C61" s="114"/>
      <c r="D61" s="114"/>
      <c r="E61" s="114"/>
    </row>
    <row r="62" spans="2:5">
      <c r="B62" s="114"/>
      <c r="C62" s="114"/>
      <c r="D62" s="114"/>
      <c r="E62" s="114"/>
    </row>
    <row r="63" spans="2:5">
      <c r="B63" s="114"/>
      <c r="C63" s="114"/>
      <c r="D63" s="114"/>
      <c r="E63" s="114"/>
    </row>
    <row r="64" spans="2:5">
      <c r="B64" s="114"/>
      <c r="C64" s="114"/>
      <c r="D64" s="114"/>
      <c r="E64" s="114"/>
    </row>
    <row r="65" spans="2:5">
      <c r="B65" s="114"/>
      <c r="C65" s="114"/>
      <c r="D65" s="114"/>
      <c r="E65" s="114"/>
    </row>
    <row r="66" spans="2:5">
      <c r="B66" s="114"/>
      <c r="C66" s="114"/>
      <c r="D66" s="114"/>
      <c r="E66" s="114"/>
    </row>
    <row r="67" spans="2:5">
      <c r="B67" s="114"/>
      <c r="C67" s="114"/>
      <c r="D67" s="114"/>
      <c r="E67" s="114"/>
    </row>
    <row r="68" spans="2:5">
      <c r="B68" s="114"/>
      <c r="C68" s="114"/>
      <c r="D68" s="114"/>
      <c r="E68" s="114"/>
    </row>
    <row r="69" spans="2:5">
      <c r="B69" s="114"/>
      <c r="C69" s="114"/>
      <c r="D69" s="114"/>
      <c r="E69" s="114"/>
    </row>
    <row r="70" spans="2:5">
      <c r="B70" s="114"/>
      <c r="C70" s="114"/>
      <c r="D70" s="114"/>
      <c r="E70" s="114"/>
    </row>
  </sheetData>
  <mergeCells count="1">
    <mergeCell ref="A1:K1"/>
  </mergeCells>
  <pageMargins left="0.70866141732283472" right="0.70866141732283472" top="0.74803149606299213" bottom="0.74803149606299213" header="0.31496062992125984" footer="0.31496062992125984"/>
  <pageSetup scale="66"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49"/>
  <sheetViews>
    <sheetView showGridLines="0" view="pageBreakPreview" zoomScale="55" zoomScaleNormal="70" zoomScaleSheetLayoutView="55" workbookViewId="0">
      <selection activeCell="F13" sqref="F13"/>
    </sheetView>
  </sheetViews>
  <sheetFormatPr baseColWidth="10" defaultColWidth="11.42578125" defaultRowHeight="15"/>
  <cols>
    <col min="1" max="1" width="25.5703125" style="57" customWidth="1"/>
    <col min="2" max="2" width="32.5703125" style="57" customWidth="1"/>
    <col min="3" max="3" width="33.140625" style="57" customWidth="1"/>
    <col min="4" max="4" width="32.28515625" style="57" customWidth="1"/>
    <col min="5" max="5" width="24.140625" style="57" bestFit="1" customWidth="1"/>
    <col min="6" max="6" width="23.140625" style="57" customWidth="1"/>
    <col min="7" max="7" width="16.85546875" style="57" bestFit="1" customWidth="1"/>
    <col min="8" max="11" width="19.28515625" style="57" customWidth="1"/>
    <col min="12" max="12" width="16.5703125" style="57" customWidth="1"/>
    <col min="13" max="13" width="19.7109375" style="57" customWidth="1"/>
    <col min="14" max="14" width="18.28515625" style="57" bestFit="1" customWidth="1"/>
    <col min="15" max="16384" width="11.42578125" style="57"/>
  </cols>
  <sheetData>
    <row r="1" spans="1:14" customFormat="1" ht="97.5" customHeight="1">
      <c r="A1" s="2176"/>
      <c r="B1" s="2176"/>
      <c r="C1" s="2176"/>
      <c r="D1" s="2176"/>
      <c r="E1" s="2176"/>
      <c r="F1" s="2176"/>
      <c r="G1" s="2176"/>
      <c r="H1" s="2176"/>
      <c r="I1" s="2176"/>
      <c r="J1" s="2176"/>
      <c r="K1" s="2176"/>
      <c r="L1" s="2176"/>
    </row>
    <row r="2" spans="1:14" customFormat="1" ht="8.25" customHeight="1">
      <c r="A2" s="2181"/>
      <c r="B2" s="2181"/>
      <c r="C2" s="2181"/>
      <c r="D2" s="2181"/>
      <c r="E2" s="2181"/>
      <c r="F2" s="2181"/>
      <c r="G2" s="2181"/>
      <c r="H2" s="2181"/>
      <c r="I2" s="2181"/>
      <c r="J2" s="2181"/>
      <c r="K2" s="2181"/>
      <c r="L2" s="2181"/>
      <c r="M2" s="108"/>
      <c r="N2" s="108"/>
    </row>
    <row r="3" spans="1:14" customFormat="1" ht="45.75" customHeight="1">
      <c r="A3" s="1089" t="s">
        <v>0</v>
      </c>
      <c r="B3" s="1090" t="s">
        <v>713</v>
      </c>
      <c r="C3" s="1090" t="s">
        <v>647</v>
      </c>
      <c r="D3" s="1134" t="s">
        <v>152</v>
      </c>
      <c r="E3" s="22"/>
      <c r="F3" s="35"/>
      <c r="G3" s="35"/>
      <c r="H3" s="35"/>
      <c r="I3" s="35"/>
      <c r="J3" s="19"/>
      <c r="K3" s="19"/>
      <c r="L3" s="19"/>
      <c r="M3" s="113"/>
    </row>
    <row r="4" spans="1:14" s="77" customFormat="1" ht="18.75">
      <c r="A4" s="1091">
        <v>2003</v>
      </c>
      <c r="B4" s="1092">
        <f>+'IV.1.3. Ingr y egr SDSS'!C5</f>
        <v>50000000</v>
      </c>
      <c r="C4" s="1093">
        <f>+'IV.1.3. Ingr y egr SDSS'!I5</f>
        <v>50652652.469999999</v>
      </c>
      <c r="D4" s="1135">
        <f>B4-C4</f>
        <v>-652652.46999999881</v>
      </c>
      <c r="E4" s="94"/>
      <c r="F4" s="35"/>
      <c r="G4" s="35"/>
      <c r="H4" s="35"/>
      <c r="I4" s="35"/>
      <c r="J4" s="19"/>
      <c r="K4" s="19"/>
      <c r="L4" s="19"/>
      <c r="M4" s="113"/>
    </row>
    <row r="5" spans="1:14" s="77" customFormat="1" ht="18.75">
      <c r="A5" s="1091">
        <v>2004</v>
      </c>
      <c r="B5" s="1477">
        <f>+'IV.1.3. Ingr y egr SDSS'!C6</f>
        <v>100013332.31999999</v>
      </c>
      <c r="C5" s="1478">
        <f>+'IV.1.3. Ingr y egr SDSS'!I6</f>
        <v>103813912.38</v>
      </c>
      <c r="D5" s="1135">
        <f>B5-C5</f>
        <v>-3800580.0600000024</v>
      </c>
      <c r="E5" s="94"/>
      <c r="F5" s="35"/>
      <c r="G5" s="35"/>
      <c r="H5" s="35"/>
      <c r="I5" s="35"/>
      <c r="J5" s="19"/>
      <c r="K5" s="19"/>
      <c r="L5" s="19"/>
      <c r="M5" s="113"/>
    </row>
    <row r="6" spans="1:14" customFormat="1" ht="18.75">
      <c r="A6" s="1091">
        <v>2005</v>
      </c>
      <c r="B6" s="1477">
        <f>+'IV.1.3. Ingr y egr SDSS'!C7</f>
        <v>604604920.63</v>
      </c>
      <c r="C6" s="1478">
        <f>+'IV.1.3. Ingr y egr SDSS'!I7</f>
        <v>203608914.68000001</v>
      </c>
      <c r="D6" s="1135">
        <f t="shared" ref="D6:D15" si="0">B6-C6</f>
        <v>400996005.94999999</v>
      </c>
      <c r="E6" s="22"/>
      <c r="F6" s="35"/>
      <c r="G6" s="35"/>
      <c r="H6" s="35"/>
      <c r="I6" s="35"/>
      <c r="J6" s="19"/>
      <c r="K6" s="19"/>
      <c r="L6" s="19"/>
      <c r="M6" s="113"/>
    </row>
    <row r="7" spans="1:14" customFormat="1" ht="18.75">
      <c r="A7" s="1091">
        <v>2006</v>
      </c>
      <c r="B7" s="1477">
        <f>+'IV.1.3. Ingr y egr SDSS'!C8</f>
        <v>724509996.65999997</v>
      </c>
      <c r="C7" s="1478">
        <f>+'IV.1.3. Ingr y egr SDSS'!I8</f>
        <v>816768960.5</v>
      </c>
      <c r="D7" s="1135">
        <f t="shared" si="0"/>
        <v>-92258963.840000033</v>
      </c>
      <c r="E7" s="94"/>
      <c r="F7" s="35"/>
      <c r="G7" s="35"/>
      <c r="H7" s="35"/>
      <c r="I7" s="35"/>
      <c r="J7" s="19"/>
      <c r="K7" s="19"/>
      <c r="L7" s="19"/>
      <c r="M7" s="113"/>
    </row>
    <row r="8" spans="1:14" customFormat="1" ht="18.75">
      <c r="A8" s="1091">
        <v>2007</v>
      </c>
      <c r="B8" s="1477">
        <f>+'IV.1.3. Ingr y egr SDSS'!C9</f>
        <v>1566425499.9599998</v>
      </c>
      <c r="C8" s="1478">
        <f>+'IV.1.3. Ingr y egr SDSS'!I9</f>
        <v>1578880050.26</v>
      </c>
      <c r="D8" s="1135">
        <f t="shared" si="0"/>
        <v>-12454550.300000191</v>
      </c>
      <c r="E8" s="94"/>
      <c r="F8" s="35"/>
      <c r="G8" s="35"/>
      <c r="H8" s="35"/>
      <c r="I8" s="35"/>
      <c r="J8" s="19"/>
      <c r="K8" s="19"/>
      <c r="L8" s="19"/>
      <c r="M8" s="113"/>
    </row>
    <row r="9" spans="1:14" customFormat="1" ht="18.75">
      <c r="A9" s="1091">
        <v>2008</v>
      </c>
      <c r="B9" s="1477">
        <f>+'IV.1.3. Ingr y egr SDSS'!C10</f>
        <v>2203369531</v>
      </c>
      <c r="C9" s="1478">
        <f>+'IV.1.3. Ingr y egr SDSS'!I10</f>
        <v>2556770326.0999999</v>
      </c>
      <c r="D9" s="1135">
        <f t="shared" si="0"/>
        <v>-353400795.0999999</v>
      </c>
      <c r="E9" s="94"/>
      <c r="F9" s="35"/>
      <c r="G9" s="35"/>
      <c r="H9" s="35"/>
      <c r="I9" s="35"/>
      <c r="J9" s="19"/>
      <c r="K9" s="19"/>
      <c r="L9" s="19"/>
      <c r="M9" s="113"/>
    </row>
    <row r="10" spans="1:14" customFormat="1" ht="18.75">
      <c r="A10" s="1091">
        <v>2009</v>
      </c>
      <c r="B10" s="1477">
        <f>+'IV.1.3. Ingr y egr SDSS'!C11</f>
        <v>3190675855.0100002</v>
      </c>
      <c r="C10" s="1478">
        <f>+'IV.1.3. Ingr y egr SDSS'!I11</f>
        <v>2723337644.3600001</v>
      </c>
      <c r="D10" s="1135">
        <f t="shared" si="0"/>
        <v>467338210.6500001</v>
      </c>
      <c r="E10" s="94"/>
      <c r="F10" s="35"/>
      <c r="G10" s="35"/>
      <c r="H10" s="35"/>
      <c r="I10" s="35"/>
      <c r="J10" s="19"/>
      <c r="K10" s="19"/>
      <c r="L10" s="19"/>
      <c r="M10" s="113"/>
    </row>
    <row r="11" spans="1:14" customFormat="1" ht="18.75">
      <c r="A11" s="1091">
        <v>2010</v>
      </c>
      <c r="B11" s="1477">
        <f>+'IV.1.3. Ingr y egr SDSS'!C12</f>
        <v>3736675849.46</v>
      </c>
      <c r="C11" s="1478">
        <f>+'IV.1.3. Ingr y egr SDSS'!I12</f>
        <v>3444380482.9799995</v>
      </c>
      <c r="D11" s="1135">
        <f t="shared" si="0"/>
        <v>292295366.4800005</v>
      </c>
      <c r="E11" s="94"/>
      <c r="F11" s="35"/>
      <c r="G11" s="35"/>
      <c r="H11" s="35"/>
      <c r="I11" s="35"/>
      <c r="J11" s="19"/>
      <c r="K11" s="19"/>
      <c r="L11" s="19"/>
      <c r="M11" s="113"/>
    </row>
    <row r="12" spans="1:14" s="77" customFormat="1" ht="18.75">
      <c r="A12" s="1091">
        <v>2011</v>
      </c>
      <c r="B12" s="1477">
        <f>+'IV.1.3. Ingr y egr SDSS'!C13</f>
        <v>4134675852</v>
      </c>
      <c r="C12" s="1478">
        <f>+'IV.1.3. Ingr y egr SDSS'!I13</f>
        <v>4363872025.2399998</v>
      </c>
      <c r="D12" s="1135">
        <f t="shared" si="0"/>
        <v>-229196173.23999977</v>
      </c>
      <c r="E12" s="94"/>
      <c r="F12" s="35"/>
      <c r="G12" s="35"/>
      <c r="H12" s="35"/>
      <c r="I12" s="35"/>
      <c r="J12" s="19"/>
      <c r="K12" s="19"/>
      <c r="L12" s="19"/>
      <c r="M12" s="113"/>
    </row>
    <row r="13" spans="1:14" s="77" customFormat="1" ht="18.75">
      <c r="A13" s="1091">
        <v>2012</v>
      </c>
      <c r="B13" s="1477">
        <f>+'IV.1.3. Ingr y egr SDSS'!C14</f>
        <v>4599999999.96</v>
      </c>
      <c r="C13" s="1478">
        <f>+'IV.1.3. Ingr y egr SDSS'!I14</f>
        <v>4742082647.7799997</v>
      </c>
      <c r="D13" s="1135">
        <f t="shared" si="0"/>
        <v>-142082647.81999969</v>
      </c>
      <c r="E13" s="94"/>
      <c r="F13" s="35"/>
      <c r="G13" s="35"/>
      <c r="H13" s="35"/>
      <c r="I13" s="35"/>
      <c r="J13" s="19"/>
      <c r="K13" s="19"/>
      <c r="L13" s="19"/>
      <c r="M13" s="113"/>
    </row>
    <row r="14" spans="1:14" s="77" customFormat="1" ht="18.75">
      <c r="A14" s="1091">
        <v>2013</v>
      </c>
      <c r="B14" s="1477">
        <f>+'IV.1.3. Ingr y egr SDSS'!C15</f>
        <v>5302610000</v>
      </c>
      <c r="C14" s="1478">
        <f>+'IV.1.3. Ingr y egr SDSS'!I15</f>
        <v>5215203784.9399996</v>
      </c>
      <c r="D14" s="1135">
        <f t="shared" si="0"/>
        <v>87406215.06000042</v>
      </c>
      <c r="E14" s="94"/>
      <c r="F14" s="35"/>
      <c r="G14" s="35"/>
      <c r="H14" s="35"/>
      <c r="I14" s="35"/>
      <c r="J14" s="19"/>
      <c r="K14" s="19"/>
      <c r="L14" s="19"/>
      <c r="M14" s="113"/>
    </row>
    <row r="15" spans="1:14" s="77" customFormat="1" ht="18.75">
      <c r="A15" s="1091">
        <v>2014</v>
      </c>
      <c r="B15" s="1477">
        <f>+'IV.1.3. Ingr y egr SDSS'!C16</f>
        <v>6839999499</v>
      </c>
      <c r="C15" s="1478">
        <f>+'IV.1.3. Ingr y egr SDSS'!I16</f>
        <v>7378610518.96</v>
      </c>
      <c r="D15" s="1135">
        <f t="shared" si="0"/>
        <v>-538611019.96000004</v>
      </c>
      <c r="E15" s="94"/>
      <c r="F15" s="35"/>
      <c r="G15" s="35"/>
      <c r="H15" s="35"/>
      <c r="I15" s="35"/>
      <c r="J15" s="19"/>
      <c r="K15" s="19"/>
      <c r="L15" s="19"/>
      <c r="M15" s="113"/>
    </row>
    <row r="16" spans="1:14" s="77" customFormat="1" ht="18.75">
      <c r="A16" s="1476">
        <v>2015</v>
      </c>
      <c r="B16" s="1477">
        <f>+'IV.1.3. Ingr y egr SDSS'!C17</f>
        <v>6922811271.25</v>
      </c>
      <c r="C16" s="1478">
        <f>+'IV.1.3. Ingr y egr SDSS'!I17</f>
        <v>6892825210.3000002</v>
      </c>
      <c r="D16" s="1135">
        <f>B16-C16</f>
        <v>29986060.949999809</v>
      </c>
      <c r="E16" s="94"/>
      <c r="F16" s="35"/>
      <c r="G16" s="35"/>
      <c r="H16" s="35"/>
      <c r="I16" s="35"/>
      <c r="J16" s="19"/>
      <c r="K16" s="19"/>
      <c r="L16" s="19"/>
      <c r="M16" s="113"/>
    </row>
    <row r="17" spans="1:13" s="1458" customFormat="1" ht="18.75">
      <c r="A17" s="1476" t="s">
        <v>1005</v>
      </c>
      <c r="B17" s="1477">
        <f>+'IV.1.3. Ingr y egr SDSS'!C18</f>
        <v>2804479479</v>
      </c>
      <c r="C17" s="1478">
        <f>+'IV.1.3. Ingr y egr SDSS'!I18</f>
        <v>2706781911.3600001</v>
      </c>
      <c r="D17" s="1135">
        <f>B17-C17</f>
        <v>97697567.639999866</v>
      </c>
      <c r="E17" s="1453"/>
      <c r="F17" s="35"/>
      <c r="G17" s="35"/>
      <c r="H17" s="35"/>
      <c r="I17" s="35"/>
      <c r="J17" s="19"/>
      <c r="K17" s="19"/>
      <c r="L17" s="19"/>
      <c r="M17" s="113"/>
    </row>
    <row r="18" spans="1:13" customFormat="1" ht="24.75" customHeight="1">
      <c r="A18" s="1123" t="s">
        <v>23</v>
      </c>
      <c r="B18" s="1094">
        <f>SUM(B4:B17)</f>
        <v>42780851086.25</v>
      </c>
      <c r="C18" s="1095">
        <f>SUM(C4:C17)</f>
        <v>42777589042.309998</v>
      </c>
      <c r="D18" s="1136">
        <f>SUM(D4:D17)</f>
        <v>3262043.9400010109</v>
      </c>
      <c r="E18" s="1133"/>
      <c r="F18" s="35"/>
      <c r="G18" s="35"/>
      <c r="H18" s="35"/>
      <c r="I18" s="35"/>
      <c r="J18" s="19"/>
      <c r="K18" s="19"/>
      <c r="L18" s="19"/>
      <c r="M18" s="113"/>
    </row>
    <row r="19" spans="1:13" customFormat="1">
      <c r="A19" s="1096"/>
      <c r="B19" s="1096"/>
      <c r="C19" s="1096"/>
      <c r="D19" s="204"/>
      <c r="E19" s="36"/>
      <c r="F19" s="36"/>
      <c r="G19" s="36"/>
      <c r="H19" s="36"/>
      <c r="I19" s="36"/>
      <c r="J19" s="23"/>
      <c r="K19" s="23"/>
      <c r="L19" s="23"/>
    </row>
    <row r="20" spans="1:13" customFormat="1">
      <c r="C20" s="23"/>
      <c r="D20" s="23"/>
      <c r="E20" s="36"/>
      <c r="F20" s="36"/>
      <c r="G20" s="36"/>
      <c r="H20" s="36"/>
      <c r="I20" s="36"/>
      <c r="J20" s="23"/>
      <c r="K20" s="23"/>
      <c r="L20" s="23"/>
      <c r="M20" s="57"/>
    </row>
    <row r="21" spans="1:13" customFormat="1">
      <c r="C21" s="23"/>
      <c r="D21" s="23"/>
      <c r="E21" s="23"/>
      <c r="F21" s="23"/>
      <c r="G21" s="23"/>
      <c r="H21" s="23"/>
      <c r="I21" s="23"/>
      <c r="J21" s="23"/>
      <c r="K21" s="23"/>
      <c r="L21" s="23"/>
    </row>
    <row r="22" spans="1:13" customFormat="1">
      <c r="C22" s="23"/>
      <c r="D22" s="23"/>
      <c r="E22" s="23"/>
      <c r="F22" s="23"/>
      <c r="G22" s="23"/>
      <c r="H22" s="23"/>
      <c r="I22" s="23"/>
      <c r="J22" s="23"/>
      <c r="K22" s="23"/>
      <c r="L22" s="23"/>
    </row>
    <row r="23" spans="1:13" customFormat="1">
      <c r="C23" s="23"/>
      <c r="D23" s="23"/>
      <c r="E23" s="23"/>
      <c r="F23" s="23"/>
      <c r="G23" s="23"/>
      <c r="H23" s="23"/>
      <c r="I23" s="23"/>
      <c r="J23" s="23"/>
      <c r="K23" s="23"/>
      <c r="L23" s="23"/>
    </row>
    <row r="24" spans="1:13" customFormat="1">
      <c r="C24" s="23"/>
      <c r="D24" s="23"/>
      <c r="E24" s="23"/>
      <c r="F24" s="23"/>
      <c r="G24" s="23"/>
      <c r="H24" s="23"/>
      <c r="I24" s="23"/>
      <c r="J24" s="23"/>
      <c r="K24" s="23"/>
      <c r="L24" s="23"/>
    </row>
    <row r="25" spans="1:13" customFormat="1">
      <c r="C25" s="23"/>
      <c r="D25" s="23"/>
      <c r="E25" s="23"/>
      <c r="F25" s="23"/>
      <c r="G25" s="23"/>
      <c r="H25" s="23"/>
      <c r="I25" s="23"/>
      <c r="J25" s="23"/>
      <c r="K25" s="23"/>
      <c r="L25" s="23"/>
    </row>
    <row r="26" spans="1:13" customFormat="1">
      <c r="C26" s="23"/>
      <c r="D26" s="23"/>
      <c r="E26" s="23"/>
      <c r="F26" s="23"/>
      <c r="G26" s="23"/>
      <c r="H26" s="23"/>
      <c r="I26" s="23"/>
      <c r="J26" s="23"/>
      <c r="K26" s="23"/>
      <c r="L26" s="23"/>
    </row>
    <row r="27" spans="1:13" customFormat="1">
      <c r="C27" s="23"/>
      <c r="D27" s="23"/>
      <c r="E27" s="23"/>
      <c r="F27" s="23"/>
      <c r="G27" s="23"/>
      <c r="H27" s="23"/>
      <c r="I27" s="23"/>
      <c r="J27" s="23"/>
      <c r="K27" s="23"/>
      <c r="L27" s="23"/>
    </row>
    <row r="28" spans="1:13" customFormat="1">
      <c r="C28" s="23"/>
      <c r="D28" s="23"/>
      <c r="E28" s="23"/>
      <c r="F28" s="23"/>
      <c r="G28" s="23"/>
      <c r="H28" s="23"/>
      <c r="I28" s="23"/>
      <c r="J28" s="23"/>
      <c r="K28" s="23"/>
      <c r="L28" s="23"/>
    </row>
    <row r="29" spans="1:13" customFormat="1">
      <c r="C29" s="23"/>
      <c r="D29" s="23"/>
      <c r="E29" s="23"/>
      <c r="F29" s="23"/>
      <c r="G29" s="23"/>
      <c r="H29" s="23"/>
      <c r="I29" s="23"/>
      <c r="J29" s="23"/>
      <c r="K29" s="23"/>
      <c r="L29" s="23"/>
    </row>
    <row r="30" spans="1:13" customFormat="1">
      <c r="C30" s="23"/>
      <c r="D30" s="23"/>
      <c r="E30" s="23"/>
      <c r="F30" s="23"/>
      <c r="G30" s="23"/>
      <c r="H30" s="23"/>
      <c r="I30" s="23"/>
      <c r="J30" s="23"/>
      <c r="K30" s="23"/>
      <c r="L30" s="23"/>
    </row>
    <row r="31" spans="1:13" customFormat="1">
      <c r="C31" s="23"/>
      <c r="D31" s="23"/>
      <c r="E31" s="23"/>
      <c r="F31" s="23"/>
      <c r="G31" s="23"/>
      <c r="H31" s="23"/>
      <c r="I31" s="23"/>
      <c r="J31" s="23"/>
      <c r="K31" s="23"/>
      <c r="L31" s="23"/>
    </row>
    <row r="32" spans="1:13" customFormat="1">
      <c r="C32" s="23"/>
      <c r="D32" s="23"/>
      <c r="E32" s="23"/>
      <c r="F32" s="23"/>
      <c r="G32" s="23"/>
      <c r="H32" s="23"/>
      <c r="I32" s="23"/>
      <c r="J32" s="23"/>
      <c r="K32" s="23"/>
      <c r="L32" s="23"/>
    </row>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6"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70" zoomScaleNormal="100" zoomScaleSheetLayoutView="70" workbookViewId="0">
      <selection activeCell="G11" sqref="G11"/>
    </sheetView>
  </sheetViews>
  <sheetFormatPr baseColWidth="10" defaultColWidth="11.42578125" defaultRowHeight="15"/>
  <cols>
    <col min="1" max="1" width="11.42578125" style="55"/>
    <col min="2" max="2" width="21.28515625" style="55" bestFit="1" customWidth="1"/>
    <col min="3" max="3" width="20.85546875" style="55" customWidth="1"/>
    <col min="4" max="4" width="22.7109375" style="55" customWidth="1"/>
    <col min="5" max="5" width="22.42578125" style="55" customWidth="1"/>
    <col min="6" max="6" width="17.85546875" style="55" bestFit="1" customWidth="1"/>
    <col min="7" max="11" width="11.42578125" style="55"/>
    <col min="12" max="12" width="22.42578125" style="55" customWidth="1"/>
    <col min="13" max="13" width="16" style="55" bestFit="1" customWidth="1"/>
    <col min="14" max="16384" width="11.42578125" style="55"/>
  </cols>
  <sheetData>
    <row r="1" spans="1:12" customFormat="1" ht="91.5" customHeight="1">
      <c r="A1" s="2174"/>
      <c r="B1" s="2174"/>
      <c r="C1" s="2174"/>
      <c r="D1" s="2174"/>
      <c r="E1" s="2174"/>
      <c r="F1" s="2174"/>
      <c r="G1" s="2174"/>
      <c r="H1" s="2174"/>
      <c r="I1" s="2174"/>
      <c r="J1" s="2174"/>
      <c r="K1" s="2174"/>
      <c r="L1" s="2174"/>
    </row>
    <row r="2" spans="1:12" customFormat="1" ht="24.75" customHeight="1">
      <c r="A2" s="445" t="s">
        <v>39</v>
      </c>
      <c r="B2" s="482" t="s">
        <v>117</v>
      </c>
      <c r="C2" s="479" t="s">
        <v>648</v>
      </c>
      <c r="D2" s="1088" t="s">
        <v>152</v>
      </c>
      <c r="E2" s="19"/>
      <c r="F2" s="19"/>
      <c r="G2" s="19"/>
      <c r="H2" s="19"/>
      <c r="I2" s="19"/>
      <c r="J2" s="19"/>
      <c r="K2" s="19"/>
      <c r="L2" s="19"/>
    </row>
    <row r="3" spans="1:12" s="77" customFormat="1" ht="15.75">
      <c r="A3" s="1464" t="s">
        <v>935</v>
      </c>
      <c r="B3" s="1463">
        <v>629346479.75</v>
      </c>
      <c r="C3" s="1955">
        <v>622706897.10000002</v>
      </c>
      <c r="D3" s="1953">
        <f>+B3-C3</f>
        <v>6639582.6499999762</v>
      </c>
      <c r="E3" s="23"/>
      <c r="F3" s="23"/>
      <c r="G3" s="23"/>
      <c r="H3" s="23"/>
      <c r="I3" s="23"/>
      <c r="J3" s="23"/>
      <c r="K3" s="23"/>
      <c r="L3" s="23"/>
    </row>
    <row r="4" spans="1:12" s="77" customFormat="1" ht="15.75">
      <c r="A4" s="1464" t="s">
        <v>936</v>
      </c>
      <c r="B4" s="1463">
        <v>629346479.75</v>
      </c>
      <c r="C4" s="1955">
        <v>622927021.58000004</v>
      </c>
      <c r="D4" s="1953">
        <f t="shared" ref="D4:D11" si="0">+B4-C4</f>
        <v>6419458.1699999571</v>
      </c>
      <c r="E4" s="23"/>
      <c r="F4" s="23"/>
      <c r="G4" s="23"/>
      <c r="H4" s="23"/>
      <c r="I4" s="23"/>
      <c r="J4" s="23"/>
      <c r="K4" s="23"/>
      <c r="L4" s="23"/>
    </row>
    <row r="5" spans="1:12" s="77" customFormat="1" ht="15.75">
      <c r="A5" s="1464" t="s">
        <v>937</v>
      </c>
      <c r="B5" s="1463">
        <v>629346479.75</v>
      </c>
      <c r="C5" s="1955">
        <v>623730106.32000005</v>
      </c>
      <c r="D5" s="1953">
        <f t="shared" si="0"/>
        <v>5616373.4299999475</v>
      </c>
      <c r="E5" s="23"/>
      <c r="F5" s="23"/>
      <c r="G5" s="23"/>
      <c r="H5" s="23"/>
      <c r="I5" s="23"/>
      <c r="J5" s="23"/>
      <c r="K5" s="23"/>
      <c r="L5" s="23"/>
    </row>
    <row r="6" spans="1:12" s="77" customFormat="1" ht="15.75">
      <c r="A6" s="1464" t="s">
        <v>938</v>
      </c>
      <c r="B6" s="1463">
        <v>629346479.75</v>
      </c>
      <c r="C6" s="1955">
        <v>625066868.48000002</v>
      </c>
      <c r="D6" s="1953">
        <f t="shared" si="0"/>
        <v>4279611.2699999809</v>
      </c>
      <c r="E6" s="23"/>
      <c r="F6" s="23"/>
      <c r="G6" s="23"/>
      <c r="H6" s="23"/>
      <c r="I6" s="23"/>
      <c r="J6" s="23"/>
      <c r="K6" s="23"/>
      <c r="L6" s="23"/>
    </row>
    <row r="7" spans="1:12" s="77" customFormat="1" ht="15.75">
      <c r="A7" s="1464" t="s">
        <v>939</v>
      </c>
      <c r="B7" s="1463">
        <v>629346479.75</v>
      </c>
      <c r="C7" s="1955">
        <v>628985578.27999997</v>
      </c>
      <c r="D7" s="1953">
        <f t="shared" si="0"/>
        <v>360901.47000002861</v>
      </c>
      <c r="E7" s="23"/>
      <c r="F7" s="23"/>
      <c r="G7" s="23"/>
      <c r="H7" s="23"/>
      <c r="I7" s="23"/>
      <c r="J7" s="23"/>
      <c r="K7" s="23"/>
      <c r="L7" s="23"/>
    </row>
    <row r="8" spans="1:12" s="77" customFormat="1" ht="15.75">
      <c r="A8" s="1464" t="s">
        <v>940</v>
      </c>
      <c r="B8" s="1463">
        <v>629346479</v>
      </c>
      <c r="C8" s="1955">
        <v>632014000.86000001</v>
      </c>
      <c r="D8" s="1953">
        <f t="shared" si="0"/>
        <v>-2667521.8600000143</v>
      </c>
      <c r="E8" s="23"/>
      <c r="F8" s="23"/>
      <c r="G8" s="23"/>
      <c r="H8" s="23"/>
      <c r="I8" s="23"/>
      <c r="J8" s="23"/>
      <c r="K8" s="23"/>
      <c r="L8" s="23"/>
    </row>
    <row r="9" spans="1:12" s="1458" customFormat="1" ht="15.75">
      <c r="A9" s="1464" t="s">
        <v>941</v>
      </c>
      <c r="B9" s="1463">
        <v>629346479</v>
      </c>
      <c r="C9" s="1955">
        <v>631627688.05999994</v>
      </c>
      <c r="D9" s="1953">
        <f t="shared" si="0"/>
        <v>-2281209.0599999428</v>
      </c>
      <c r="E9" s="23"/>
      <c r="F9" s="23"/>
      <c r="G9" s="23"/>
      <c r="H9" s="23"/>
      <c r="I9" s="23"/>
      <c r="J9" s="23"/>
      <c r="K9" s="23"/>
      <c r="L9" s="23"/>
    </row>
    <row r="10" spans="1:12" s="1458" customFormat="1" ht="15.75">
      <c r="A10" s="1464" t="s">
        <v>944</v>
      </c>
      <c r="B10" s="1463">
        <v>629346479</v>
      </c>
      <c r="C10" s="1955">
        <v>634397904.48000002</v>
      </c>
      <c r="D10" s="1953">
        <f t="shared" si="0"/>
        <v>-5051425.4800000191</v>
      </c>
      <c r="E10" s="23"/>
      <c r="F10" s="23"/>
      <c r="G10" s="23"/>
      <c r="H10" s="23"/>
      <c r="I10" s="23"/>
      <c r="J10" s="23"/>
      <c r="K10" s="23"/>
      <c r="L10" s="23"/>
    </row>
    <row r="11" spans="1:12" s="1458" customFormat="1" ht="15.75">
      <c r="A11" s="1464" t="s">
        <v>960</v>
      </c>
      <c r="B11" s="1463">
        <v>629346479</v>
      </c>
      <c r="C11" s="1955">
        <v>638710250.38</v>
      </c>
      <c r="D11" s="1953">
        <f t="shared" si="0"/>
        <v>-9363771.3799999952</v>
      </c>
      <c r="E11" s="23"/>
      <c r="F11" s="23"/>
      <c r="G11" s="23"/>
      <c r="H11" s="23"/>
      <c r="I11" s="23"/>
      <c r="J11" s="23"/>
      <c r="K11" s="23"/>
      <c r="L11" s="23"/>
    </row>
    <row r="12" spans="1:12" s="77" customFormat="1" ht="15.75">
      <c r="A12" s="1464" t="s">
        <v>970</v>
      </c>
      <c r="B12" s="1463">
        <v>669346479</v>
      </c>
      <c r="C12" s="1955">
        <v>681195942.70000005</v>
      </c>
      <c r="D12" s="1953">
        <f>+B12-C12</f>
        <v>-11849463.700000048</v>
      </c>
      <c r="E12" s="23"/>
      <c r="F12" s="23"/>
      <c r="G12" s="23"/>
      <c r="H12" s="23"/>
      <c r="I12" s="23"/>
      <c r="J12" s="23"/>
      <c r="K12" s="23"/>
      <c r="L12" s="23"/>
    </row>
    <row r="13" spans="1:12" customFormat="1" ht="15.75">
      <c r="A13" s="1464" t="s">
        <v>974</v>
      </c>
      <c r="B13" s="1463">
        <v>711711000</v>
      </c>
      <c r="C13" s="1955">
        <v>680778701.48000002</v>
      </c>
      <c r="D13" s="1953">
        <f>+B13-C13</f>
        <v>30932298.519999981</v>
      </c>
      <c r="E13" s="23"/>
      <c r="F13" s="23"/>
      <c r="G13" s="23"/>
      <c r="H13" s="23"/>
      <c r="I13" s="23"/>
      <c r="J13" s="23"/>
      <c r="K13" s="23"/>
      <c r="L13" s="23"/>
    </row>
    <row r="14" spans="1:12" s="1458" customFormat="1" ht="15.75">
      <c r="A14" s="1464" t="s">
        <v>987</v>
      </c>
      <c r="B14" s="1463">
        <v>711711000</v>
      </c>
      <c r="C14" s="1955">
        <v>671867551.84000003</v>
      </c>
      <c r="D14" s="1953">
        <f>+B14-C14</f>
        <v>39843448.159999967</v>
      </c>
      <c r="E14" s="23"/>
      <c r="F14" s="23"/>
      <c r="G14" s="23"/>
      <c r="H14" s="23"/>
      <c r="I14" s="23"/>
      <c r="J14" s="23"/>
      <c r="K14" s="23"/>
      <c r="L14" s="23"/>
    </row>
    <row r="15" spans="1:12" customFormat="1" ht="15.75">
      <c r="A15" s="895" t="s">
        <v>1001</v>
      </c>
      <c r="B15" s="1498">
        <v>711711000</v>
      </c>
      <c r="C15" s="1956">
        <v>672939685.34000003</v>
      </c>
      <c r="D15" s="1954">
        <f>+B15-C15</f>
        <v>38771314.659999967</v>
      </c>
      <c r="E15" s="23"/>
      <c r="F15" s="23"/>
      <c r="G15" s="23"/>
      <c r="H15" s="23"/>
      <c r="I15" s="23"/>
      <c r="J15" s="23"/>
      <c r="K15" s="23"/>
      <c r="L15" s="23"/>
    </row>
    <row r="16" spans="1:12" customFormat="1">
      <c r="B16" s="23"/>
      <c r="C16" s="23"/>
      <c r="D16" s="23"/>
      <c r="E16" s="23"/>
      <c r="F16" s="23"/>
      <c r="G16" s="23"/>
      <c r="H16" s="23"/>
      <c r="I16" s="23"/>
      <c r="J16" s="23"/>
      <c r="K16" s="23"/>
      <c r="L16" s="23"/>
    </row>
    <row r="17" spans="2:12" customFormat="1">
      <c r="B17" s="23"/>
      <c r="C17" s="23"/>
      <c r="D17" s="23"/>
      <c r="E17" s="23"/>
      <c r="F17" s="23"/>
      <c r="G17" s="23"/>
      <c r="H17" s="23"/>
      <c r="I17" s="23"/>
      <c r="J17" s="23"/>
      <c r="K17" s="23"/>
      <c r="L17" s="23"/>
    </row>
    <row r="18" spans="2:12" customFormat="1">
      <c r="B18" s="23"/>
      <c r="C18" s="23"/>
      <c r="D18" s="23"/>
      <c r="E18" s="23"/>
      <c r="F18" s="23"/>
      <c r="G18" s="23"/>
      <c r="H18" s="23"/>
      <c r="I18" s="23"/>
      <c r="J18" s="23"/>
      <c r="K18" s="23"/>
      <c r="L18" s="23"/>
    </row>
    <row r="19" spans="2:12" customFormat="1">
      <c r="B19" s="23"/>
      <c r="C19" s="23"/>
      <c r="D19" s="23"/>
      <c r="E19" s="23"/>
      <c r="F19" s="23"/>
      <c r="G19" s="23"/>
      <c r="H19" s="23"/>
      <c r="I19" s="23"/>
      <c r="J19" s="23"/>
      <c r="K19" s="23"/>
      <c r="L19" s="23"/>
    </row>
    <row r="20" spans="2:12" customFormat="1">
      <c r="B20" s="23"/>
      <c r="C20" s="23"/>
      <c r="D20" s="23"/>
      <c r="E20" s="23"/>
      <c r="F20" s="23"/>
      <c r="G20" s="23"/>
      <c r="H20" s="23"/>
      <c r="I20" s="23"/>
      <c r="J20" s="23"/>
      <c r="K20" s="23"/>
      <c r="L20" s="23"/>
    </row>
    <row r="21" spans="2:12" customFormat="1">
      <c r="B21" s="23"/>
      <c r="C21" s="23"/>
      <c r="D21" s="23"/>
      <c r="E21" s="23"/>
      <c r="F21" s="23"/>
      <c r="G21" s="23"/>
      <c r="H21" s="23"/>
      <c r="I21" s="23"/>
      <c r="J21" s="23"/>
      <c r="K21" s="23"/>
      <c r="L21" s="23"/>
    </row>
    <row r="22" spans="2:12" customFormat="1">
      <c r="B22" s="23"/>
      <c r="C22" s="23"/>
      <c r="D22" s="23"/>
      <c r="E22" s="23"/>
      <c r="F22" s="23"/>
      <c r="G22" s="23"/>
      <c r="H22" s="23"/>
      <c r="I22" s="23"/>
      <c r="J22" s="23"/>
      <c r="K22" s="23"/>
      <c r="L22" s="23"/>
    </row>
    <row r="23" spans="2:12" customFormat="1">
      <c r="B23" s="23"/>
      <c r="C23" s="23"/>
      <c r="D23" s="23"/>
      <c r="E23" s="23"/>
      <c r="F23" s="23"/>
      <c r="G23" s="23"/>
      <c r="H23" s="23"/>
      <c r="I23" s="23"/>
      <c r="J23" s="23"/>
      <c r="K23" s="23"/>
      <c r="L23" s="23"/>
    </row>
    <row r="24" spans="2:12" customFormat="1">
      <c r="B24" s="23"/>
      <c r="C24" s="23"/>
      <c r="D24" s="23"/>
      <c r="E24" s="23"/>
      <c r="F24" s="23"/>
      <c r="G24" s="23"/>
      <c r="H24" s="23"/>
      <c r="I24" s="23"/>
      <c r="J24" s="23"/>
      <c r="K24" s="23"/>
      <c r="L24" s="23"/>
    </row>
    <row r="25" spans="2:12" customFormat="1">
      <c r="B25" s="23"/>
      <c r="C25" s="23"/>
      <c r="D25" s="23"/>
      <c r="E25" s="23"/>
      <c r="F25" s="23"/>
      <c r="G25" s="23"/>
      <c r="H25" s="23"/>
      <c r="I25" s="23"/>
      <c r="J25" s="23"/>
      <c r="K25" s="23"/>
      <c r="L25" s="23"/>
    </row>
    <row r="26" spans="2:12" customFormat="1">
      <c r="B26" s="23"/>
      <c r="C26" s="23"/>
      <c r="D26" s="23"/>
      <c r="E26" s="23"/>
      <c r="F26" s="23"/>
      <c r="G26" s="23"/>
      <c r="H26" s="23"/>
      <c r="I26" s="23"/>
      <c r="J26" s="23"/>
      <c r="K26" s="23"/>
      <c r="L26" s="23"/>
    </row>
    <row r="27" spans="2:12" customFormat="1">
      <c r="B27" s="23"/>
      <c r="C27" s="23"/>
      <c r="D27" s="23"/>
    </row>
    <row r="28" spans="2:12" customFormat="1">
      <c r="B28" s="23"/>
      <c r="C28" s="23"/>
      <c r="D28" s="23"/>
    </row>
    <row r="29" spans="2:12" customFormat="1"/>
    <row r="30" spans="2:12" customFormat="1"/>
    <row r="31" spans="2:12" customFormat="1"/>
    <row r="32" spans="2:12" customFormat="1"/>
    <row r="33" spans="1:4" customFormat="1"/>
    <row r="34" spans="1:4" customFormat="1"/>
    <row r="35" spans="1:4" customFormat="1"/>
    <row r="36" spans="1:4" customFormat="1"/>
    <row r="37" spans="1:4" customFormat="1"/>
    <row r="38" spans="1:4" customFormat="1"/>
    <row r="39" spans="1:4" customFormat="1"/>
    <row r="40" spans="1:4" customFormat="1"/>
    <row r="41" spans="1:4" customFormat="1"/>
    <row r="42" spans="1:4" customFormat="1"/>
    <row r="43" spans="1:4" customFormat="1"/>
    <row r="44" spans="1:4" customFormat="1"/>
    <row r="45" spans="1:4" customFormat="1"/>
    <row r="46" spans="1:4" customFormat="1"/>
    <row r="47" spans="1:4">
      <c r="A47"/>
      <c r="B47"/>
      <c r="C47"/>
      <c r="D47"/>
    </row>
    <row r="48" spans="1:4">
      <c r="A48"/>
      <c r="B48"/>
      <c r="C48"/>
      <c r="D48"/>
    </row>
  </sheetData>
  <mergeCells count="1">
    <mergeCell ref="A1:L1"/>
  </mergeCells>
  <printOptions horizontalCentered="1" verticalCentered="1"/>
  <pageMargins left="0.4" right="0.4" top="0.25" bottom="0.25" header="0.31496062992126" footer="0.31496062992126"/>
  <pageSetup scale="66"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4"/>
  <sheetViews>
    <sheetView showGridLines="0" view="pageBreakPreview" zoomScale="85" zoomScaleNormal="85" zoomScaleSheetLayoutView="85" workbookViewId="0">
      <selection activeCell="A6" sqref="A6"/>
    </sheetView>
  </sheetViews>
  <sheetFormatPr baseColWidth="10" defaultRowHeight="15"/>
  <cols>
    <col min="1" max="1" width="19.7109375" style="77" customWidth="1"/>
    <col min="2" max="2" width="21.5703125" style="77" bestFit="1" customWidth="1"/>
    <col min="3" max="3" width="19.28515625" style="77" bestFit="1" customWidth="1"/>
    <col min="4" max="5" width="14.42578125" style="77" bestFit="1" customWidth="1"/>
    <col min="6" max="6" width="13.42578125" style="77" bestFit="1" customWidth="1"/>
    <col min="7" max="7" width="14.42578125" style="77" bestFit="1" customWidth="1"/>
    <col min="8" max="8" width="18.140625" style="77" customWidth="1"/>
    <col min="9" max="9" width="19.42578125" style="77" customWidth="1"/>
    <col min="10" max="10" width="11.42578125" style="77"/>
    <col min="11" max="11" width="16.28515625" style="77" customWidth="1"/>
    <col min="12" max="16384" width="11.42578125" style="77"/>
  </cols>
  <sheetData>
    <row r="4" spans="1:5" ht="25.5" customHeight="1"/>
    <row r="5" spans="1:5" ht="7.5" customHeight="1"/>
    <row r="6" spans="1:5" ht="15.75">
      <c r="A6" s="308" t="s">
        <v>25</v>
      </c>
      <c r="B6" s="948" t="s">
        <v>690</v>
      </c>
    </row>
    <row r="7" spans="1:5" ht="15.75">
      <c r="A7" s="1748" t="s">
        <v>691</v>
      </c>
      <c r="B7" s="1749">
        <f>+'IV.1.3. Ingr y egr SDSS'!J12</f>
        <v>115952658.19999999</v>
      </c>
      <c r="C7" s="1458"/>
      <c r="D7" s="1458"/>
    </row>
    <row r="8" spans="1:5" ht="15.75">
      <c r="A8" s="1748">
        <v>2011</v>
      </c>
      <c r="B8" s="1749">
        <f>+'IV.1.3. Ingr y egr SDSS'!J13</f>
        <v>291946073.39999998</v>
      </c>
      <c r="C8" s="1458"/>
      <c r="D8" s="1458"/>
    </row>
    <row r="9" spans="1:5" ht="15.75">
      <c r="A9" s="1748" t="s">
        <v>457</v>
      </c>
      <c r="B9" s="1749">
        <f>+'IV.1.3. Ingr y egr SDSS'!J14</f>
        <v>331635794.92000002</v>
      </c>
      <c r="C9" s="1458"/>
      <c r="D9" s="1458"/>
    </row>
    <row r="10" spans="1:5" ht="15.75">
      <c r="A10" s="1748" t="s">
        <v>534</v>
      </c>
      <c r="B10" s="1749">
        <f>+'IV.1.3. Ingr y egr SDSS'!J15</f>
        <v>333800248.55999994</v>
      </c>
      <c r="C10" s="1458"/>
      <c r="D10" s="1458"/>
      <c r="E10" s="952"/>
    </row>
    <row r="11" spans="1:5" ht="15.75">
      <c r="A11" s="1748" t="s">
        <v>541</v>
      </c>
      <c r="B11" s="1749">
        <f>+'IV.1.3. Ingr y egr SDSS'!J16</f>
        <v>329249337.19999999</v>
      </c>
      <c r="C11" s="1458"/>
      <c r="D11" s="1458"/>
    </row>
    <row r="12" spans="1:5" ht="15.75">
      <c r="A12" s="1748" t="s">
        <v>900</v>
      </c>
      <c r="B12" s="1749">
        <f>+'IV.1.3. Ingr y egr SDSS'!J17</f>
        <v>335652778.95999998</v>
      </c>
      <c r="C12" s="1458"/>
      <c r="D12" s="1458"/>
    </row>
    <row r="13" spans="1:5" s="1458" customFormat="1" ht="15.75">
      <c r="A13" s="1748" t="s">
        <v>1008</v>
      </c>
      <c r="B13" s="1749">
        <f>+'IV.1.3. Ingr y egr SDSS'!J18</f>
        <v>111188929.28</v>
      </c>
    </row>
    <row r="14" spans="1:5" ht="15.75">
      <c r="A14" s="1750" t="s">
        <v>23</v>
      </c>
      <c r="B14" s="1751">
        <f>SUM(B7:B13)</f>
        <v>1849425820.52</v>
      </c>
    </row>
  </sheetData>
  <pageMargins left="0.7" right="0.7" top="0.75" bottom="0.75" header="0.3" footer="0.3"/>
  <pageSetup scale="65"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R22"/>
  <sheetViews>
    <sheetView showGridLines="0" view="pageBreakPreview" zoomScale="85" zoomScaleNormal="85" zoomScaleSheetLayoutView="85" workbookViewId="0">
      <selection activeCell="H13" sqref="H13"/>
    </sheetView>
  </sheetViews>
  <sheetFormatPr baseColWidth="10" defaultRowHeight="15"/>
  <cols>
    <col min="1" max="1" width="11.7109375" style="77" bestFit="1" customWidth="1"/>
    <col min="2" max="2" width="18" style="77" customWidth="1"/>
    <col min="3" max="3" width="17.140625" style="77" customWidth="1"/>
    <col min="4" max="4" width="19.140625" style="77" customWidth="1"/>
    <col min="5" max="5" width="17.42578125" style="77" customWidth="1"/>
    <col min="6" max="6" width="13.42578125" style="77" bestFit="1" customWidth="1"/>
    <col min="7" max="7" width="14.42578125" style="77" bestFit="1" customWidth="1"/>
    <col min="8" max="8" width="13.42578125" style="77" bestFit="1" customWidth="1"/>
    <col min="9" max="9" width="15.85546875" style="77" bestFit="1" customWidth="1"/>
    <col min="10" max="10" width="28.85546875" style="77" customWidth="1"/>
    <col min="11" max="11" width="11.42578125" style="77"/>
    <col min="12" max="12" width="17.140625" style="77" customWidth="1"/>
    <col min="13" max="13" width="11.42578125" style="77"/>
    <col min="14" max="14" width="24.5703125" style="77" customWidth="1"/>
    <col min="15" max="15" width="19.140625" style="77" customWidth="1"/>
    <col min="16" max="16" width="20.42578125" style="77" customWidth="1"/>
    <col min="17" max="17" width="19" style="77" customWidth="1"/>
    <col min="18" max="16384" width="11.42578125" style="77"/>
  </cols>
  <sheetData>
    <row r="4" spans="1:18" ht="32.25" customHeight="1"/>
    <row r="5" spans="1:18" ht="17.25" customHeight="1"/>
    <row r="6" spans="1:18" s="879" customFormat="1" ht="26.25" customHeight="1">
      <c r="A6" s="1089" t="s">
        <v>39</v>
      </c>
      <c r="B6" s="1894" t="s">
        <v>102</v>
      </c>
      <c r="C6" s="1894" t="s">
        <v>105</v>
      </c>
      <c r="D6" s="1894" t="s">
        <v>692</v>
      </c>
      <c r="E6" s="1895" t="s">
        <v>23</v>
      </c>
      <c r="N6" s="173"/>
    </row>
    <row r="7" spans="1:18" ht="15.75">
      <c r="A7" s="1464" t="s">
        <v>935</v>
      </c>
      <c r="B7" s="1049">
        <v>10954952.32</v>
      </c>
      <c r="C7" s="1049">
        <v>3526594.24</v>
      </c>
      <c r="D7" s="1049">
        <v>13477344.48</v>
      </c>
      <c r="E7" s="1050">
        <v>28037700.399999999</v>
      </c>
      <c r="N7" s="173"/>
    </row>
    <row r="8" spans="1:18" ht="15.75">
      <c r="A8" s="1464" t="s">
        <v>936</v>
      </c>
      <c r="B8" s="1049">
        <v>10946294.560000001</v>
      </c>
      <c r="C8" s="1049">
        <v>3551846.04</v>
      </c>
      <c r="D8" s="1049">
        <v>13459405.439999999</v>
      </c>
      <c r="E8" s="1050">
        <v>27958891.039999999</v>
      </c>
      <c r="N8" s="173"/>
    </row>
    <row r="9" spans="1:18" ht="15.75">
      <c r="A9" s="1464" t="s">
        <v>937</v>
      </c>
      <c r="B9" s="1049">
        <v>10975153.76</v>
      </c>
      <c r="C9" s="1049">
        <v>3565554.16</v>
      </c>
      <c r="D9" s="1049">
        <v>13555507.439999999</v>
      </c>
      <c r="E9" s="1050">
        <v>27957546.039999999</v>
      </c>
      <c r="N9" s="173"/>
    </row>
    <row r="10" spans="1:18" ht="15.75">
      <c r="A10" s="1464" t="s">
        <v>938</v>
      </c>
      <c r="B10" s="1049">
        <v>10965053.039999999</v>
      </c>
      <c r="C10" s="1049">
        <v>3580705.24</v>
      </c>
      <c r="D10" s="1049">
        <v>13491439.439999999</v>
      </c>
      <c r="E10" s="1050">
        <v>28096215.359999999</v>
      </c>
      <c r="N10" s="173"/>
    </row>
    <row r="11" spans="1:18" ht="15.75">
      <c r="A11" s="1464" t="s">
        <v>939</v>
      </c>
      <c r="B11" s="1049">
        <v>10873425.08</v>
      </c>
      <c r="C11" s="1049">
        <v>3618943.68</v>
      </c>
      <c r="D11" s="1049">
        <v>13467093.6</v>
      </c>
      <c r="E11" s="1050">
        <v>28037197.719999999</v>
      </c>
      <c r="N11" s="1049"/>
      <c r="O11" s="1049"/>
      <c r="P11" s="1049"/>
      <c r="Q11" s="1049"/>
      <c r="R11" s="1049"/>
    </row>
    <row r="12" spans="1:18" ht="15.75">
      <c r="A12" s="1464" t="s">
        <v>940</v>
      </c>
      <c r="B12" s="1049">
        <v>10892183.560000001</v>
      </c>
      <c r="C12" s="1049">
        <v>3618943.68</v>
      </c>
      <c r="D12" s="1049">
        <v>13488876.720000001</v>
      </c>
      <c r="E12" s="1050">
        <v>28000003.960000001</v>
      </c>
      <c r="N12" s="156"/>
      <c r="O12" s="156"/>
      <c r="P12" s="156"/>
      <c r="Q12" s="156"/>
    </row>
    <row r="13" spans="1:18" ht="15.75">
      <c r="A13" s="1464" t="s">
        <v>941</v>
      </c>
      <c r="B13" s="1049">
        <v>10825085.92</v>
      </c>
      <c r="C13" s="1049">
        <v>3618222.2</v>
      </c>
      <c r="D13" s="1049">
        <v>13435059.6</v>
      </c>
      <c r="E13" s="1050">
        <v>27878367.719999999</v>
      </c>
    </row>
    <row r="14" spans="1:18" ht="15.75">
      <c r="A14" s="1464" t="s">
        <v>944</v>
      </c>
      <c r="B14" s="1049">
        <v>10838072.560000001</v>
      </c>
      <c r="C14" s="1049">
        <v>3621108.1199999973</v>
      </c>
      <c r="D14" s="1049">
        <v>13429934.16</v>
      </c>
      <c r="E14" s="1050">
        <v>27889114.839999996</v>
      </c>
      <c r="F14" s="1458"/>
    </row>
    <row r="15" spans="1:18" ht="15.75">
      <c r="A15" s="1464" t="s">
        <v>960</v>
      </c>
      <c r="B15" s="1049">
        <v>10857552.52</v>
      </c>
      <c r="C15" s="1049">
        <v>3626879.96</v>
      </c>
      <c r="D15" s="1049">
        <v>13438903.68</v>
      </c>
      <c r="E15" s="1050">
        <v>27923336.16</v>
      </c>
      <c r="F15" s="1458"/>
    </row>
    <row r="16" spans="1:18" ht="15.75">
      <c r="A16" s="1464" t="s">
        <v>970</v>
      </c>
      <c r="B16" s="1049">
        <v>10852502.16</v>
      </c>
      <c r="C16" s="1049">
        <v>3629044.4</v>
      </c>
      <c r="D16" s="1049">
        <v>13444029.119999999</v>
      </c>
      <c r="E16" s="1050">
        <v>27925575.68</v>
      </c>
    </row>
    <row r="17" spans="1:14" ht="15.75">
      <c r="A17" s="1464" t="s">
        <v>974</v>
      </c>
      <c r="B17" s="1049">
        <v>10876311</v>
      </c>
      <c r="C17" s="1049">
        <v>3626879.96</v>
      </c>
      <c r="D17" s="1049">
        <v>13447873.199999999</v>
      </c>
      <c r="E17" s="1050">
        <v>27951064.16</v>
      </c>
      <c r="G17" s="1458"/>
    </row>
    <row r="18" spans="1:14" ht="15.75">
      <c r="A18" s="1464" t="s">
        <v>991</v>
      </c>
      <c r="B18" s="1049">
        <v>10891462.08</v>
      </c>
      <c r="C18" s="1049">
        <v>3637702.16</v>
      </c>
      <c r="D18" s="1049">
        <v>13436340.960000001</v>
      </c>
      <c r="E18" s="1050">
        <v>27965505.200000003</v>
      </c>
      <c r="H18" s="1458"/>
      <c r="I18" s="1458"/>
      <c r="J18" s="1458"/>
      <c r="K18" s="1458"/>
      <c r="L18" s="1458"/>
      <c r="M18" s="1458"/>
      <c r="N18" s="173"/>
    </row>
    <row r="19" spans="1:14" s="1458" customFormat="1" ht="15.75">
      <c r="A19" s="895" t="s">
        <v>1009</v>
      </c>
      <c r="B19" s="1051">
        <v>10620185.6</v>
      </c>
      <c r="C19" s="1051">
        <v>3601628.16</v>
      </c>
      <c r="D19" s="1051">
        <v>13124970.48</v>
      </c>
      <c r="E19" s="1052">
        <f t="shared" ref="E19" si="0">+D19+C19+B19</f>
        <v>27346784.240000002</v>
      </c>
      <c r="F19" s="77"/>
      <c r="G19" s="77"/>
      <c r="H19" s="77"/>
      <c r="I19" s="77"/>
      <c r="J19" s="77"/>
      <c r="K19" s="77"/>
      <c r="L19" s="77"/>
      <c r="M19" s="77"/>
      <c r="N19" s="173"/>
    </row>
    <row r="20" spans="1:14">
      <c r="N20" s="173"/>
    </row>
    <row r="21" spans="1:14">
      <c r="N21" s="173"/>
    </row>
    <row r="22" spans="1:14">
      <c r="N22" s="173"/>
    </row>
  </sheetData>
  <pageMargins left="0.7" right="0.7" top="0.75" bottom="0.75" header="0.3" footer="0.3"/>
  <pageSetup scale="58"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I5:O58"/>
  <sheetViews>
    <sheetView showGridLines="0" view="pageBreakPreview" zoomScale="85" zoomScaleNormal="100" zoomScaleSheetLayoutView="85" workbookViewId="0">
      <selection activeCell="M36" sqref="M36"/>
    </sheetView>
  </sheetViews>
  <sheetFormatPr baseColWidth="10" defaultRowHeight="15"/>
  <cols>
    <col min="8" max="8" width="23.7109375" customWidth="1"/>
    <col min="11" max="11" width="26.85546875" customWidth="1"/>
    <col min="12" max="12" width="22.28515625" customWidth="1"/>
    <col min="13" max="13" width="15" customWidth="1"/>
    <col min="14" max="14" width="19.7109375" customWidth="1"/>
    <col min="15" max="15" width="11.42578125" style="197"/>
  </cols>
  <sheetData>
    <row r="5" ht="21" customHeight="1"/>
    <row r="21" spans="13:14">
      <c r="M21" s="77"/>
      <c r="N21" s="77"/>
    </row>
    <row r="22" spans="13:14">
      <c r="M22" s="77"/>
      <c r="N22" s="77"/>
    </row>
    <row r="23" spans="13:14">
      <c r="M23" s="77"/>
      <c r="N23" s="77"/>
    </row>
    <row r="24" spans="13:14">
      <c r="M24" s="77"/>
      <c r="N24" s="77"/>
    </row>
    <row r="25" spans="13:14">
      <c r="M25" s="77"/>
      <c r="N25" s="77"/>
    </row>
    <row r="26" spans="13:14">
      <c r="M26" s="77"/>
      <c r="N26" s="77"/>
    </row>
    <row r="27" spans="13:14">
      <c r="M27" s="77"/>
      <c r="N27" s="77"/>
    </row>
    <row r="28" spans="13:14">
      <c r="M28" s="173"/>
      <c r="N28" s="77"/>
    </row>
    <row r="29" spans="13:14">
      <c r="M29" s="77"/>
      <c r="N29" s="77"/>
    </row>
    <row r="30" spans="13:14">
      <c r="M30" s="77"/>
      <c r="N30" s="77"/>
    </row>
    <row r="31" spans="13:14">
      <c r="M31" s="77"/>
      <c r="N31" s="77"/>
    </row>
    <row r="32" spans="13:14">
      <c r="M32" s="77"/>
      <c r="N32" s="77"/>
    </row>
    <row r="33" spans="13:14">
      <c r="M33" s="77"/>
      <c r="N33" s="77"/>
    </row>
    <row r="34" spans="13:14">
      <c r="M34" s="77"/>
      <c r="N34" s="77"/>
    </row>
    <row r="35" spans="13:14">
      <c r="M35" s="77"/>
      <c r="N35" s="77"/>
    </row>
    <row r="36" spans="13:14">
      <c r="M36" s="77"/>
      <c r="N36" s="77"/>
    </row>
    <row r="37" spans="13:14">
      <c r="M37" s="77"/>
      <c r="N37" s="77"/>
    </row>
    <row r="38" spans="13:14">
      <c r="M38" s="77"/>
      <c r="N38" s="77"/>
    </row>
    <row r="42" spans="13:14">
      <c r="M42" s="268"/>
      <c r="N42" s="268"/>
    </row>
    <row r="43" spans="13:14">
      <c r="N43" s="173"/>
    </row>
    <row r="58" spans="9:9">
      <c r="I58" s="144"/>
    </row>
  </sheetData>
  <pageMargins left="0.7" right="0.7" top="0.75" bottom="0.75" header="0.3" footer="0.3"/>
  <pageSetup scale="67" orientation="landscape" r:id="rId1"/>
  <rowBreaks count="1" manualBreakCount="1">
    <brk id="44" max="11"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L44"/>
  <sheetViews>
    <sheetView showGridLines="0" view="pageBreakPreview" zoomScale="55" zoomScaleNormal="85" zoomScaleSheetLayoutView="55" workbookViewId="0">
      <selection activeCell="N18" sqref="N18"/>
    </sheetView>
  </sheetViews>
  <sheetFormatPr baseColWidth="10" defaultColWidth="11.42578125" defaultRowHeight="15"/>
  <cols>
    <col min="1" max="1" width="24.85546875" style="77" customWidth="1"/>
    <col min="2" max="2" width="35.140625" style="77" customWidth="1"/>
    <col min="3" max="3" width="34.42578125" style="77" customWidth="1"/>
    <col min="4" max="4" width="23.42578125" style="77" customWidth="1"/>
    <col min="5" max="5" width="22" style="77" bestFit="1" customWidth="1"/>
    <col min="6" max="6" width="16.7109375" style="77" customWidth="1"/>
    <col min="7" max="7" width="11.42578125" style="77"/>
    <col min="8" max="8" width="16.5703125" style="77" customWidth="1"/>
    <col min="9" max="9" width="19.42578125" style="77" customWidth="1"/>
    <col min="10" max="10" width="30.85546875" style="77" customWidth="1"/>
    <col min="11" max="11" width="15.85546875" style="77" customWidth="1"/>
    <col min="12" max="12" width="11.42578125" style="77"/>
    <col min="13" max="13" width="19.85546875" style="77" bestFit="1" customWidth="1"/>
    <col min="14" max="16384" width="11.42578125" style="77"/>
  </cols>
  <sheetData>
    <row r="1" spans="1:12" ht="91.5" customHeight="1">
      <c r="A1" s="2174"/>
      <c r="B1" s="2174"/>
      <c r="C1" s="2174"/>
      <c r="D1" s="2174"/>
      <c r="E1" s="2174"/>
      <c r="F1" s="2174"/>
      <c r="G1" s="2174"/>
      <c r="H1" s="2174"/>
      <c r="I1" s="2174"/>
      <c r="J1" s="2174"/>
      <c r="K1" s="2174"/>
      <c r="L1" s="2174"/>
    </row>
    <row r="2" spans="1:12" ht="10.5" customHeight="1"/>
    <row r="3" spans="1:12" ht="27" customHeight="1">
      <c r="A3" s="684" t="s">
        <v>25</v>
      </c>
      <c r="B3" s="682" t="s">
        <v>159</v>
      </c>
      <c r="C3" s="9"/>
      <c r="D3" s="94"/>
      <c r="E3" s="94"/>
      <c r="F3" s="94"/>
      <c r="G3" s="94"/>
      <c r="H3" s="94"/>
      <c r="I3" s="94"/>
      <c r="J3" s="94"/>
      <c r="K3" s="94"/>
    </row>
    <row r="4" spans="1:12" ht="17.25">
      <c r="A4" s="685">
        <v>2003</v>
      </c>
      <c r="B4" s="681">
        <v>1813713639.4200001</v>
      </c>
      <c r="C4" s="1224"/>
      <c r="D4" s="725"/>
      <c r="E4" s="94"/>
      <c r="F4" s="94"/>
      <c r="G4" s="94"/>
      <c r="H4" s="94"/>
      <c r="I4" s="94"/>
      <c r="J4" s="94"/>
      <c r="K4" s="94"/>
    </row>
    <row r="5" spans="1:12" ht="16.5" customHeight="1">
      <c r="A5" s="685">
        <v>2004</v>
      </c>
      <c r="B5" s="681">
        <v>6547406092.6799994</v>
      </c>
      <c r="C5" s="1224"/>
      <c r="D5" s="725"/>
      <c r="E5" s="94"/>
      <c r="F5" s="1453"/>
      <c r="G5" s="94"/>
      <c r="H5" s="94"/>
      <c r="I5" s="94"/>
      <c r="J5" s="94"/>
      <c r="K5" s="94"/>
    </row>
    <row r="6" spans="1:12" ht="17.25">
      <c r="A6" s="685">
        <v>2005</v>
      </c>
      <c r="B6" s="681">
        <v>8393553851.0549603</v>
      </c>
      <c r="C6" s="1224"/>
      <c r="D6" s="725"/>
      <c r="E6" s="94"/>
      <c r="F6" s="1453"/>
      <c r="G6" s="94"/>
      <c r="H6" s="94"/>
      <c r="I6" s="94"/>
      <c r="J6" s="94"/>
      <c r="K6" s="94"/>
    </row>
    <row r="7" spans="1:12" ht="17.25">
      <c r="A7" s="685">
        <v>2006</v>
      </c>
      <c r="B7" s="681">
        <v>9613650449.1000004</v>
      </c>
      <c r="C7" s="1224"/>
      <c r="D7" s="725"/>
      <c r="E7" s="94"/>
      <c r="F7" s="1453"/>
      <c r="G7" s="94"/>
      <c r="H7" s="94"/>
      <c r="I7" s="94"/>
      <c r="J7" s="94"/>
      <c r="K7" s="94"/>
    </row>
    <row r="8" spans="1:12" ht="17.25">
      <c r="A8" s="685">
        <v>2007</v>
      </c>
      <c r="B8" s="681">
        <v>14892605258.139</v>
      </c>
      <c r="C8" s="1224"/>
      <c r="D8" s="725"/>
      <c r="E8" s="94"/>
      <c r="F8" s="1453"/>
      <c r="G8" s="94"/>
      <c r="H8" s="94"/>
      <c r="I8" s="94"/>
      <c r="J8" s="94"/>
      <c r="K8" s="94"/>
    </row>
    <row r="9" spans="1:12" ht="17.25">
      <c r="A9" s="685">
        <v>2008</v>
      </c>
      <c r="B9" s="681">
        <v>15887938438.049997</v>
      </c>
      <c r="C9" s="1224"/>
      <c r="D9" s="725"/>
      <c r="E9" s="94"/>
      <c r="F9" s="1453"/>
      <c r="G9" s="94"/>
      <c r="H9" s="94"/>
      <c r="I9" s="94"/>
      <c r="J9" s="94"/>
      <c r="K9" s="94"/>
    </row>
    <row r="10" spans="1:12" ht="17.25">
      <c r="A10" s="685">
        <v>2009</v>
      </c>
      <c r="B10" s="681">
        <v>18789773765.599998</v>
      </c>
      <c r="C10" s="1224"/>
      <c r="D10" s="725"/>
      <c r="E10" s="94"/>
      <c r="F10" s="1453"/>
      <c r="G10" s="94"/>
      <c r="H10" s="94"/>
      <c r="I10" s="94"/>
      <c r="J10" s="94"/>
      <c r="K10" s="94"/>
    </row>
    <row r="11" spans="1:12" ht="17.25">
      <c r="A11" s="685">
        <v>2010</v>
      </c>
      <c r="B11" s="681">
        <v>23938490112.329998</v>
      </c>
      <c r="C11" s="1224"/>
      <c r="D11" s="725"/>
      <c r="E11" s="94"/>
      <c r="F11" s="1453"/>
      <c r="G11" s="94"/>
      <c r="H11" s="94"/>
      <c r="I11" s="94"/>
      <c r="J11" s="94"/>
      <c r="K11" s="94"/>
    </row>
    <row r="12" spans="1:12" ht="17.25">
      <c r="A12" s="685">
        <v>2011</v>
      </c>
      <c r="B12" s="681">
        <v>23585106301.460003</v>
      </c>
      <c r="C12" s="268"/>
      <c r="D12" s="725"/>
      <c r="E12" s="9"/>
      <c r="F12" s="1453"/>
      <c r="G12" s="9"/>
      <c r="H12" s="94"/>
      <c r="I12" s="94"/>
      <c r="J12" s="94"/>
      <c r="K12" s="94"/>
    </row>
    <row r="13" spans="1:12" ht="17.25">
      <c r="A13" s="685" t="s">
        <v>457</v>
      </c>
      <c r="B13" s="681">
        <v>26400473552.350002</v>
      </c>
      <c r="C13" s="268"/>
      <c r="D13" s="725"/>
      <c r="E13" s="1224"/>
      <c r="F13" s="1453"/>
      <c r="G13" s="9"/>
      <c r="H13" s="94"/>
      <c r="I13" s="94"/>
      <c r="J13" s="94"/>
      <c r="K13" s="94"/>
    </row>
    <row r="14" spans="1:12" ht="17.25">
      <c r="A14" s="685" t="s">
        <v>534</v>
      </c>
      <c r="B14" s="681">
        <v>29506184318.750004</v>
      </c>
      <c r="C14" s="1224"/>
      <c r="D14" s="725"/>
      <c r="E14" s="94"/>
      <c r="F14" s="1453"/>
      <c r="G14" s="9"/>
      <c r="H14" s="94"/>
      <c r="I14" s="94"/>
      <c r="J14" s="94"/>
      <c r="K14" s="94"/>
    </row>
    <row r="15" spans="1:12" ht="17.25">
      <c r="A15" s="685" t="s">
        <v>541</v>
      </c>
      <c r="B15" s="681">
        <v>33591892120.470001</v>
      </c>
      <c r="E15" s="94"/>
      <c r="F15" s="1453"/>
      <c r="G15" s="9"/>
      <c r="H15" s="94"/>
      <c r="I15" s="94"/>
      <c r="J15" s="94"/>
      <c r="K15" s="94"/>
    </row>
    <row r="16" spans="1:12" ht="17.25">
      <c r="A16" s="1470" t="s">
        <v>900</v>
      </c>
      <c r="B16" s="1469">
        <v>38018208331.940002</v>
      </c>
      <c r="E16" s="94"/>
      <c r="F16" s="1453"/>
      <c r="G16" s="9"/>
      <c r="H16" s="94"/>
      <c r="I16" s="94"/>
      <c r="J16" s="94"/>
      <c r="K16" s="94"/>
    </row>
    <row r="17" spans="1:11" s="1458" customFormat="1" ht="17.25">
      <c r="A17" s="1470" t="s">
        <v>1005</v>
      </c>
      <c r="B17" s="1469">
        <v>13707358389.510002</v>
      </c>
      <c r="E17" s="1453"/>
      <c r="F17" s="1453"/>
      <c r="G17" s="9"/>
      <c r="H17" s="1453"/>
      <c r="I17" s="1453"/>
      <c r="J17" s="1453"/>
      <c r="K17" s="1453"/>
    </row>
    <row r="18" spans="1:11" ht="17.25">
      <c r="A18" s="680" t="s">
        <v>23</v>
      </c>
      <c r="B18" s="683">
        <f>SUM(B4:B17)</f>
        <v>264686354620.85397</v>
      </c>
      <c r="E18" s="94"/>
      <c r="F18" s="1453"/>
      <c r="G18" s="1"/>
    </row>
    <row r="19" spans="1:11">
      <c r="A19" s="1"/>
      <c r="B19" s="1"/>
      <c r="C19" s="1"/>
      <c r="E19" s="94"/>
      <c r="F19" s="1"/>
      <c r="G19" s="1"/>
    </row>
    <row r="20" spans="1:11">
      <c r="A20" s="1"/>
      <c r="B20" s="1"/>
      <c r="C20" s="1"/>
      <c r="E20" s="94"/>
      <c r="F20" s="1"/>
      <c r="G20" s="1"/>
    </row>
    <row r="21" spans="1:11">
      <c r="A21" s="1"/>
      <c r="B21" s="1"/>
      <c r="C21" s="1"/>
      <c r="D21" s="1"/>
      <c r="E21" s="1"/>
      <c r="F21" s="1"/>
      <c r="G21" s="1"/>
    </row>
    <row r="22" spans="1:11">
      <c r="A22" s="1"/>
      <c r="B22" s="1"/>
      <c r="C22" s="1"/>
      <c r="D22" s="1"/>
      <c r="E22" s="1"/>
      <c r="F22" s="1"/>
      <c r="G22" s="1"/>
    </row>
    <row r="23" spans="1:11">
      <c r="A23" s="1"/>
      <c r="B23" s="1"/>
      <c r="C23" s="1"/>
      <c r="D23" s="1"/>
      <c r="E23" s="1"/>
      <c r="F23" s="1"/>
      <c r="G23" s="1"/>
    </row>
    <row r="24" spans="1:11">
      <c r="A24" s="1"/>
      <c r="B24" s="1"/>
      <c r="C24" s="1"/>
      <c r="D24" s="1"/>
      <c r="E24" s="1"/>
      <c r="F24" s="1"/>
      <c r="G24" s="1"/>
    </row>
    <row r="25" spans="1:11">
      <c r="A25" s="1"/>
      <c r="B25" s="1"/>
      <c r="C25" s="1"/>
      <c r="D25" s="1"/>
      <c r="E25" s="1"/>
      <c r="F25" s="1"/>
      <c r="G25" s="1"/>
    </row>
    <row r="26" spans="1:11">
      <c r="A26" s="1"/>
      <c r="B26" s="1"/>
      <c r="C26" s="1"/>
      <c r="D26" s="1"/>
      <c r="E26" s="1"/>
      <c r="F26" s="1"/>
      <c r="G26" s="1"/>
    </row>
    <row r="27" spans="1:11">
      <c r="A27" s="1"/>
      <c r="B27" s="1"/>
      <c r="C27" s="1"/>
      <c r="D27" s="1"/>
      <c r="E27" s="1"/>
      <c r="F27" s="1"/>
      <c r="G27" s="1"/>
    </row>
    <row r="28" spans="1:11">
      <c r="A28" s="1"/>
      <c r="B28" s="1"/>
      <c r="C28" s="1"/>
      <c r="D28" s="1"/>
      <c r="E28" s="1"/>
      <c r="F28" s="1"/>
      <c r="G28" s="1"/>
    </row>
    <row r="29" spans="1:11">
      <c r="A29" s="1"/>
      <c r="B29" s="1"/>
      <c r="C29" s="1"/>
      <c r="D29" s="1"/>
      <c r="E29" s="1"/>
      <c r="F29" s="1"/>
      <c r="G29" s="1"/>
    </row>
    <row r="30" spans="1:11">
      <c r="A30" s="1"/>
      <c r="B30" s="1"/>
      <c r="C30" s="1"/>
      <c r="D30" s="1"/>
      <c r="E30" s="1"/>
      <c r="F30" s="1"/>
      <c r="G30" s="1"/>
    </row>
    <row r="31" spans="1:11">
      <c r="A31" s="1"/>
      <c r="B31" s="1"/>
      <c r="C31" s="1"/>
      <c r="D31" s="1"/>
      <c r="E31" s="1"/>
      <c r="F31" s="1"/>
      <c r="G31" s="1"/>
    </row>
    <row r="32" spans="1:11">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sheetData>
  <mergeCells count="1">
    <mergeCell ref="A1:L1"/>
  </mergeCells>
  <printOptions horizontalCentered="1"/>
  <pageMargins left="0.70866141732283472" right="0.70866141732283472" top="0.33" bottom="0.74803149606299213" header="0.31496062992125984" footer="0.31496062992125984"/>
  <pageSetup scale="46" orientation="landscape" r:id="rId1"/>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U39"/>
  <sheetViews>
    <sheetView showGridLines="0" view="pageBreakPreview" zoomScale="85" zoomScaleNormal="70" zoomScaleSheetLayoutView="85" workbookViewId="0">
      <pane xSplit="1" ySplit="3" topLeftCell="F4" activePane="bottomRight" state="frozen"/>
      <selection pane="topRight" activeCell="B1" sqref="B1"/>
      <selection pane="bottomLeft" activeCell="A4" sqref="A4"/>
      <selection pane="bottomRight" activeCell="Q28" sqref="Q28"/>
    </sheetView>
  </sheetViews>
  <sheetFormatPr baseColWidth="10" defaultColWidth="11.5703125" defaultRowHeight="15"/>
  <cols>
    <col min="1" max="1" width="17.5703125" customWidth="1"/>
    <col min="2" max="2" width="16.28515625" style="77" customWidth="1"/>
    <col min="3" max="3" width="18.42578125" customWidth="1"/>
    <col min="4" max="4" width="16.28515625" customWidth="1"/>
    <col min="5" max="5" width="16.7109375" customWidth="1"/>
    <col min="6" max="6" width="17.42578125" customWidth="1"/>
    <col min="7" max="7" width="17.28515625" customWidth="1"/>
    <col min="8" max="8" width="19.140625" customWidth="1"/>
    <col min="9" max="9" width="17.28515625" customWidth="1"/>
    <col min="10" max="10" width="17.42578125" customWidth="1"/>
    <col min="11" max="11" width="17.85546875" bestFit="1" customWidth="1"/>
    <col min="12" max="12" width="19.140625" customWidth="1"/>
    <col min="13" max="14" width="19.140625" style="77" customWidth="1"/>
    <col min="15" max="15" width="19.140625" style="1458" customWidth="1"/>
    <col min="16" max="16" width="20.85546875" customWidth="1"/>
    <col min="17" max="17" width="20.5703125" customWidth="1"/>
    <col min="18" max="18" width="30" customWidth="1"/>
    <col min="19" max="19" width="19.28515625" bestFit="1" customWidth="1"/>
    <col min="20" max="20" width="16.28515625" bestFit="1" customWidth="1"/>
    <col min="21" max="21" width="19.28515625" bestFit="1" customWidth="1"/>
  </cols>
  <sheetData>
    <row r="1" spans="1:21" ht="77.25" customHeight="1">
      <c r="A1" s="2174"/>
      <c r="B1" s="2174"/>
      <c r="C1" s="2174"/>
      <c r="D1" s="2174"/>
      <c r="E1" s="2174"/>
      <c r="F1" s="2174"/>
      <c r="G1" s="2174"/>
      <c r="H1" s="2174"/>
      <c r="I1" s="2174"/>
      <c r="J1" s="2174"/>
      <c r="K1" s="2174"/>
      <c r="L1" s="2174"/>
      <c r="M1" s="2174"/>
      <c r="N1" s="2174"/>
      <c r="O1" s="2174"/>
      <c r="P1" s="2174"/>
    </row>
    <row r="2" spans="1:21" s="77" customFormat="1" ht="5.25" customHeight="1">
      <c r="A2" s="280"/>
      <c r="B2" s="279"/>
      <c r="C2" s="279"/>
      <c r="D2" s="279"/>
      <c r="E2" s="279"/>
      <c r="F2" s="279"/>
      <c r="G2" s="279"/>
      <c r="H2" s="279"/>
      <c r="I2" s="279"/>
      <c r="J2" s="279"/>
      <c r="K2" s="279"/>
      <c r="L2" s="279"/>
      <c r="M2" s="279"/>
      <c r="N2" s="279"/>
      <c r="O2" s="279"/>
    </row>
    <row r="3" spans="1:21" ht="21" customHeight="1">
      <c r="A3" s="513" t="s">
        <v>169</v>
      </c>
      <c r="B3" s="470" t="s">
        <v>213</v>
      </c>
      <c r="C3" s="470">
        <v>2004</v>
      </c>
      <c r="D3" s="470">
        <v>2005</v>
      </c>
      <c r="E3" s="470">
        <v>2006</v>
      </c>
      <c r="F3" s="470">
        <v>2007</v>
      </c>
      <c r="G3" s="470">
        <v>2008</v>
      </c>
      <c r="H3" s="470">
        <v>2009</v>
      </c>
      <c r="I3" s="470">
        <v>2010</v>
      </c>
      <c r="J3" s="470" t="s">
        <v>228</v>
      </c>
      <c r="K3" s="470" t="s">
        <v>457</v>
      </c>
      <c r="L3" s="470" t="s">
        <v>534</v>
      </c>
      <c r="M3" s="470" t="s">
        <v>541</v>
      </c>
      <c r="N3" s="1462" t="s">
        <v>900</v>
      </c>
      <c r="O3" s="1462" t="s">
        <v>1008</v>
      </c>
      <c r="P3" s="474" t="s">
        <v>23</v>
      </c>
    </row>
    <row r="4" spans="1:21" s="39" customFormat="1">
      <c r="A4" s="469" t="s">
        <v>69</v>
      </c>
      <c r="B4" s="468">
        <v>1450970911.5360003</v>
      </c>
      <c r="C4" s="468">
        <v>4388448532.5416241</v>
      </c>
      <c r="D4" s="468">
        <v>5761654867.9499998</v>
      </c>
      <c r="E4" s="468">
        <v>7098103492.750001</v>
      </c>
      <c r="F4" s="468">
        <v>9157024021.4599991</v>
      </c>
      <c r="G4" s="468">
        <v>10971688650.739998</v>
      </c>
      <c r="H4" s="468">
        <v>14102437235.269999</v>
      </c>
      <c r="I4" s="468">
        <v>18859679063.360001</v>
      </c>
      <c r="J4" s="468">
        <v>18145611295.329998</v>
      </c>
      <c r="K4" s="468">
        <v>20525176273.790001</v>
      </c>
      <c r="L4" s="468">
        <v>23041717787.599998</v>
      </c>
      <c r="M4" s="468">
        <v>26294772742.880001</v>
      </c>
      <c r="N4" s="1461">
        <v>29894688584.509998</v>
      </c>
      <c r="O4" s="1461">
        <v>10806616617.950001</v>
      </c>
      <c r="P4" s="475">
        <f>SUM(B4:O4)</f>
        <v>200498590077.66766</v>
      </c>
      <c r="Q4" s="207"/>
      <c r="R4" s="140"/>
      <c r="S4" s="1361"/>
    </row>
    <row r="5" spans="1:21" s="39" customFormat="1">
      <c r="A5" s="469" t="s">
        <v>70</v>
      </c>
      <c r="B5" s="468">
        <v>0</v>
      </c>
      <c r="C5" s="468">
        <v>572745548.09000003</v>
      </c>
      <c r="D5" s="468">
        <v>801549025.60000014</v>
      </c>
      <c r="E5" s="468">
        <v>470524902.12</v>
      </c>
      <c r="F5" s="468">
        <v>726388233.41900003</v>
      </c>
      <c r="G5" s="468">
        <v>702593218.49000001</v>
      </c>
      <c r="H5" s="468">
        <v>791490784.11000001</v>
      </c>
      <c r="I5" s="468">
        <v>935805888.13999999</v>
      </c>
      <c r="J5" s="468">
        <v>1045138743.0899999</v>
      </c>
      <c r="K5" s="468">
        <v>1032095716.16</v>
      </c>
      <c r="L5" s="468">
        <v>1079979360.3499999</v>
      </c>
      <c r="M5" s="468">
        <v>1200713160.95</v>
      </c>
      <c r="N5" s="1461">
        <v>1165642512.95</v>
      </c>
      <c r="O5" s="1461">
        <v>380846973.13999999</v>
      </c>
      <c r="P5" s="475">
        <f t="shared" ref="P5:P11" si="0">SUM(B5:O5)</f>
        <v>10905514066.609001</v>
      </c>
      <c r="Q5" s="207"/>
      <c r="R5" s="207"/>
      <c r="S5" s="1361"/>
    </row>
    <row r="6" spans="1:21" s="39" customFormat="1">
      <c r="A6" s="469" t="s">
        <v>71</v>
      </c>
      <c r="B6" s="468">
        <v>0</v>
      </c>
      <c r="C6" s="468">
        <v>0</v>
      </c>
      <c r="D6" s="468">
        <v>0</v>
      </c>
      <c r="E6" s="468">
        <v>0</v>
      </c>
      <c r="F6" s="468">
        <v>2506661252.1800003</v>
      </c>
      <c r="G6" s="468">
        <v>1248799551.6500001</v>
      </c>
      <c r="H6" s="468">
        <v>404625934.49000001</v>
      </c>
      <c r="I6" s="98">
        <v>0</v>
      </c>
      <c r="J6" s="468">
        <v>0</v>
      </c>
      <c r="K6" s="468">
        <v>0</v>
      </c>
      <c r="L6" s="468">
        <v>0</v>
      </c>
      <c r="M6" s="468">
        <v>0</v>
      </c>
      <c r="N6" s="1461">
        <v>0</v>
      </c>
      <c r="O6" s="1461"/>
      <c r="P6" s="475">
        <f t="shared" si="0"/>
        <v>4160086738.3200006</v>
      </c>
      <c r="Q6" s="207"/>
      <c r="S6" s="1361"/>
    </row>
    <row r="7" spans="1:21" s="39" customFormat="1">
      <c r="A7" s="469" t="s">
        <v>72</v>
      </c>
      <c r="B7" s="468">
        <v>181371363.94200003</v>
      </c>
      <c r="C7" s="468">
        <v>753930807.93586206</v>
      </c>
      <c r="D7" s="468">
        <v>787020865.17999995</v>
      </c>
      <c r="E7" s="468">
        <v>905145735.52999997</v>
      </c>
      <c r="F7" s="468">
        <v>1128937194.7399998</v>
      </c>
      <c r="G7" s="468">
        <v>1354809029.5900002</v>
      </c>
      <c r="H7" s="468">
        <v>1598791980.2700002</v>
      </c>
      <c r="I7" s="468">
        <v>1839177727.5999999</v>
      </c>
      <c r="J7" s="98">
        <v>2055053729.2299998</v>
      </c>
      <c r="K7" s="468">
        <v>2278168828.7800002</v>
      </c>
      <c r="L7" s="468">
        <v>2543371766.8299999</v>
      </c>
      <c r="M7" s="468">
        <v>2879320929.98</v>
      </c>
      <c r="N7" s="1461">
        <v>3331923739.29</v>
      </c>
      <c r="O7" s="1461">
        <v>1217569313.8900001</v>
      </c>
      <c r="P7" s="475">
        <f t="shared" si="0"/>
        <v>22854593012.787865</v>
      </c>
      <c r="Q7" s="207"/>
      <c r="S7" s="1361"/>
    </row>
    <row r="8" spans="1:21" s="39" customFormat="1" ht="15.75" customHeight="1">
      <c r="A8" s="469" t="s">
        <v>73</v>
      </c>
      <c r="B8" s="468">
        <v>0</v>
      </c>
      <c r="C8" s="468">
        <v>0</v>
      </c>
      <c r="D8" s="468">
        <v>44554249.010000005</v>
      </c>
      <c r="E8" s="468">
        <v>50116429.870000005</v>
      </c>
      <c r="F8" s="468">
        <v>66693954.190000013</v>
      </c>
      <c r="G8" s="468">
        <v>70260729.659999996</v>
      </c>
      <c r="H8" s="468">
        <v>75325664.86999999</v>
      </c>
      <c r="I8" s="468">
        <v>87578847.120000005</v>
      </c>
      <c r="J8" s="468">
        <v>91807218.480000004</v>
      </c>
      <c r="K8" s="468">
        <v>92110689.790000007</v>
      </c>
      <c r="L8" s="468">
        <v>84379473.989999995</v>
      </c>
      <c r="M8" s="468">
        <v>98680828.370000005</v>
      </c>
      <c r="N8" s="1461">
        <v>102722311.89</v>
      </c>
      <c r="O8" s="1461">
        <v>37519112.799999997</v>
      </c>
      <c r="P8" s="475">
        <f t="shared" si="0"/>
        <v>901749510.03999996</v>
      </c>
      <c r="Q8" s="207"/>
      <c r="S8" s="1361"/>
    </row>
    <row r="9" spans="1:21" s="39" customFormat="1">
      <c r="A9" s="469" t="s">
        <v>74</v>
      </c>
      <c r="B9" s="468">
        <v>90685681.971000016</v>
      </c>
      <c r="C9" s="468">
        <v>418581034.097597</v>
      </c>
      <c r="D9" s="468">
        <v>499326061.26086009</v>
      </c>
      <c r="E9" s="468">
        <v>539813903.23000002</v>
      </c>
      <c r="F9" s="468">
        <v>653915330.37</v>
      </c>
      <c r="G9" s="468">
        <v>775828907.30000007</v>
      </c>
      <c r="H9" s="468">
        <v>933206115.5</v>
      </c>
      <c r="I9" s="468">
        <v>1197840913.1600001</v>
      </c>
      <c r="J9" s="468">
        <v>1153613834.1200001</v>
      </c>
      <c r="K9" s="468">
        <v>1270496588.99</v>
      </c>
      <c r="L9" s="468">
        <v>1415686748.8699999</v>
      </c>
      <c r="M9" s="468">
        <v>1604198175.8299999</v>
      </c>
      <c r="N9" s="1461">
        <v>1807962241.5899999</v>
      </c>
      <c r="O9" s="1461">
        <v>650299014.58000004</v>
      </c>
      <c r="P9" s="475">
        <f t="shared" si="0"/>
        <v>13011454550.869457</v>
      </c>
      <c r="Q9" s="207"/>
      <c r="S9" s="1361"/>
    </row>
    <row r="10" spans="1:21" s="39" customFormat="1">
      <c r="A10" s="469" t="s">
        <v>75</v>
      </c>
      <c r="B10" s="468">
        <v>18137136.394200001</v>
      </c>
      <c r="C10" s="468">
        <v>82086304.309749991</v>
      </c>
      <c r="D10" s="468">
        <v>99075487.134100005</v>
      </c>
      <c r="E10" s="468">
        <v>109989360.61999997</v>
      </c>
      <c r="F10" s="468">
        <v>130598212.33</v>
      </c>
      <c r="G10" s="468">
        <v>140123264.7405</v>
      </c>
      <c r="H10" s="936">
        <v>132002937.52000001</v>
      </c>
      <c r="I10" s="468">
        <v>188169177.71000004</v>
      </c>
      <c r="J10" s="468">
        <v>162448764.51999998</v>
      </c>
      <c r="K10" s="468">
        <v>179079077.34999999</v>
      </c>
      <c r="L10" s="468">
        <v>199265984.22999999</v>
      </c>
      <c r="M10" s="468">
        <v>225520451.75999999</v>
      </c>
      <c r="N10" s="1461">
        <v>254409838.94999999</v>
      </c>
      <c r="O10" s="1461">
        <v>91522203.890000001</v>
      </c>
      <c r="P10" s="475">
        <f t="shared" si="0"/>
        <v>2012428201.4585502</v>
      </c>
      <c r="Q10" s="207"/>
      <c r="S10" s="1361"/>
    </row>
    <row r="11" spans="1:21" s="39" customFormat="1">
      <c r="A11" s="469" t="s">
        <v>439</v>
      </c>
      <c r="B11" s="468">
        <v>72548545.576800004</v>
      </c>
      <c r="C11" s="468">
        <v>331613866.00516498</v>
      </c>
      <c r="D11" s="468">
        <v>400373294.9199999</v>
      </c>
      <c r="E11" s="468">
        <v>439956624.98000002</v>
      </c>
      <c r="F11" s="468">
        <v>522387059.45000005</v>
      </c>
      <c r="G11" s="468">
        <v>623835085.87950003</v>
      </c>
      <c r="H11" s="468">
        <v>751893113.57000005</v>
      </c>
      <c r="I11" s="468">
        <v>830238495.24000001</v>
      </c>
      <c r="J11" s="468">
        <v>931432716.68999994</v>
      </c>
      <c r="K11" s="468">
        <v>1023346377.39</v>
      </c>
      <c r="L11" s="468">
        <v>1141783196.8699999</v>
      </c>
      <c r="M11" s="468">
        <v>1288685830.7</v>
      </c>
      <c r="N11" s="1461">
        <v>1460859102.76</v>
      </c>
      <c r="O11" s="1461">
        <v>522985153.25999999</v>
      </c>
      <c r="P11" s="475">
        <f t="shared" si="0"/>
        <v>10341938463.291464</v>
      </c>
      <c r="Q11" s="207"/>
      <c r="S11" s="1361"/>
    </row>
    <row r="12" spans="1:21" s="897" customFormat="1" ht="18.75" customHeight="1">
      <c r="A12" s="471" t="s">
        <v>23</v>
      </c>
      <c r="B12" s="896">
        <f>SUM(B4:B11)</f>
        <v>1813713639.4200003</v>
      </c>
      <c r="C12" s="896">
        <f>SUM(C4:C11)-0.3</f>
        <v>6547406092.6799974</v>
      </c>
      <c r="D12" s="896">
        <f>SUM(D4:D11)</f>
        <v>8393553851.0549612</v>
      </c>
      <c r="E12" s="896">
        <f t="shared" ref="E12:J12" si="1">SUM(E4:E11)</f>
        <v>9613650449.1000004</v>
      </c>
      <c r="F12" s="896">
        <f>SUM(F4:F11)</f>
        <v>14892605258.139002</v>
      </c>
      <c r="G12" s="896">
        <f t="shared" si="1"/>
        <v>15887938438.049995</v>
      </c>
      <c r="H12" s="896">
        <f t="shared" si="1"/>
        <v>18789773765.600002</v>
      </c>
      <c r="I12" s="896">
        <f t="shared" si="1"/>
        <v>23938490112.329998</v>
      </c>
      <c r="J12" s="896">
        <f t="shared" si="1"/>
        <v>23585106301.459995</v>
      </c>
      <c r="K12" s="896">
        <f>SUM(K4:K11)+0.1</f>
        <v>26400473552.349998</v>
      </c>
      <c r="L12" s="896">
        <f>SUM(L4:L11)+0.01</f>
        <v>29506184318.749996</v>
      </c>
      <c r="M12" s="896">
        <f>SUM(M4:M11)</f>
        <v>33591892120.470001</v>
      </c>
      <c r="N12" s="896">
        <f>SUM(N4:N11)</f>
        <v>38018208331.939995</v>
      </c>
      <c r="O12" s="896">
        <f>SUM(O4:O11)</f>
        <v>13707358389.509998</v>
      </c>
      <c r="P12" s="1360">
        <f>SUM(P4:P11)-0.19</f>
        <v>264686354620.85403</v>
      </c>
      <c r="Q12" s="1097"/>
      <c r="S12" s="1361"/>
    </row>
    <row r="13" spans="1:21" s="39" customFormat="1" ht="12" customHeight="1">
      <c r="A13" s="107"/>
      <c r="B13" s="107"/>
      <c r="C13" s="929"/>
      <c r="D13" s="107"/>
      <c r="E13" s="107"/>
      <c r="F13" s="107"/>
      <c r="G13" s="107"/>
      <c r="H13" s="107"/>
      <c r="I13" s="107"/>
      <c r="J13" s="107"/>
      <c r="K13"/>
      <c r="L13"/>
      <c r="M13" s="77"/>
      <c r="N13" s="77"/>
      <c r="O13" s="1458"/>
      <c r="P13"/>
      <c r="Q13" s="468"/>
      <c r="S13" s="1361"/>
    </row>
    <row r="14" spans="1:21">
      <c r="A14" s="107"/>
      <c r="B14" s="107"/>
      <c r="C14" s="107"/>
      <c r="D14" s="107"/>
      <c r="E14" s="107"/>
      <c r="F14" s="107"/>
      <c r="G14" s="107"/>
      <c r="H14" s="107"/>
      <c r="I14" s="107"/>
      <c r="J14" s="107"/>
      <c r="S14" s="1361"/>
    </row>
    <row r="15" spans="1:21">
      <c r="A15" s="37"/>
      <c r="B15" s="96"/>
      <c r="C15" s="37"/>
      <c r="D15" s="156"/>
      <c r="E15" s="156"/>
      <c r="F15" s="156"/>
      <c r="G15" s="156"/>
      <c r="H15" s="156"/>
      <c r="I15" s="156"/>
      <c r="J15" s="156"/>
      <c r="K15" s="156"/>
      <c r="L15" s="156"/>
      <c r="M15" s="156"/>
      <c r="N15" s="156"/>
      <c r="O15" s="156"/>
      <c r="R15" s="173"/>
      <c r="S15" s="1361"/>
      <c r="T15" s="77"/>
      <c r="U15" s="77"/>
    </row>
    <row r="16" spans="1:21" ht="18.75">
      <c r="A16" s="37"/>
      <c r="B16" s="96"/>
      <c r="C16" s="37"/>
      <c r="D16" s="156"/>
      <c r="E16" s="156"/>
      <c r="F16" s="156"/>
      <c r="G16" s="156"/>
      <c r="H16" s="156"/>
      <c r="I16" s="156"/>
      <c r="J16" s="156"/>
      <c r="K16" s="156"/>
      <c r="L16" s="156"/>
      <c r="N16" s="156"/>
      <c r="O16" s="156"/>
      <c r="Q16" s="1359"/>
      <c r="R16" s="77"/>
      <c r="S16" s="1361"/>
      <c r="T16" s="77"/>
      <c r="U16" s="77"/>
    </row>
    <row r="17" spans="1:21">
      <c r="A17" s="37"/>
      <c r="B17" s="96"/>
      <c r="C17" s="37"/>
      <c r="D17" s="37"/>
      <c r="E17" s="37"/>
      <c r="F17" s="37"/>
      <c r="G17" s="37"/>
      <c r="H17" s="37"/>
      <c r="I17" s="37"/>
      <c r="J17" s="37"/>
      <c r="R17" s="77"/>
      <c r="S17" s="1361"/>
      <c r="T17" s="77"/>
      <c r="U17" s="77"/>
    </row>
    <row r="18" spans="1:21">
      <c r="A18" s="37"/>
      <c r="B18" s="96"/>
      <c r="C18" s="37"/>
      <c r="D18" s="37"/>
      <c r="E18" s="37"/>
      <c r="F18" s="37"/>
      <c r="G18" s="37"/>
      <c r="H18" s="37"/>
      <c r="I18" s="37"/>
      <c r="J18" s="37"/>
      <c r="Q18" s="268"/>
      <c r="R18" s="77"/>
      <c r="S18" s="1361"/>
      <c r="T18" s="77"/>
      <c r="U18" s="77"/>
    </row>
    <row r="19" spans="1:21">
      <c r="A19" s="37"/>
      <c r="B19" s="96"/>
      <c r="C19" s="37"/>
      <c r="D19" s="37"/>
      <c r="E19" s="37"/>
      <c r="F19" s="37"/>
      <c r="G19" s="37"/>
      <c r="H19" s="37"/>
      <c r="I19" s="37"/>
      <c r="J19" s="37"/>
      <c r="R19" s="77"/>
      <c r="S19" s="1361"/>
      <c r="T19" s="77"/>
      <c r="U19" s="77"/>
    </row>
    <row r="20" spans="1:21">
      <c r="C20" s="37"/>
      <c r="D20" s="37"/>
      <c r="E20" s="37"/>
      <c r="F20" s="37"/>
      <c r="G20" s="37"/>
      <c r="H20" s="37"/>
      <c r="I20" s="37"/>
      <c r="J20" s="37"/>
      <c r="K20" s="37"/>
      <c r="L20" s="37"/>
      <c r="M20" s="96"/>
      <c r="N20" s="96"/>
      <c r="O20" s="96"/>
      <c r="P20" s="37"/>
      <c r="R20" s="77"/>
      <c r="S20" s="1361"/>
      <c r="T20" s="77"/>
      <c r="U20" s="77"/>
    </row>
    <row r="21" spans="1:21">
      <c r="R21" s="77"/>
      <c r="S21" s="1361"/>
      <c r="T21" s="77"/>
      <c r="U21" s="77"/>
    </row>
    <row r="22" spans="1:21">
      <c r="I22">
        <v>34093498.089999996</v>
      </c>
      <c r="R22" s="77"/>
      <c r="S22" s="1361"/>
      <c r="T22" s="77"/>
      <c r="U22" s="77"/>
    </row>
    <row r="23" spans="1:21">
      <c r="R23" s="77"/>
      <c r="S23" s="1361"/>
      <c r="T23" s="77"/>
      <c r="U23" s="77"/>
    </row>
    <row r="24" spans="1:21">
      <c r="R24" s="77"/>
      <c r="S24" s="1361"/>
      <c r="T24" s="77"/>
      <c r="U24" s="77"/>
    </row>
    <row r="25" spans="1:21">
      <c r="R25" s="77"/>
      <c r="S25" s="1361"/>
      <c r="T25" s="77"/>
      <c r="U25" s="77"/>
    </row>
    <row r="26" spans="1:21">
      <c r="R26" s="77"/>
      <c r="S26" s="1361"/>
      <c r="T26" s="77"/>
      <c r="U26" s="77"/>
    </row>
    <row r="27" spans="1:21">
      <c r="R27" s="77"/>
      <c r="S27" s="1361"/>
      <c r="T27" s="77"/>
      <c r="U27" s="77"/>
    </row>
    <row r="28" spans="1:21">
      <c r="R28" s="77"/>
      <c r="S28" s="1361"/>
      <c r="T28" s="77"/>
      <c r="U28" s="77"/>
    </row>
    <row r="29" spans="1:21">
      <c r="R29" s="77"/>
      <c r="S29" s="1361"/>
      <c r="T29" s="77"/>
      <c r="U29" s="77"/>
    </row>
    <row r="30" spans="1:21">
      <c r="R30" s="77"/>
      <c r="S30" s="1361"/>
      <c r="T30" s="77"/>
      <c r="U30" s="77"/>
    </row>
    <row r="31" spans="1:21">
      <c r="R31" s="77"/>
      <c r="S31" s="1361"/>
      <c r="T31" s="77"/>
      <c r="U31" s="77"/>
    </row>
    <row r="32" spans="1:21">
      <c r="R32" s="77"/>
      <c r="S32" s="1361"/>
      <c r="T32" s="77"/>
      <c r="U32" s="77"/>
    </row>
    <row r="33" spans="18:21">
      <c r="R33" s="77"/>
      <c r="S33" s="1361"/>
      <c r="T33" s="77"/>
      <c r="U33" s="77"/>
    </row>
    <row r="34" spans="18:21">
      <c r="S34" s="1361"/>
      <c r="T34" s="77"/>
      <c r="U34" s="77"/>
    </row>
    <row r="38" spans="18:21" ht="58.5" customHeight="1"/>
    <row r="39" spans="18:21" ht="51.75" customHeight="1"/>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2">
    <tabColor theme="9" tint="-0.249977111117893"/>
    <pageSetUpPr fitToPage="1"/>
  </sheetPr>
  <dimension ref="A1:P33"/>
  <sheetViews>
    <sheetView showGridLines="0" view="pageBreakPreview" zoomScale="85" zoomScaleNormal="100" zoomScaleSheetLayoutView="85" workbookViewId="0">
      <pane xSplit="1" ySplit="3" topLeftCell="E4" activePane="bottomRight" state="frozen"/>
      <selection pane="topRight" activeCell="B1" sqref="B1"/>
      <selection pane="bottomLeft" activeCell="A4" sqref="A4"/>
      <selection pane="bottomRight" activeCell="M33" sqref="M33"/>
    </sheetView>
  </sheetViews>
  <sheetFormatPr baseColWidth="10" defaultColWidth="11.42578125" defaultRowHeight="15"/>
  <cols>
    <col min="1" max="1" width="26.140625" style="165" customWidth="1"/>
    <col min="2" max="2" width="18.85546875" style="852" customWidth="1"/>
    <col min="3" max="3" width="18.42578125" style="852" customWidth="1"/>
    <col min="4" max="4" width="18.7109375" style="852" customWidth="1"/>
    <col min="5" max="5" width="18.28515625" style="852" customWidth="1"/>
    <col min="6" max="6" width="18.42578125" style="852" customWidth="1"/>
    <col min="7" max="7" width="19" style="852" customWidth="1"/>
    <col min="8" max="8" width="18.42578125" style="852" customWidth="1"/>
    <col min="9" max="9" width="17.5703125" style="852" customWidth="1"/>
    <col min="10" max="11" width="18.140625" style="852" customWidth="1"/>
    <col min="12" max="12" width="22" style="852" customWidth="1"/>
    <col min="13" max="13" width="19.42578125" style="165" bestFit="1" customWidth="1"/>
    <col min="14" max="14" width="20.28515625" style="165" customWidth="1"/>
    <col min="15" max="15" width="17.7109375" style="165" customWidth="1"/>
    <col min="16" max="16384" width="11.42578125" style="165"/>
  </cols>
  <sheetData>
    <row r="1" spans="1:16" s="907" customFormat="1" ht="69.75" customHeight="1">
      <c r="A1" s="2182"/>
      <c r="B1" s="2182"/>
      <c r="C1" s="2182"/>
      <c r="D1" s="2182"/>
      <c r="E1" s="2183"/>
      <c r="F1" s="2183"/>
      <c r="G1" s="2183"/>
      <c r="H1" s="2183"/>
      <c r="I1" s="2183"/>
      <c r="J1" s="2183"/>
      <c r="K1" s="2183"/>
      <c r="L1" s="2183"/>
    </row>
    <row r="2" spans="1:16" ht="3" customHeight="1">
      <c r="A2" s="2184"/>
      <c r="B2" s="2184"/>
      <c r="C2" s="2184"/>
      <c r="D2" s="2184"/>
      <c r="E2" s="2184"/>
    </row>
    <row r="3" spans="1:16">
      <c r="A3" s="904" t="s">
        <v>654</v>
      </c>
      <c r="B3" s="904">
        <v>2007</v>
      </c>
      <c r="C3" s="904">
        <v>2008</v>
      </c>
      <c r="D3" s="904">
        <v>2009</v>
      </c>
      <c r="E3" s="904">
        <v>2010</v>
      </c>
      <c r="F3" s="904">
        <v>2011</v>
      </c>
      <c r="G3" s="904">
        <v>2012</v>
      </c>
      <c r="H3" s="904">
        <v>2013</v>
      </c>
      <c r="I3" s="904">
        <v>2014</v>
      </c>
      <c r="J3" s="904">
        <v>2015</v>
      </c>
      <c r="K3" s="904" t="s">
        <v>1010</v>
      </c>
      <c r="L3" s="899" t="s">
        <v>23</v>
      </c>
    </row>
    <row r="4" spans="1:16">
      <c r="A4" s="903" t="s">
        <v>655</v>
      </c>
      <c r="B4" s="901">
        <v>3896639289.1799998</v>
      </c>
      <c r="C4" s="901">
        <v>4570903792.9299994</v>
      </c>
      <c r="D4" s="901">
        <v>5127213702.0100002</v>
      </c>
      <c r="E4" s="901">
        <v>5965945993.5299997</v>
      </c>
      <c r="F4" s="901">
        <v>6792749911.8199997</v>
      </c>
      <c r="G4" s="901">
        <v>7567165884.04</v>
      </c>
      <c r="H4" s="901">
        <v>8351861912.6199999</v>
      </c>
      <c r="I4" s="901">
        <v>9372228723.6000004</v>
      </c>
      <c r="J4" s="1472">
        <v>10389061950.35</v>
      </c>
      <c r="K4" s="1472">
        <v>3713378949.5100002</v>
      </c>
      <c r="L4" s="906">
        <f t="shared" ref="L4:L14" si="0">SUM(B4:K4)</f>
        <v>65747150109.589996</v>
      </c>
      <c r="N4" s="1401"/>
    </row>
    <row r="5" spans="1:16">
      <c r="A5" s="903" t="s">
        <v>656</v>
      </c>
      <c r="B5" s="901">
        <v>2551754118.0300002</v>
      </c>
      <c r="C5" s="901">
        <v>3168698601.8099999</v>
      </c>
      <c r="D5" s="901">
        <v>3771931923.9200001</v>
      </c>
      <c r="E5" s="902">
        <v>4450570154.0799999</v>
      </c>
      <c r="F5" s="902">
        <v>5054903417.1899996</v>
      </c>
      <c r="G5" s="902">
        <v>5603825462.54</v>
      </c>
      <c r="H5" s="902">
        <v>6226328941.2299995</v>
      </c>
      <c r="I5" s="902">
        <v>7037206925.1000004</v>
      </c>
      <c r="J5" s="1473">
        <v>7881794121.7799997</v>
      </c>
      <c r="K5" s="1473">
        <v>2819490226.3800001</v>
      </c>
      <c r="L5" s="906">
        <f t="shared" si="0"/>
        <v>48566503892.059998</v>
      </c>
      <c r="N5" s="1401"/>
    </row>
    <row r="6" spans="1:16">
      <c r="A6" s="903" t="s">
        <v>657</v>
      </c>
      <c r="B6" s="901">
        <v>2266873888.1500001</v>
      </c>
      <c r="C6" s="901">
        <v>2863767247.7999997</v>
      </c>
      <c r="D6" s="901">
        <v>3229505512.04</v>
      </c>
      <c r="E6" s="901">
        <v>3718695634.1799998</v>
      </c>
      <c r="F6" s="901">
        <v>4137582105.3299999</v>
      </c>
      <c r="G6" s="901">
        <v>4502729418.6199999</v>
      </c>
      <c r="H6" s="901">
        <v>4925810752.3199997</v>
      </c>
      <c r="I6" s="901">
        <v>5446047936.6899996</v>
      </c>
      <c r="J6" s="1472">
        <v>6005203075.5500002</v>
      </c>
      <c r="K6" s="1472">
        <v>2137917522.75</v>
      </c>
      <c r="L6" s="906">
        <f t="shared" si="0"/>
        <v>39234133093.43</v>
      </c>
      <c r="N6" s="1401"/>
    </row>
    <row r="7" spans="1:16">
      <c r="A7" s="903" t="s">
        <v>658</v>
      </c>
      <c r="B7" s="901">
        <v>2149146697.4099998</v>
      </c>
      <c r="C7" s="901">
        <v>2679324664.4199996</v>
      </c>
      <c r="D7" s="901">
        <v>3096887625.7399998</v>
      </c>
      <c r="E7" s="901">
        <v>3519159080.6300001</v>
      </c>
      <c r="F7" s="901">
        <v>3941063818.23</v>
      </c>
      <c r="G7" s="901">
        <v>4330972853.0100002</v>
      </c>
      <c r="H7" s="901">
        <v>4805863540.1999998</v>
      </c>
      <c r="I7" s="901">
        <v>5484476424.1499996</v>
      </c>
      <c r="J7" s="1472">
        <v>6208086046.9099998</v>
      </c>
      <c r="K7" s="1472">
        <v>2237280033.73</v>
      </c>
      <c r="L7" s="906">
        <f t="shared" si="0"/>
        <v>38452260784.43</v>
      </c>
      <c r="N7" s="1401"/>
    </row>
    <row r="8" spans="1:16">
      <c r="A8" s="903" t="s">
        <v>659</v>
      </c>
      <c r="B8" s="901">
        <v>2506661252.1799998</v>
      </c>
      <c r="C8" s="901">
        <v>1248802102.6499996</v>
      </c>
      <c r="D8" s="901">
        <f>404625934.49+1668779864.91</f>
        <v>2073405799.4000001</v>
      </c>
      <c r="E8" s="901">
        <v>4533600158.2799997</v>
      </c>
      <c r="F8" s="901">
        <v>1778670755.26</v>
      </c>
      <c r="G8" s="901">
        <v>2480628728.6799998</v>
      </c>
      <c r="H8" s="901">
        <v>3222408620.1399999</v>
      </c>
      <c r="I8" s="901">
        <v>4034197568.6300001</v>
      </c>
      <c r="J8" s="1472">
        <v>5198080429.4200001</v>
      </c>
      <c r="K8" s="1472">
        <v>2025152002.8900001</v>
      </c>
      <c r="L8" s="906">
        <f t="shared" si="0"/>
        <v>29101607417.529999</v>
      </c>
      <c r="N8" s="1401"/>
      <c r="P8" s="166"/>
    </row>
    <row r="9" spans="1:16">
      <c r="A9" s="903" t="s">
        <v>660</v>
      </c>
      <c r="B9" s="901">
        <v>774512624.44000006</v>
      </c>
      <c r="C9" s="901">
        <v>748630146.91999948</v>
      </c>
      <c r="D9" s="901">
        <v>840977009.04999995</v>
      </c>
      <c r="E9" s="901">
        <v>992213304.35000002</v>
      </c>
      <c r="F9" s="901">
        <v>1107733950.95</v>
      </c>
      <c r="G9" s="901">
        <v>1094022671.29</v>
      </c>
      <c r="H9" s="901">
        <v>1144491746.49</v>
      </c>
      <c r="I9" s="901">
        <v>1272122891.76</v>
      </c>
      <c r="J9" s="1472">
        <v>1235628359.54</v>
      </c>
      <c r="K9" s="1472">
        <v>403939053.13999999</v>
      </c>
      <c r="L9" s="906">
        <f t="shared" si="0"/>
        <v>9614271757.9300003</v>
      </c>
      <c r="N9" s="1401"/>
      <c r="P9" s="166"/>
    </row>
    <row r="10" spans="1:16">
      <c r="A10" s="903" t="s">
        <v>661</v>
      </c>
      <c r="B10" s="901">
        <v>127079644.02</v>
      </c>
      <c r="C10" s="901">
        <v>141249516.77999949</v>
      </c>
      <c r="D10" s="901">
        <v>158219635.06999999</v>
      </c>
      <c r="E10" s="901">
        <v>174095495.24000001</v>
      </c>
      <c r="F10" s="901">
        <v>190728829.88999999</v>
      </c>
      <c r="G10" s="901">
        <v>206568120.59</v>
      </c>
      <c r="H10" s="901">
        <v>208202387.41</v>
      </c>
      <c r="I10" s="901">
        <v>222180882.56999999</v>
      </c>
      <c r="J10" s="1472">
        <v>251256558.25999999</v>
      </c>
      <c r="K10" s="1472">
        <v>90060547.159999996</v>
      </c>
      <c r="L10" s="906">
        <f t="shared" si="0"/>
        <v>1769641616.9899995</v>
      </c>
      <c r="N10" s="1401"/>
      <c r="P10" s="166"/>
    </row>
    <row r="11" spans="1:16">
      <c r="A11" s="903" t="s">
        <v>662</v>
      </c>
      <c r="B11" s="901">
        <v>130598212.33</v>
      </c>
      <c r="C11" s="901">
        <f>10195.51+140109971.909999</f>
        <v>140120167.419999</v>
      </c>
      <c r="D11" s="901">
        <v>132002937.52</v>
      </c>
      <c r="E11" s="901">
        <v>188169177.71000001</v>
      </c>
      <c r="F11" s="901">
        <v>162448764.52000001</v>
      </c>
      <c r="G11" s="901">
        <v>179079077.34999999</v>
      </c>
      <c r="H11" s="901">
        <v>199265984.22999999</v>
      </c>
      <c r="I11" s="901">
        <v>225520451.75999999</v>
      </c>
      <c r="J11" s="1472">
        <v>254409838.94999999</v>
      </c>
      <c r="K11" s="1472">
        <v>91522203.890000001</v>
      </c>
      <c r="L11" s="906">
        <f t="shared" si="0"/>
        <v>1703136815.6799991</v>
      </c>
      <c r="N11" s="1401"/>
      <c r="P11" s="166"/>
    </row>
    <row r="12" spans="1:16">
      <c r="A12" s="903" t="s">
        <v>663</v>
      </c>
      <c r="B12" s="901">
        <v>116728695.88</v>
      </c>
      <c r="C12" s="901">
        <f>135454.64+128700283.909999</f>
        <v>128835738.549999</v>
      </c>
      <c r="D12" s="901">
        <v>141712961.19</v>
      </c>
      <c r="E12" s="901">
        <v>151761692.43000001</v>
      </c>
      <c r="F12" s="901">
        <v>158251341.78999999</v>
      </c>
      <c r="G12" s="901">
        <v>167851347.52000001</v>
      </c>
      <c r="H12" s="901">
        <v>180758062.49000001</v>
      </c>
      <c r="I12" s="901">
        <v>232726430.84</v>
      </c>
      <c r="J12" s="1472">
        <v>302457423.42000002</v>
      </c>
      <c r="K12" s="1472">
        <v>104757145.05</v>
      </c>
      <c r="L12" s="906">
        <f t="shared" si="0"/>
        <v>1685840839.1599989</v>
      </c>
      <c r="N12" s="1401"/>
      <c r="P12" s="166"/>
    </row>
    <row r="13" spans="1:16">
      <c r="A13" s="903" t="s">
        <v>664</v>
      </c>
      <c r="B13" s="901">
        <v>125606436.54000001</v>
      </c>
      <c r="C13" s="901">
        <v>127343178.10999948</v>
      </c>
      <c r="D13" s="901">
        <v>142590994.78999999</v>
      </c>
      <c r="E13" s="901">
        <v>156700574.58000001</v>
      </c>
      <c r="F13" s="901">
        <v>169166188</v>
      </c>
      <c r="G13" s="901">
        <v>175519298.81999999</v>
      </c>
      <c r="H13" s="901">
        <v>156812897.62</v>
      </c>
      <c r="I13" s="901">
        <v>166503057</v>
      </c>
      <c r="J13" s="1472">
        <v>189508215.87</v>
      </c>
      <c r="K13" s="1472">
        <v>46341592.210000001</v>
      </c>
      <c r="L13" s="906">
        <f t="shared" si="0"/>
        <v>1456092433.5399995</v>
      </c>
      <c r="N13" s="1401"/>
      <c r="P13" s="166"/>
    </row>
    <row r="14" spans="1:16">
      <c r="A14" s="903" t="s">
        <v>665</v>
      </c>
      <c r="B14" s="901">
        <v>66693954.189999998</v>
      </c>
      <c r="C14" s="901">
        <v>70263280.659999475</v>
      </c>
      <c r="D14" s="901">
        <v>75325664.870000005</v>
      </c>
      <c r="E14" s="901">
        <v>87578847.319999993</v>
      </c>
      <c r="F14" s="901">
        <v>91807218.480000004</v>
      </c>
      <c r="G14" s="901">
        <v>92110689.790000007</v>
      </c>
      <c r="H14" s="901">
        <v>84379473.989999995</v>
      </c>
      <c r="I14" s="901">
        <v>98680828.370000005</v>
      </c>
      <c r="J14" s="1472">
        <v>102722311.89</v>
      </c>
      <c r="K14" s="1472">
        <v>37519112.799999997</v>
      </c>
      <c r="L14" s="906">
        <f t="shared" si="0"/>
        <v>807081382.35999942</v>
      </c>
      <c r="N14" s="1401"/>
      <c r="P14" s="166"/>
    </row>
    <row r="15" spans="1:16">
      <c r="A15" s="903" t="s">
        <v>666</v>
      </c>
      <c r="B15" s="901">
        <v>116692988.65000001</v>
      </c>
      <c r="C15" s="1472">
        <v>0</v>
      </c>
      <c r="D15" s="1472">
        <v>0</v>
      </c>
      <c r="E15" s="1472">
        <v>0</v>
      </c>
      <c r="F15" s="1472">
        <v>0</v>
      </c>
      <c r="G15" s="1472">
        <v>0</v>
      </c>
      <c r="H15" s="1472">
        <v>0</v>
      </c>
      <c r="I15" s="1472">
        <v>0</v>
      </c>
      <c r="J15" s="1472">
        <v>0</v>
      </c>
      <c r="K15" s="1472">
        <v>0</v>
      </c>
      <c r="L15" s="906">
        <f>SUM(B15:K15)</f>
        <v>116692988.65000001</v>
      </c>
      <c r="N15" s="1401"/>
      <c r="P15" s="166"/>
    </row>
    <row r="16" spans="1:16">
      <c r="A16" s="903" t="s">
        <v>667</v>
      </c>
      <c r="B16" s="901">
        <v>63617457.140000001</v>
      </c>
      <c r="C16" s="1472">
        <v>0</v>
      </c>
      <c r="D16" s="1472">
        <v>0</v>
      </c>
      <c r="E16" s="1472">
        <v>0</v>
      </c>
      <c r="F16" s="1472">
        <v>0</v>
      </c>
      <c r="G16" s="1472">
        <v>0</v>
      </c>
      <c r="H16" s="1472">
        <v>0</v>
      </c>
      <c r="I16" s="1472">
        <v>0</v>
      </c>
      <c r="J16" s="1472">
        <v>0</v>
      </c>
      <c r="K16" s="1472">
        <v>0</v>
      </c>
      <c r="L16" s="906">
        <f>SUM(B16:K16)</f>
        <v>63617457.140000001</v>
      </c>
      <c r="N16" s="1401"/>
      <c r="P16" s="166"/>
    </row>
    <row r="17" spans="1:13">
      <c r="A17" s="898" t="s">
        <v>654</v>
      </c>
      <c r="B17" s="905">
        <f t="shared" ref="B17:I17" si="1">SUM(B4:B16)</f>
        <v>14892605258.140001</v>
      </c>
      <c r="C17" s="905">
        <f>SUM(C4:C16)</f>
        <v>15887938438.049994</v>
      </c>
      <c r="D17" s="905">
        <f t="shared" si="1"/>
        <v>18789773765.599998</v>
      </c>
      <c r="E17" s="905">
        <f t="shared" si="1"/>
        <v>23938490112.330002</v>
      </c>
      <c r="F17" s="905">
        <f t="shared" si="1"/>
        <v>23585106301.459999</v>
      </c>
      <c r="G17" s="905">
        <f>SUM(G4:G16)+0.1</f>
        <v>26400473552.349998</v>
      </c>
      <c r="H17" s="905">
        <f>SUM(H4:H16)+0.01</f>
        <v>29506184318.75</v>
      </c>
      <c r="I17" s="905">
        <f t="shared" si="1"/>
        <v>33591892120.469997</v>
      </c>
      <c r="J17" s="905">
        <f>SUM(J4:J16)</f>
        <v>38018208331.940002</v>
      </c>
      <c r="K17" s="905">
        <f>SUM(K4:K16)</f>
        <v>13707358389.509995</v>
      </c>
      <c r="L17" s="900">
        <f>SUM(L4:L16)</f>
        <v>238318030588.48996</v>
      </c>
      <c r="M17" s="1400"/>
    </row>
    <row r="18" spans="1:13">
      <c r="A18" s="2185" t="s">
        <v>681</v>
      </c>
      <c r="B18" s="2185"/>
      <c r="C18" s="2185"/>
      <c r="D18" s="2185"/>
      <c r="E18" s="2185"/>
      <c r="F18" s="2185"/>
      <c r="G18" s="2185"/>
      <c r="H18" s="2185"/>
      <c r="M18" s="1399"/>
    </row>
    <row r="19" spans="1:13">
      <c r="A19" s="218" t="s">
        <v>680</v>
      </c>
      <c r="C19" s="853"/>
      <c r="E19" s="854"/>
    </row>
    <row r="20" spans="1:13">
      <c r="C20" s="165"/>
      <c r="D20" s="165"/>
      <c r="E20" s="165"/>
      <c r="F20" s="165"/>
      <c r="G20" s="165"/>
    </row>
    <row r="21" spans="1:13">
      <c r="B21" s="165"/>
      <c r="C21" s="165"/>
      <c r="D21" s="165"/>
      <c r="E21" s="165"/>
      <c r="F21" s="165"/>
      <c r="G21" s="165"/>
      <c r="H21" s="165"/>
    </row>
    <row r="22" spans="1:13">
      <c r="C22" s="165"/>
      <c r="D22" s="165"/>
      <c r="E22" s="165"/>
      <c r="F22" s="165"/>
      <c r="G22" s="165"/>
    </row>
    <row r="23" spans="1:13">
      <c r="B23" s="165"/>
      <c r="C23" s="165"/>
      <c r="D23" s="165"/>
      <c r="E23" s="165"/>
      <c r="F23" s="165"/>
      <c r="G23" s="165"/>
      <c r="H23" s="165"/>
    </row>
    <row r="24" spans="1:13">
      <c r="C24" s="165"/>
      <c r="D24" s="165"/>
      <c r="E24" s="165"/>
      <c r="F24" s="165"/>
      <c r="G24" s="165"/>
    </row>
    <row r="25" spans="1:13">
      <c r="B25" s="165"/>
      <c r="C25" s="165"/>
      <c r="D25" s="165"/>
      <c r="E25" s="165"/>
      <c r="F25" s="165"/>
      <c r="G25" s="165"/>
      <c r="H25" s="165"/>
    </row>
    <row r="26" spans="1:13">
      <c r="C26" s="165"/>
      <c r="D26" s="165"/>
      <c r="E26" s="165"/>
      <c r="F26" s="165"/>
      <c r="G26" s="165"/>
    </row>
    <row r="27" spans="1:13">
      <c r="B27" s="165"/>
      <c r="C27" s="165"/>
      <c r="D27" s="165"/>
      <c r="E27" s="165"/>
      <c r="F27" s="165"/>
      <c r="G27" s="165"/>
      <c r="H27" s="165"/>
    </row>
    <row r="28" spans="1:13">
      <c r="C28" s="165"/>
      <c r="D28" s="165"/>
      <c r="E28" s="165"/>
      <c r="F28" s="165"/>
      <c r="G28" s="165"/>
    </row>
    <row r="29" spans="1:13">
      <c r="B29" s="165"/>
      <c r="C29" s="165"/>
      <c r="D29" s="165"/>
      <c r="E29" s="165"/>
      <c r="F29" s="165"/>
      <c r="G29" s="165"/>
      <c r="H29" s="165"/>
    </row>
    <row r="30" spans="1:13">
      <c r="C30" s="165"/>
      <c r="D30" s="165"/>
      <c r="E30" s="165"/>
      <c r="F30" s="165"/>
      <c r="G30" s="165"/>
    </row>
    <row r="31" spans="1:13">
      <c r="B31" s="165"/>
      <c r="C31" s="165"/>
      <c r="D31" s="165"/>
      <c r="E31" s="165"/>
      <c r="F31" s="165"/>
      <c r="G31" s="165"/>
      <c r="H31" s="165"/>
    </row>
    <row r="33" spans="3:3">
      <c r="C33" s="855"/>
    </row>
  </sheetData>
  <mergeCells count="3">
    <mergeCell ref="A1:L1"/>
    <mergeCell ref="A2:E2"/>
    <mergeCell ref="A18:H18"/>
  </mergeCells>
  <pageMargins left="0.7" right="0.7" top="0.75" bottom="0.75" header="0.3" footer="0.3"/>
  <pageSetup scale="46" orientation="landscape" r:id="rId1"/>
  <drawing r:id="rId2"/>
  <legacy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R154"/>
  <sheetViews>
    <sheetView showGridLines="0" view="pageBreakPreview" zoomScale="79" zoomScaleNormal="100" zoomScaleSheetLayoutView="79" workbookViewId="0">
      <pane ySplit="1" topLeftCell="A2" activePane="bottomLeft" state="frozen"/>
      <selection pane="bottomLeft" activeCell="A3" sqref="A3"/>
    </sheetView>
  </sheetViews>
  <sheetFormatPr baseColWidth="10" defaultColWidth="11.42578125" defaultRowHeight="22.5" customHeight="1"/>
  <cols>
    <col min="1" max="1" width="16.7109375" style="83" customWidth="1"/>
    <col min="2" max="2" width="21.28515625" style="1848" customWidth="1"/>
    <col min="3" max="3" width="15.85546875" style="1848" customWidth="1"/>
    <col min="4" max="4" width="22.7109375" style="1848" customWidth="1"/>
    <col min="5" max="5" width="15.7109375" style="1848" customWidth="1"/>
    <col min="6" max="6" width="24.7109375" style="83" bestFit="1" customWidth="1"/>
    <col min="7" max="7" width="27.42578125" style="83" customWidth="1"/>
    <col min="8" max="8" width="21" style="83" customWidth="1"/>
    <col min="9" max="9" width="18.140625" style="83" customWidth="1"/>
    <col min="10" max="10" width="18" style="83" customWidth="1"/>
    <col min="11" max="11" width="2.140625" style="83" customWidth="1"/>
    <col min="12" max="12" width="23.7109375" style="83" customWidth="1"/>
    <col min="13" max="13" width="18.5703125" style="83" bestFit="1" customWidth="1"/>
    <col min="14" max="14" width="11.42578125" style="83"/>
    <col min="15" max="15" width="23.42578125" style="83" customWidth="1"/>
    <col min="16" max="16" width="18.28515625" style="83" customWidth="1"/>
    <col min="17" max="16384" width="11.42578125" style="83"/>
  </cols>
  <sheetData>
    <row r="1" spans="1:18" ht="71.25" customHeight="1">
      <c r="A1" s="2186"/>
      <c r="B1" s="2186"/>
      <c r="C1" s="2186"/>
      <c r="D1" s="2186"/>
      <c r="E1" s="2186"/>
      <c r="F1" s="2186"/>
      <c r="G1" s="2186"/>
      <c r="H1" s="2186"/>
      <c r="I1" s="2186"/>
      <c r="J1" s="2186"/>
      <c r="K1" s="2186"/>
    </row>
    <row r="2" spans="1:18" ht="7.5" customHeight="1">
      <c r="A2" s="2187"/>
      <c r="B2" s="2187"/>
      <c r="C2" s="2187"/>
      <c r="D2" s="2187"/>
      <c r="E2" s="2187"/>
      <c r="F2" s="2187"/>
      <c r="G2" s="2187"/>
      <c r="H2" s="2187"/>
      <c r="I2" s="2187"/>
      <c r="J2" s="2187"/>
      <c r="K2" s="120"/>
    </row>
    <row r="3" spans="1:18" ht="51" customHeight="1">
      <c r="A3" s="485" t="s">
        <v>38</v>
      </c>
      <c r="B3" s="483" t="s">
        <v>967</v>
      </c>
      <c r="C3" s="483" t="s">
        <v>177</v>
      </c>
      <c r="D3" s="483" t="s">
        <v>968</v>
      </c>
      <c r="E3" s="484" t="s">
        <v>206</v>
      </c>
      <c r="L3" s="937"/>
      <c r="M3" s="1288"/>
    </row>
    <row r="4" spans="1:18" ht="16.5" hidden="1" customHeight="1">
      <c r="A4" s="486">
        <v>2003</v>
      </c>
      <c r="B4" s="1005">
        <v>6849.88</v>
      </c>
      <c r="C4" s="1340"/>
      <c r="D4" s="1005">
        <v>617988.9</v>
      </c>
      <c r="E4" s="1006">
        <f>B4/D4</f>
        <v>1.1084147304263879E-2</v>
      </c>
    </row>
    <row r="5" spans="1:18" ht="16.5" hidden="1" customHeight="1">
      <c r="A5" s="486">
        <v>2004</v>
      </c>
      <c r="B5" s="1005">
        <v>14754.98</v>
      </c>
      <c r="C5" s="1340">
        <f t="shared" ref="C5:C15" si="0">B5/B4-1</f>
        <v>1.1540494140043327</v>
      </c>
      <c r="D5" s="1005">
        <v>909036.8</v>
      </c>
      <c r="E5" s="1006">
        <f t="shared" ref="E5:E13" si="1">B5/D5</f>
        <v>1.6231444095552567E-2</v>
      </c>
    </row>
    <row r="6" spans="1:18" ht="16.5" customHeight="1">
      <c r="A6" s="1896">
        <v>2005</v>
      </c>
      <c r="B6" s="1836">
        <v>23031.69</v>
      </c>
      <c r="C6" s="1837">
        <f t="shared" si="0"/>
        <v>0.56094349162113399</v>
      </c>
      <c r="D6" s="1838">
        <v>1020002</v>
      </c>
      <c r="E6" s="1839">
        <f t="shared" si="1"/>
        <v>2.2580043960698116E-2</v>
      </c>
      <c r="Q6" s="1694"/>
    </row>
    <row r="7" spans="1:18" ht="16.5" customHeight="1">
      <c r="A7" s="1896">
        <v>2006</v>
      </c>
      <c r="B7" s="1840">
        <v>33521.17</v>
      </c>
      <c r="C7" s="1841">
        <f t="shared" si="0"/>
        <v>0.45543683507376143</v>
      </c>
      <c r="D7" s="1842">
        <v>1189801.8999999999</v>
      </c>
      <c r="E7" s="1843">
        <f t="shared" si="1"/>
        <v>2.817374051932511E-2</v>
      </c>
      <c r="L7" s="937"/>
      <c r="Q7" s="1694"/>
      <c r="R7" s="48"/>
    </row>
    <row r="8" spans="1:18" ht="16.5" customHeight="1">
      <c r="A8" s="1896">
        <v>2007</v>
      </c>
      <c r="B8" s="1840">
        <v>48918.54</v>
      </c>
      <c r="C8" s="1841">
        <f t="shared" si="0"/>
        <v>0.45933271422208732</v>
      </c>
      <c r="D8" s="1842">
        <v>1364210.3</v>
      </c>
      <c r="E8" s="1843">
        <f t="shared" si="1"/>
        <v>3.5858503633933857E-2</v>
      </c>
      <c r="Q8" s="1694"/>
      <c r="R8" s="48"/>
    </row>
    <row r="9" spans="1:18" ht="16.5" customHeight="1">
      <c r="A9" s="1896">
        <v>2008</v>
      </c>
      <c r="B9" s="1840">
        <v>68371.91</v>
      </c>
      <c r="C9" s="1841">
        <f t="shared" si="0"/>
        <v>0.39766865486991243</v>
      </c>
      <c r="D9" s="1842">
        <v>1576162.8</v>
      </c>
      <c r="E9" s="1843">
        <f t="shared" si="1"/>
        <v>4.3378710625577514E-2</v>
      </c>
      <c r="H9" s="172"/>
      <c r="L9" s="48"/>
      <c r="Q9" s="1694"/>
      <c r="R9" s="48"/>
    </row>
    <row r="10" spans="1:18" ht="16.5" customHeight="1">
      <c r="A10" s="1896">
        <v>2009</v>
      </c>
      <c r="B10" s="1840">
        <v>94318.74</v>
      </c>
      <c r="C10" s="1841">
        <f t="shared" si="0"/>
        <v>0.37949546824127034</v>
      </c>
      <c r="D10" s="1842">
        <v>1678762.6</v>
      </c>
      <c r="E10" s="1843">
        <f>B10/D10</f>
        <v>5.6183488957878856E-2</v>
      </c>
      <c r="Q10" s="1694"/>
      <c r="R10" s="48"/>
    </row>
    <row r="11" spans="1:18" ht="16.5" customHeight="1">
      <c r="A11" s="1896">
        <v>2010</v>
      </c>
      <c r="B11" s="1840">
        <v>120339.19</v>
      </c>
      <c r="C11" s="1841">
        <f t="shared" si="0"/>
        <v>0.27587783721453452</v>
      </c>
      <c r="D11" s="1842">
        <v>1901896.7</v>
      </c>
      <c r="E11" s="1843">
        <f t="shared" si="1"/>
        <v>6.3273252432689955E-2</v>
      </c>
      <c r="I11" s="84"/>
      <c r="J11" s="84"/>
      <c r="K11" s="84"/>
      <c r="O11" s="77"/>
      <c r="Q11" s="1694"/>
      <c r="R11" s="48"/>
    </row>
    <row r="12" spans="1:18" s="77" customFormat="1" ht="16.5" customHeight="1">
      <c r="A12" s="1896">
        <v>2011</v>
      </c>
      <c r="B12" s="1840">
        <v>154672.16</v>
      </c>
      <c r="C12" s="1841">
        <f t="shared" si="0"/>
        <v>0.28530165443194355</v>
      </c>
      <c r="D12" s="1842">
        <v>2119301.7999999998</v>
      </c>
      <c r="E12" s="1843">
        <f t="shared" si="1"/>
        <v>7.2982602100370983E-2</v>
      </c>
      <c r="F12" s="121"/>
      <c r="G12" s="48"/>
      <c r="H12" s="83"/>
      <c r="M12" s="83"/>
      <c r="N12" s="83"/>
      <c r="P12" s="83"/>
      <c r="Q12" s="1694"/>
      <c r="R12" s="48"/>
    </row>
    <row r="13" spans="1:18" s="77" customFormat="1" ht="16.5" customHeight="1">
      <c r="A13" s="1896">
        <v>2012</v>
      </c>
      <c r="B13" s="1840">
        <v>198249.65</v>
      </c>
      <c r="C13" s="1841">
        <f t="shared" si="0"/>
        <v>0.28174100626770837</v>
      </c>
      <c r="D13" s="1842">
        <v>2316783.7000000002</v>
      </c>
      <c r="E13" s="1843">
        <f t="shared" si="1"/>
        <v>8.5571065611347308E-2</v>
      </c>
      <c r="F13" s="121"/>
      <c r="H13" s="83"/>
      <c r="L13" s="268"/>
      <c r="M13" s="83"/>
      <c r="N13" s="83"/>
      <c r="P13" s="83"/>
      <c r="Q13" s="1694"/>
      <c r="R13" s="48"/>
    </row>
    <row r="14" spans="1:18" s="77" customFormat="1" ht="16.5" customHeight="1">
      <c r="A14" s="1896">
        <v>2013</v>
      </c>
      <c r="B14" s="1840">
        <v>248516.38566900001</v>
      </c>
      <c r="C14" s="1841">
        <f t="shared" si="0"/>
        <v>0.25355270825951015</v>
      </c>
      <c r="D14" s="1842">
        <v>2534067.7999999998</v>
      </c>
      <c r="E14" s="1843">
        <f>B14/D14</f>
        <v>9.8070140691973604E-2</v>
      </c>
      <c r="F14" s="121"/>
      <c r="H14" s="83"/>
      <c r="M14" s="83"/>
      <c r="N14" s="83"/>
      <c r="P14" s="83"/>
      <c r="Q14" s="1694"/>
      <c r="R14" s="48"/>
    </row>
    <row r="15" spans="1:18" s="77" customFormat="1" ht="16.5" customHeight="1">
      <c r="A15" s="1896">
        <v>2014</v>
      </c>
      <c r="B15" s="1840">
        <v>305297.32352799998</v>
      </c>
      <c r="C15" s="1841">
        <f t="shared" si="0"/>
        <v>0.2284796541932117</v>
      </c>
      <c r="D15" s="1842">
        <v>2786229.7038019407</v>
      </c>
      <c r="E15" s="1843">
        <f>B15/D15</f>
        <v>0.10957363748990527</v>
      </c>
      <c r="F15" s="121"/>
      <c r="H15" s="83"/>
      <c r="L15" s="1288"/>
      <c r="M15" s="83"/>
      <c r="N15" s="83"/>
      <c r="P15" s="83"/>
      <c r="Q15" s="1694"/>
      <c r="R15" s="48"/>
    </row>
    <row r="16" spans="1:18" s="1458" customFormat="1" ht="16.5" customHeight="1">
      <c r="A16" s="1896">
        <v>2015</v>
      </c>
      <c r="B16" s="1840">
        <v>367708.87092800002</v>
      </c>
      <c r="C16" s="1841">
        <f>B16/B15-1</f>
        <v>0.20442874073960238</v>
      </c>
      <c r="D16" s="1842">
        <f>3023116112594.48/1000000</f>
        <v>3023116.1125944802</v>
      </c>
      <c r="E16" s="1843">
        <f t="shared" ref="E16" si="2">B16/D16</f>
        <v>0.121632400884671</v>
      </c>
      <c r="F16" s="121"/>
      <c r="H16" s="83"/>
      <c r="L16" s="1288"/>
      <c r="M16" s="83"/>
      <c r="N16" s="83"/>
      <c r="P16" s="83"/>
      <c r="Q16" s="1694"/>
      <c r="R16" s="48"/>
    </row>
    <row r="17" spans="1:18" s="77" customFormat="1" ht="16.5" customHeight="1">
      <c r="A17" s="1897" t="s">
        <v>1011</v>
      </c>
      <c r="B17" s="1844">
        <f>389901693885
/1000000</f>
        <v>389901.69388500002</v>
      </c>
      <c r="C17" s="1845"/>
      <c r="D17" s="1846">
        <f>3023116112594.48/1000000</f>
        <v>3023116.1125944802</v>
      </c>
      <c r="E17" s="1847">
        <f>B17/D17</f>
        <v>0.12897344308432168</v>
      </c>
      <c r="F17" s="121"/>
      <c r="H17" s="83"/>
      <c r="L17" s="268"/>
      <c r="M17" s="83"/>
      <c r="N17" s="83"/>
      <c r="O17" s="83"/>
      <c r="Q17" s="1098"/>
      <c r="R17" s="48"/>
    </row>
    <row r="18" spans="1:18" ht="18" customHeight="1">
      <c r="A18" s="2188" t="s">
        <v>986</v>
      </c>
      <c r="B18" s="2189"/>
      <c r="C18" s="2189"/>
      <c r="D18" s="2189"/>
      <c r="E18" s="2189"/>
      <c r="F18" s="121"/>
      <c r="G18" s="77"/>
      <c r="I18" s="77"/>
      <c r="P18" s="48"/>
      <c r="R18" s="48"/>
    </row>
    <row r="19" spans="1:18" ht="22.5" customHeight="1">
      <c r="L19" s="1693"/>
      <c r="P19" s="48"/>
    </row>
    <row r="20" spans="1:18" ht="22.5" customHeight="1">
      <c r="K20" s="85"/>
      <c r="P20" s="48"/>
    </row>
    <row r="21" spans="1:18" ht="22.5" customHeight="1">
      <c r="K21" s="86"/>
      <c r="L21" s="48"/>
      <c r="P21" s="48"/>
    </row>
    <row r="22" spans="1:18" ht="22.5" customHeight="1">
      <c r="L22" s="48"/>
      <c r="P22" s="48"/>
    </row>
    <row r="23" spans="1:18" ht="22.5" customHeight="1">
      <c r="L23" s="48"/>
      <c r="P23" s="48"/>
    </row>
    <row r="24" spans="1:18" ht="22.5" customHeight="1">
      <c r="L24" s="48"/>
      <c r="P24" s="48"/>
    </row>
    <row r="25" spans="1:18" ht="22.5" customHeight="1">
      <c r="L25" s="48"/>
      <c r="P25" s="48"/>
    </row>
    <row r="26" spans="1:18" ht="22.5" customHeight="1">
      <c r="L26" s="48"/>
      <c r="P26" s="48"/>
    </row>
    <row r="27" spans="1:18" ht="22.5" customHeight="1">
      <c r="L27" s="48"/>
      <c r="P27" s="48"/>
    </row>
    <row r="28" spans="1:18" ht="22.5" customHeight="1">
      <c r="L28" s="48"/>
      <c r="P28" s="48"/>
    </row>
    <row r="29" spans="1:18" ht="22.5" customHeight="1">
      <c r="L29" s="48"/>
      <c r="P29" s="48"/>
    </row>
    <row r="30" spans="1:18" ht="22.5" customHeight="1">
      <c r="L30" s="48"/>
      <c r="P30" s="48"/>
    </row>
    <row r="31" spans="1:18" ht="22.5" customHeight="1">
      <c r="L31" s="48"/>
      <c r="P31" s="48"/>
    </row>
    <row r="32" spans="1:18" ht="22.5" customHeight="1">
      <c r="L32" s="48"/>
      <c r="P32" s="48"/>
    </row>
    <row r="33" spans="16:16" ht="22.5" customHeight="1">
      <c r="P33" s="48"/>
    </row>
    <row r="34" spans="16:16" ht="22.5" customHeight="1">
      <c r="P34" s="48"/>
    </row>
    <row r="35" spans="16:16" ht="22.5" customHeight="1">
      <c r="P35" s="48"/>
    </row>
    <row r="36" spans="16:16" ht="22.5" customHeight="1">
      <c r="P36" s="48"/>
    </row>
    <row r="37" spans="16:16" ht="22.5" customHeight="1">
      <c r="P37" s="48"/>
    </row>
    <row r="38" spans="16:16" ht="22.5" customHeight="1">
      <c r="P38" s="48"/>
    </row>
    <row r="39" spans="16:16" ht="22.5" customHeight="1">
      <c r="P39" s="48"/>
    </row>
    <row r="40" spans="16:16" ht="22.5" customHeight="1">
      <c r="P40" s="48"/>
    </row>
    <row r="41" spans="16:16" ht="22.5" customHeight="1">
      <c r="P41" s="48"/>
    </row>
    <row r="42" spans="16:16" ht="22.5" customHeight="1">
      <c r="P42" s="48"/>
    </row>
    <row r="43" spans="16:16" ht="22.5" customHeight="1">
      <c r="P43" s="48"/>
    </row>
    <row r="44" spans="16:16" ht="22.5" customHeight="1">
      <c r="P44" s="48"/>
    </row>
    <row r="45" spans="16:16" ht="22.5" customHeight="1">
      <c r="P45" s="48"/>
    </row>
    <row r="46" spans="16:16" ht="22.5" customHeight="1">
      <c r="P46" s="48"/>
    </row>
    <row r="47" spans="16:16" ht="22.5" customHeight="1">
      <c r="P47" s="48"/>
    </row>
    <row r="48" spans="16:16" ht="22.5" customHeight="1">
      <c r="P48" s="48"/>
    </row>
    <row r="49" spans="16:16" ht="22.5" customHeight="1">
      <c r="P49" s="48"/>
    </row>
    <row r="50" spans="16:16" ht="22.5" customHeight="1">
      <c r="P50" s="48"/>
    </row>
    <row r="51" spans="16:16" ht="22.5" customHeight="1">
      <c r="P51" s="48"/>
    </row>
    <row r="52" spans="16:16" ht="22.5" customHeight="1">
      <c r="P52" s="48"/>
    </row>
    <row r="53" spans="16:16" ht="22.5" customHeight="1">
      <c r="P53" s="48"/>
    </row>
    <row r="54" spans="16:16" ht="22.5" customHeight="1">
      <c r="P54" s="48"/>
    </row>
    <row r="55" spans="16:16" ht="22.5" customHeight="1">
      <c r="P55" s="48"/>
    </row>
    <row r="56" spans="16:16" ht="22.5" customHeight="1">
      <c r="P56" s="48"/>
    </row>
    <row r="57" spans="16:16" ht="22.5" customHeight="1">
      <c r="P57" s="48" t="e">
        <f t="shared" ref="P57:P71" si="3">+(O57-O54)/O54</f>
        <v>#DIV/0!</v>
      </c>
    </row>
    <row r="58" spans="16:16" ht="22.5" customHeight="1">
      <c r="P58" s="48" t="e">
        <f t="shared" si="3"/>
        <v>#DIV/0!</v>
      </c>
    </row>
    <row r="59" spans="16:16" ht="22.5" customHeight="1">
      <c r="P59" s="48" t="e">
        <f t="shared" si="3"/>
        <v>#DIV/0!</v>
      </c>
    </row>
    <row r="60" spans="16:16" ht="22.5" customHeight="1">
      <c r="P60" s="48" t="e">
        <f t="shared" si="3"/>
        <v>#DIV/0!</v>
      </c>
    </row>
    <row r="61" spans="16:16" ht="22.5" customHeight="1">
      <c r="P61" s="48" t="e">
        <f t="shared" si="3"/>
        <v>#DIV/0!</v>
      </c>
    </row>
    <row r="62" spans="16:16" ht="22.5" customHeight="1">
      <c r="P62" s="48" t="e">
        <f t="shared" si="3"/>
        <v>#DIV/0!</v>
      </c>
    </row>
    <row r="63" spans="16:16" ht="22.5" customHeight="1">
      <c r="P63" s="48" t="e">
        <f t="shared" si="3"/>
        <v>#DIV/0!</v>
      </c>
    </row>
    <row r="64" spans="16:16" ht="22.5" customHeight="1">
      <c r="P64" s="48" t="e">
        <f t="shared" si="3"/>
        <v>#DIV/0!</v>
      </c>
    </row>
    <row r="65" spans="16:16" ht="22.5" customHeight="1">
      <c r="P65" s="48" t="e">
        <f t="shared" si="3"/>
        <v>#DIV/0!</v>
      </c>
    </row>
    <row r="66" spans="16:16" ht="22.5" customHeight="1">
      <c r="P66" s="48" t="e">
        <f t="shared" si="3"/>
        <v>#DIV/0!</v>
      </c>
    </row>
    <row r="67" spans="16:16" ht="22.5" customHeight="1">
      <c r="P67" s="48" t="e">
        <f t="shared" si="3"/>
        <v>#DIV/0!</v>
      </c>
    </row>
    <row r="68" spans="16:16" ht="22.5" customHeight="1">
      <c r="P68" s="48" t="e">
        <f t="shared" si="3"/>
        <v>#DIV/0!</v>
      </c>
    </row>
    <row r="69" spans="16:16" ht="22.5" customHeight="1">
      <c r="P69" s="48" t="e">
        <f t="shared" si="3"/>
        <v>#DIV/0!</v>
      </c>
    </row>
    <row r="70" spans="16:16" ht="22.5" customHeight="1">
      <c r="P70" s="48" t="e">
        <f t="shared" si="3"/>
        <v>#DIV/0!</v>
      </c>
    </row>
    <row r="71" spans="16:16" ht="22.5" customHeight="1">
      <c r="P71" s="48" t="e">
        <f t="shared" si="3"/>
        <v>#DIV/0!</v>
      </c>
    </row>
    <row r="72" spans="16:16" ht="22.5" customHeight="1">
      <c r="P72" s="48" t="e">
        <f t="shared" ref="P72:P135" si="4">+(O72-O69)/O69</f>
        <v>#DIV/0!</v>
      </c>
    </row>
    <row r="73" spans="16:16" ht="22.5" customHeight="1">
      <c r="P73" s="48" t="e">
        <f t="shared" si="4"/>
        <v>#DIV/0!</v>
      </c>
    </row>
    <row r="74" spans="16:16" ht="22.5" customHeight="1">
      <c r="P74" s="48" t="e">
        <f t="shared" si="4"/>
        <v>#DIV/0!</v>
      </c>
    </row>
    <row r="75" spans="16:16" ht="22.5" customHeight="1">
      <c r="P75" s="48" t="e">
        <f t="shared" si="4"/>
        <v>#DIV/0!</v>
      </c>
    </row>
    <row r="76" spans="16:16" ht="22.5" customHeight="1">
      <c r="P76" s="48" t="e">
        <f t="shared" si="4"/>
        <v>#DIV/0!</v>
      </c>
    </row>
    <row r="77" spans="16:16" ht="22.5" customHeight="1">
      <c r="P77" s="48" t="e">
        <f t="shared" si="4"/>
        <v>#DIV/0!</v>
      </c>
    </row>
    <row r="78" spans="16:16" ht="22.5" customHeight="1">
      <c r="P78" s="48" t="e">
        <f t="shared" si="4"/>
        <v>#DIV/0!</v>
      </c>
    </row>
    <row r="79" spans="16:16" ht="22.5" customHeight="1">
      <c r="P79" s="48" t="e">
        <f t="shared" si="4"/>
        <v>#DIV/0!</v>
      </c>
    </row>
    <row r="80" spans="16:16" ht="22.5" customHeight="1">
      <c r="P80" s="48" t="e">
        <f t="shared" si="4"/>
        <v>#DIV/0!</v>
      </c>
    </row>
    <row r="81" spans="16:16" ht="22.5" customHeight="1">
      <c r="P81" s="48" t="e">
        <f t="shared" si="4"/>
        <v>#DIV/0!</v>
      </c>
    </row>
    <row r="82" spans="16:16" ht="22.5" customHeight="1">
      <c r="P82" s="48" t="e">
        <f t="shared" si="4"/>
        <v>#DIV/0!</v>
      </c>
    </row>
    <row r="83" spans="16:16" ht="22.5" customHeight="1">
      <c r="P83" s="48" t="e">
        <f t="shared" si="4"/>
        <v>#DIV/0!</v>
      </c>
    </row>
    <row r="84" spans="16:16" ht="22.5" customHeight="1">
      <c r="P84" s="48" t="e">
        <f t="shared" si="4"/>
        <v>#DIV/0!</v>
      </c>
    </row>
    <row r="85" spans="16:16" ht="22.5" customHeight="1">
      <c r="P85" s="48" t="e">
        <f t="shared" si="4"/>
        <v>#DIV/0!</v>
      </c>
    </row>
    <row r="86" spans="16:16" ht="22.5" customHeight="1">
      <c r="P86" s="48" t="e">
        <f t="shared" si="4"/>
        <v>#DIV/0!</v>
      </c>
    </row>
    <row r="87" spans="16:16" ht="22.5" customHeight="1">
      <c r="P87" s="48" t="e">
        <f t="shared" si="4"/>
        <v>#DIV/0!</v>
      </c>
    </row>
    <row r="88" spans="16:16" ht="22.5" customHeight="1">
      <c r="P88" s="48" t="e">
        <f t="shared" si="4"/>
        <v>#DIV/0!</v>
      </c>
    </row>
    <row r="89" spans="16:16" ht="22.5" customHeight="1">
      <c r="P89" s="48" t="e">
        <f t="shared" si="4"/>
        <v>#DIV/0!</v>
      </c>
    </row>
    <row r="90" spans="16:16" ht="22.5" customHeight="1">
      <c r="P90" s="48" t="e">
        <f t="shared" si="4"/>
        <v>#DIV/0!</v>
      </c>
    </row>
    <row r="91" spans="16:16" ht="22.5" customHeight="1">
      <c r="P91" s="48" t="e">
        <f t="shared" si="4"/>
        <v>#DIV/0!</v>
      </c>
    </row>
    <row r="92" spans="16:16" ht="22.5" customHeight="1">
      <c r="P92" s="48" t="e">
        <f t="shared" si="4"/>
        <v>#DIV/0!</v>
      </c>
    </row>
    <row r="93" spans="16:16" ht="22.5" customHeight="1">
      <c r="P93" s="48" t="e">
        <f t="shared" si="4"/>
        <v>#DIV/0!</v>
      </c>
    </row>
    <row r="94" spans="16:16" ht="22.5" customHeight="1">
      <c r="P94" s="48" t="e">
        <f t="shared" si="4"/>
        <v>#DIV/0!</v>
      </c>
    </row>
    <row r="95" spans="16:16" ht="22.5" customHeight="1">
      <c r="P95" s="48" t="e">
        <f t="shared" si="4"/>
        <v>#DIV/0!</v>
      </c>
    </row>
    <row r="96" spans="16:16" ht="22.5" customHeight="1">
      <c r="P96" s="48" t="e">
        <f t="shared" si="4"/>
        <v>#DIV/0!</v>
      </c>
    </row>
    <row r="97" spans="16:16" ht="22.5" customHeight="1">
      <c r="P97" s="48" t="e">
        <f t="shared" si="4"/>
        <v>#DIV/0!</v>
      </c>
    </row>
    <row r="98" spans="16:16" ht="22.5" customHeight="1">
      <c r="P98" s="48" t="e">
        <f t="shared" si="4"/>
        <v>#DIV/0!</v>
      </c>
    </row>
    <row r="99" spans="16:16" ht="22.5" customHeight="1">
      <c r="P99" s="48" t="e">
        <f t="shared" si="4"/>
        <v>#DIV/0!</v>
      </c>
    </row>
    <row r="100" spans="16:16" ht="22.5" customHeight="1">
      <c r="P100" s="48" t="e">
        <f t="shared" si="4"/>
        <v>#DIV/0!</v>
      </c>
    </row>
    <row r="101" spans="16:16" ht="22.5" customHeight="1">
      <c r="P101" s="48" t="e">
        <f t="shared" si="4"/>
        <v>#DIV/0!</v>
      </c>
    </row>
    <row r="102" spans="16:16" ht="22.5" customHeight="1">
      <c r="P102" s="48" t="e">
        <f t="shared" si="4"/>
        <v>#DIV/0!</v>
      </c>
    </row>
    <row r="103" spans="16:16" ht="22.5" customHeight="1">
      <c r="P103" s="48" t="e">
        <f t="shared" si="4"/>
        <v>#DIV/0!</v>
      </c>
    </row>
    <row r="104" spans="16:16" ht="22.5" customHeight="1">
      <c r="P104" s="48" t="e">
        <f t="shared" si="4"/>
        <v>#DIV/0!</v>
      </c>
    </row>
    <row r="105" spans="16:16" ht="22.5" customHeight="1">
      <c r="P105" s="48" t="e">
        <f t="shared" si="4"/>
        <v>#DIV/0!</v>
      </c>
    </row>
    <row r="106" spans="16:16" ht="22.5" customHeight="1">
      <c r="P106" s="48" t="e">
        <f t="shared" si="4"/>
        <v>#DIV/0!</v>
      </c>
    </row>
    <row r="107" spans="16:16" ht="22.5" customHeight="1">
      <c r="P107" s="48" t="e">
        <f t="shared" si="4"/>
        <v>#DIV/0!</v>
      </c>
    </row>
    <row r="108" spans="16:16" ht="22.5" customHeight="1">
      <c r="P108" s="48" t="e">
        <f t="shared" si="4"/>
        <v>#DIV/0!</v>
      </c>
    </row>
    <row r="109" spans="16:16" ht="22.5" customHeight="1">
      <c r="P109" s="48" t="e">
        <f t="shared" si="4"/>
        <v>#DIV/0!</v>
      </c>
    </row>
    <row r="110" spans="16:16" ht="22.5" customHeight="1">
      <c r="P110" s="48" t="e">
        <f t="shared" si="4"/>
        <v>#DIV/0!</v>
      </c>
    </row>
    <row r="111" spans="16:16" ht="22.5" customHeight="1">
      <c r="P111" s="48" t="e">
        <f t="shared" si="4"/>
        <v>#DIV/0!</v>
      </c>
    </row>
    <row r="112" spans="16:16" ht="22.5" customHeight="1">
      <c r="P112" s="48" t="e">
        <f t="shared" si="4"/>
        <v>#DIV/0!</v>
      </c>
    </row>
    <row r="113" spans="16:16" ht="22.5" customHeight="1">
      <c r="P113" s="48" t="e">
        <f t="shared" si="4"/>
        <v>#DIV/0!</v>
      </c>
    </row>
    <row r="114" spans="16:16" ht="22.5" customHeight="1">
      <c r="P114" s="48" t="e">
        <f t="shared" si="4"/>
        <v>#DIV/0!</v>
      </c>
    </row>
    <row r="115" spans="16:16" ht="22.5" customHeight="1">
      <c r="P115" s="48" t="e">
        <f t="shared" si="4"/>
        <v>#DIV/0!</v>
      </c>
    </row>
    <row r="116" spans="16:16" ht="22.5" customHeight="1">
      <c r="P116" s="48" t="e">
        <f t="shared" si="4"/>
        <v>#DIV/0!</v>
      </c>
    </row>
    <row r="117" spans="16:16" ht="22.5" customHeight="1">
      <c r="P117" s="48" t="e">
        <f t="shared" si="4"/>
        <v>#DIV/0!</v>
      </c>
    </row>
    <row r="118" spans="16:16" ht="22.5" customHeight="1">
      <c r="P118" s="48" t="e">
        <f t="shared" si="4"/>
        <v>#DIV/0!</v>
      </c>
    </row>
    <row r="119" spans="16:16" ht="22.5" customHeight="1">
      <c r="P119" s="48" t="e">
        <f t="shared" si="4"/>
        <v>#DIV/0!</v>
      </c>
    </row>
    <row r="120" spans="16:16" ht="22.5" customHeight="1">
      <c r="P120" s="48" t="e">
        <f t="shared" si="4"/>
        <v>#DIV/0!</v>
      </c>
    </row>
    <row r="121" spans="16:16" ht="22.5" customHeight="1">
      <c r="P121" s="48" t="e">
        <f t="shared" si="4"/>
        <v>#DIV/0!</v>
      </c>
    </row>
    <row r="122" spans="16:16" ht="22.5" customHeight="1">
      <c r="P122" s="48" t="e">
        <f t="shared" si="4"/>
        <v>#DIV/0!</v>
      </c>
    </row>
    <row r="123" spans="16:16" ht="22.5" customHeight="1">
      <c r="P123" s="48" t="e">
        <f t="shared" si="4"/>
        <v>#DIV/0!</v>
      </c>
    </row>
    <row r="124" spans="16:16" ht="22.5" customHeight="1">
      <c r="P124" s="48" t="e">
        <f t="shared" si="4"/>
        <v>#DIV/0!</v>
      </c>
    </row>
    <row r="125" spans="16:16" ht="22.5" customHeight="1">
      <c r="P125" s="48" t="e">
        <f t="shared" si="4"/>
        <v>#DIV/0!</v>
      </c>
    </row>
    <row r="126" spans="16:16" ht="22.5" customHeight="1">
      <c r="P126" s="48" t="e">
        <f t="shared" si="4"/>
        <v>#DIV/0!</v>
      </c>
    </row>
    <row r="127" spans="16:16" ht="22.5" customHeight="1">
      <c r="P127" s="48" t="e">
        <f t="shared" si="4"/>
        <v>#DIV/0!</v>
      </c>
    </row>
    <row r="128" spans="16:16" ht="22.5" customHeight="1">
      <c r="P128" s="48" t="e">
        <f t="shared" si="4"/>
        <v>#DIV/0!</v>
      </c>
    </row>
    <row r="129" spans="16:16" ht="22.5" customHeight="1">
      <c r="P129" s="48" t="e">
        <f t="shared" si="4"/>
        <v>#DIV/0!</v>
      </c>
    </row>
    <row r="130" spans="16:16" ht="22.5" customHeight="1">
      <c r="P130" s="48" t="e">
        <f t="shared" si="4"/>
        <v>#DIV/0!</v>
      </c>
    </row>
    <row r="131" spans="16:16" ht="22.5" customHeight="1">
      <c r="P131" s="48" t="e">
        <f t="shared" si="4"/>
        <v>#DIV/0!</v>
      </c>
    </row>
    <row r="132" spans="16:16" ht="22.5" customHeight="1">
      <c r="P132" s="48" t="e">
        <f t="shared" si="4"/>
        <v>#DIV/0!</v>
      </c>
    </row>
    <row r="133" spans="16:16" ht="22.5" customHeight="1">
      <c r="P133" s="48" t="e">
        <f t="shared" si="4"/>
        <v>#DIV/0!</v>
      </c>
    </row>
    <row r="134" spans="16:16" ht="22.5" customHeight="1">
      <c r="P134" s="48" t="e">
        <f t="shared" si="4"/>
        <v>#DIV/0!</v>
      </c>
    </row>
    <row r="135" spans="16:16" ht="22.5" customHeight="1">
      <c r="P135" s="48" t="e">
        <f t="shared" si="4"/>
        <v>#DIV/0!</v>
      </c>
    </row>
    <row r="136" spans="16:16" ht="22.5" customHeight="1">
      <c r="P136" s="48" t="e">
        <f t="shared" ref="P136:P153" si="5">+(O136-O133)/O133</f>
        <v>#DIV/0!</v>
      </c>
    </row>
    <row r="137" spans="16:16" ht="22.5" customHeight="1">
      <c r="P137" s="48" t="e">
        <f t="shared" si="5"/>
        <v>#DIV/0!</v>
      </c>
    </row>
    <row r="138" spans="16:16" ht="22.5" customHeight="1">
      <c r="P138" s="48" t="e">
        <f t="shared" si="5"/>
        <v>#DIV/0!</v>
      </c>
    </row>
    <row r="139" spans="16:16" ht="22.5" customHeight="1">
      <c r="P139" s="48" t="e">
        <f t="shared" si="5"/>
        <v>#DIV/0!</v>
      </c>
    </row>
    <row r="140" spans="16:16" ht="22.5" customHeight="1">
      <c r="P140" s="48" t="e">
        <f t="shared" si="5"/>
        <v>#DIV/0!</v>
      </c>
    </row>
    <row r="141" spans="16:16" ht="22.5" customHeight="1">
      <c r="P141" s="48" t="e">
        <f t="shared" si="5"/>
        <v>#DIV/0!</v>
      </c>
    </row>
    <row r="142" spans="16:16" ht="22.5" customHeight="1">
      <c r="P142" s="48" t="e">
        <f t="shared" si="5"/>
        <v>#DIV/0!</v>
      </c>
    </row>
    <row r="143" spans="16:16" ht="22.5" customHeight="1">
      <c r="P143" s="48" t="e">
        <f t="shared" si="5"/>
        <v>#DIV/0!</v>
      </c>
    </row>
    <row r="144" spans="16:16" ht="22.5" customHeight="1">
      <c r="P144" s="48" t="e">
        <f t="shared" si="5"/>
        <v>#DIV/0!</v>
      </c>
    </row>
    <row r="145" spans="16:16" ht="22.5" customHeight="1">
      <c r="P145" s="48" t="e">
        <f t="shared" si="5"/>
        <v>#DIV/0!</v>
      </c>
    </row>
    <row r="146" spans="16:16" ht="22.5" customHeight="1">
      <c r="P146" s="48" t="e">
        <f t="shared" si="5"/>
        <v>#DIV/0!</v>
      </c>
    </row>
    <row r="147" spans="16:16" ht="22.5" customHeight="1">
      <c r="P147" s="48" t="e">
        <f t="shared" si="5"/>
        <v>#DIV/0!</v>
      </c>
    </row>
    <row r="148" spans="16:16" ht="22.5" customHeight="1">
      <c r="P148" s="48" t="e">
        <f t="shared" si="5"/>
        <v>#DIV/0!</v>
      </c>
    </row>
    <row r="149" spans="16:16" ht="22.5" customHeight="1">
      <c r="P149" s="48" t="e">
        <f t="shared" si="5"/>
        <v>#DIV/0!</v>
      </c>
    </row>
    <row r="150" spans="16:16" ht="22.5" customHeight="1">
      <c r="P150" s="48" t="e">
        <f t="shared" si="5"/>
        <v>#DIV/0!</v>
      </c>
    </row>
    <row r="151" spans="16:16" ht="22.5" customHeight="1">
      <c r="P151" s="48" t="e">
        <f t="shared" si="5"/>
        <v>#DIV/0!</v>
      </c>
    </row>
    <row r="152" spans="16:16" ht="22.5" customHeight="1">
      <c r="P152" s="48" t="e">
        <f t="shared" si="5"/>
        <v>#DIV/0!</v>
      </c>
    </row>
    <row r="153" spans="16:16" ht="22.5" customHeight="1">
      <c r="P153" s="48" t="e">
        <f t="shared" si="5"/>
        <v>#DIV/0!</v>
      </c>
    </row>
    <row r="154" spans="16:16" ht="22.5" customHeight="1">
      <c r="P154" s="48" t="e">
        <f>AVERAGE(P6:P153)</f>
        <v>#DIV/0!</v>
      </c>
    </row>
  </sheetData>
  <mergeCells count="3">
    <mergeCell ref="A1:K1"/>
    <mergeCell ref="A2:J2"/>
    <mergeCell ref="A18:E18"/>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N3:S36"/>
  <sheetViews>
    <sheetView showGridLines="0" view="pageBreakPreview" zoomScale="85" zoomScaleNormal="100" zoomScaleSheetLayoutView="85" workbookViewId="0">
      <selection activeCell="O11" sqref="O11:Q25"/>
    </sheetView>
  </sheetViews>
  <sheetFormatPr baseColWidth="10" defaultColWidth="11.42578125" defaultRowHeight="15"/>
  <cols>
    <col min="1" max="3" width="11.42578125" style="77"/>
    <col min="4" max="8" width="11.5703125" style="77" customWidth="1"/>
    <col min="9" max="9" width="11.28515625" style="77" customWidth="1"/>
    <col min="10" max="11" width="11.5703125" style="77" customWidth="1"/>
    <col min="12" max="12" width="11.28515625" style="77" customWidth="1"/>
    <col min="13" max="13" width="9.28515625" style="77" customWidth="1"/>
    <col min="14" max="14" width="12.140625" style="1937" customWidth="1"/>
    <col min="15" max="15" width="11.42578125" style="1937"/>
    <col min="16" max="16384" width="11.42578125" style="77"/>
  </cols>
  <sheetData>
    <row r="3" spans="14:16" ht="18.75" customHeight="1"/>
    <row r="7" spans="14:16" ht="24.75" customHeight="1"/>
    <row r="8" spans="14:16" ht="12" customHeight="1"/>
    <row r="9" spans="14:16" ht="16.5" customHeight="1"/>
    <row r="10" spans="14:16">
      <c r="N10" s="1967"/>
      <c r="O10" s="1967"/>
    </row>
    <row r="11" spans="14:16">
      <c r="N11" s="1967"/>
      <c r="O11" s="1967"/>
      <c r="P11" s="173"/>
    </row>
    <row r="12" spans="14:16">
      <c r="N12" s="1967"/>
      <c r="O12" s="1967"/>
      <c r="P12" s="173"/>
    </row>
    <row r="13" spans="14:16">
      <c r="N13" s="1967"/>
      <c r="O13" s="1967"/>
      <c r="P13" s="173"/>
    </row>
    <row r="14" spans="14:16">
      <c r="N14" s="1967"/>
      <c r="O14" s="1967"/>
      <c r="P14" s="173"/>
    </row>
    <row r="15" spans="14:16" ht="9.75" customHeight="1">
      <c r="N15" s="1967"/>
      <c r="O15" s="1967"/>
      <c r="P15" s="173"/>
    </row>
    <row r="16" spans="14:16">
      <c r="N16" s="1967"/>
      <c r="O16" s="1967"/>
      <c r="P16" s="173"/>
    </row>
    <row r="17" spans="14:19">
      <c r="N17" s="1967"/>
      <c r="O17" s="1967"/>
      <c r="P17" s="173"/>
    </row>
    <row r="18" spans="14:19">
      <c r="N18" s="1967"/>
      <c r="O18" s="1967"/>
      <c r="P18" s="173"/>
      <c r="S18" s="144"/>
    </row>
    <row r="19" spans="14:19">
      <c r="N19" s="1967"/>
      <c r="O19" s="1967"/>
      <c r="P19" s="173"/>
    </row>
    <row r="20" spans="14:19">
      <c r="N20" s="151"/>
      <c r="O20" s="151"/>
    </row>
    <row r="21" spans="14:19">
      <c r="N21" s="1938"/>
      <c r="O21" s="1938"/>
    </row>
    <row r="22" spans="14:19">
      <c r="N22" s="1938"/>
      <c r="O22" s="151"/>
    </row>
    <row r="23" spans="14:19">
      <c r="N23" s="1938"/>
      <c r="O23" s="1938"/>
    </row>
    <row r="24" spans="14:19">
      <c r="N24" s="1938"/>
      <c r="O24" s="1938"/>
    </row>
    <row r="25" spans="14:19">
      <c r="N25" s="1938"/>
      <c r="O25" s="1938"/>
    </row>
    <row r="26" spans="14:19">
      <c r="N26" s="1938"/>
      <c r="O26" s="1938"/>
    </row>
    <row r="27" spans="14:19">
      <c r="N27" s="1938"/>
      <c r="O27" s="1938"/>
    </row>
    <row r="28" spans="14:19">
      <c r="N28" s="151"/>
      <c r="O28" s="151"/>
      <c r="Q28" s="754"/>
    </row>
    <row r="29" spans="14:19">
      <c r="N29" s="151"/>
      <c r="O29" s="151"/>
    </row>
    <row r="30" spans="14:19">
      <c r="N30" s="151"/>
      <c r="O30" s="151"/>
    </row>
    <row r="31" spans="14:19">
      <c r="N31" s="151"/>
      <c r="O31" s="151"/>
      <c r="Q31" s="268"/>
    </row>
    <row r="32" spans="14:19">
      <c r="N32" s="151"/>
      <c r="O32" s="151"/>
    </row>
    <row r="33" spans="14:15">
      <c r="N33" s="151"/>
      <c r="O33" s="151"/>
    </row>
    <row r="34" spans="14:15">
      <c r="N34" s="151"/>
      <c r="O34" s="151"/>
    </row>
    <row r="35" spans="14:15">
      <c r="N35" s="151"/>
      <c r="O35" s="151"/>
    </row>
    <row r="36" spans="14:15" ht="30" customHeight="1">
      <c r="N36" s="151"/>
      <c r="O36" s="151"/>
    </row>
  </sheetData>
  <pageMargins left="0.70866141732283472" right="0.70866141732283472" top="0.74803149606299213" bottom="0.74803149606299213" header="0.31496062992125984" footer="0.31496062992125984"/>
  <pageSetup scale="83"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J29"/>
  <sheetViews>
    <sheetView showGridLines="0" view="pageBreakPreview" zoomScale="70" zoomScaleNormal="100" zoomScaleSheetLayoutView="70" workbookViewId="0">
      <selection activeCell="F4" sqref="F4"/>
    </sheetView>
  </sheetViews>
  <sheetFormatPr baseColWidth="10" defaultColWidth="11.42578125" defaultRowHeight="15"/>
  <cols>
    <col min="1" max="1" width="45.7109375" style="491" customWidth="1"/>
    <col min="2" max="2" width="28.140625" style="491" customWidth="1"/>
    <col min="3" max="3" width="18" style="491" customWidth="1"/>
    <col min="4" max="4" width="24.28515625" style="491" customWidth="1"/>
    <col min="5" max="5" width="26.7109375" style="491" customWidth="1"/>
    <col min="6" max="6" width="15.7109375" style="491" customWidth="1"/>
    <col min="7" max="7" width="17.140625" style="491" customWidth="1"/>
    <col min="8" max="8" width="20.85546875" style="491" customWidth="1"/>
    <col min="9" max="16384" width="11.42578125" style="491"/>
  </cols>
  <sheetData>
    <row r="1" spans="1:8" ht="64.5" customHeight="1">
      <c r="A1" s="2116"/>
      <c r="B1" s="2116"/>
      <c r="C1" s="2116"/>
      <c r="D1" s="2116"/>
      <c r="E1" s="2116"/>
      <c r="F1" s="2116"/>
      <c r="G1" s="2116"/>
      <c r="H1" s="2116"/>
    </row>
    <row r="2" spans="1:8" ht="16.5" customHeight="1"/>
    <row r="3" spans="1:8" ht="18.75" customHeight="1">
      <c r="A3" s="497" t="s">
        <v>569</v>
      </c>
      <c r="B3" s="498" t="s">
        <v>413</v>
      </c>
      <c r="C3" s="497" t="s">
        <v>570</v>
      </c>
      <c r="D3" s="1756"/>
      <c r="E3" s="1756"/>
      <c r="F3" s="1756"/>
    </row>
    <row r="4" spans="1:8" ht="15.75">
      <c r="A4" s="499" t="s">
        <v>571</v>
      </c>
      <c r="B4" s="1755">
        <v>162671126476.35001</v>
      </c>
      <c r="C4" s="1053">
        <f t="shared" ref="C4:C11" si="0">B4/$B$12</f>
        <v>0.46334314403500737</v>
      </c>
      <c r="D4" s="1756"/>
      <c r="E4" s="1756"/>
      <c r="F4" s="1756"/>
    </row>
    <row r="5" spans="1:8" ht="15.75">
      <c r="A5" s="499" t="s">
        <v>572</v>
      </c>
      <c r="B5" s="1755">
        <v>5734906935.4899998</v>
      </c>
      <c r="C5" s="1053">
        <f t="shared" si="0"/>
        <v>1.6334981307358363E-2</v>
      </c>
      <c r="D5" s="1756"/>
      <c r="E5" s="1756"/>
      <c r="F5" s="1756"/>
    </row>
    <row r="6" spans="1:8" ht="15.75">
      <c r="A6" s="499" t="s">
        <v>992</v>
      </c>
      <c r="B6" s="1755">
        <v>91252561371.080002</v>
      </c>
      <c r="C6" s="1053">
        <f t="shared" si="0"/>
        <v>0.25991858298879328</v>
      </c>
      <c r="D6" s="1935"/>
      <c r="E6" s="1935"/>
      <c r="F6" s="1935"/>
    </row>
    <row r="7" spans="1:8" ht="15.75">
      <c r="A7" s="499" t="s">
        <v>573</v>
      </c>
      <c r="B7" s="1755">
        <v>975703383.08000004</v>
      </c>
      <c r="C7" s="1053">
        <f t="shared" si="0"/>
        <v>2.7791377791166094E-3</v>
      </c>
      <c r="D7" s="1756"/>
      <c r="E7" s="1098"/>
      <c r="F7" s="1756"/>
    </row>
    <row r="8" spans="1:8" ht="15.75">
      <c r="A8" s="499" t="s">
        <v>993</v>
      </c>
      <c r="B8" s="1755">
        <v>881323511.63999999</v>
      </c>
      <c r="C8" s="1053">
        <f t="shared" si="0"/>
        <v>2.5103115447757092E-3</v>
      </c>
      <c r="D8" s="1756"/>
      <c r="E8" s="1756"/>
      <c r="F8" s="1756"/>
    </row>
    <row r="9" spans="1:8" ht="15.75">
      <c r="A9" s="499" t="s">
        <v>208</v>
      </c>
      <c r="B9" s="1755">
        <v>9492446692.2900009</v>
      </c>
      <c r="C9" s="1053">
        <f t="shared" si="0"/>
        <v>2.7037742900426754E-2</v>
      </c>
      <c r="D9" s="1756"/>
      <c r="E9" s="1756"/>
      <c r="F9" s="1756"/>
    </row>
    <row r="10" spans="1:8" ht="15.75">
      <c r="A10" s="499" t="s">
        <v>574</v>
      </c>
      <c r="B10" s="1755">
        <v>79721267688.910004</v>
      </c>
      <c r="C10" s="1053">
        <f t="shared" si="0"/>
        <v>0.22707350479192934</v>
      </c>
      <c r="D10" s="48"/>
      <c r="E10" s="48"/>
      <c r="F10" s="48"/>
    </row>
    <row r="11" spans="1:8" ht="15.75">
      <c r="A11" s="499" t="s">
        <v>575</v>
      </c>
      <c r="B11" s="1755">
        <v>351992262.39999998</v>
      </c>
      <c r="C11" s="1053">
        <f t="shared" si="0"/>
        <v>1.0025946525926508E-3</v>
      </c>
      <c r="D11" s="1756"/>
      <c r="E11" s="1756"/>
      <c r="F11" s="1756"/>
    </row>
    <row r="12" spans="1:8" ht="15.75">
      <c r="A12" s="497" t="s">
        <v>23</v>
      </c>
      <c r="B12" s="1467">
        <f>SUM(B4:B11)</f>
        <v>351081328321.23999</v>
      </c>
      <c r="C12" s="1054">
        <f>SUM(C4:C11)</f>
        <v>1</v>
      </c>
      <c r="D12" s="1756"/>
      <c r="E12" s="1756"/>
      <c r="F12" s="1756"/>
    </row>
    <row r="13" spans="1:8">
      <c r="A13" s="492" t="s">
        <v>994</v>
      </c>
      <c r="B13" s="46"/>
      <c r="C13" s="493"/>
      <c r="D13" s="1756"/>
    </row>
    <row r="21" spans="10:10">
      <c r="J21" s="492"/>
    </row>
    <row r="27" spans="10:10">
      <c r="J27" s="492"/>
    </row>
    <row r="29" spans="10:10">
      <c r="J29" s="492"/>
    </row>
  </sheetData>
  <mergeCells count="1">
    <mergeCell ref="A1:H1"/>
  </mergeCells>
  <printOptions horizontalCentered="1" verticalCentered="1"/>
  <pageMargins left="0.4" right="0.4" top="0.25" bottom="0.25" header="0.3" footer="0.3"/>
  <pageSetup scale="59"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I30"/>
  <sheetViews>
    <sheetView showGridLines="0" view="pageBreakPreview" zoomScale="70" zoomScaleNormal="100" zoomScaleSheetLayoutView="70" workbookViewId="0">
      <selection activeCell="D6" sqref="D6"/>
    </sheetView>
  </sheetViews>
  <sheetFormatPr baseColWidth="10" defaultColWidth="11.42578125" defaultRowHeight="15"/>
  <cols>
    <col min="1" max="1" width="39.5703125" style="165" customWidth="1"/>
    <col min="2" max="2" width="25.5703125" style="165" customWidth="1"/>
    <col min="3" max="3" width="15" style="165" customWidth="1"/>
    <col min="4" max="4" width="27.85546875" style="165" customWidth="1"/>
    <col min="5" max="5" width="22.85546875" style="165" customWidth="1"/>
    <col min="6" max="6" width="20" style="165" customWidth="1"/>
    <col min="7" max="7" width="28.140625" style="165" customWidth="1"/>
    <col min="8" max="8" width="23.42578125" style="165" customWidth="1"/>
    <col min="9" max="9" width="19.42578125" style="165" bestFit="1" customWidth="1"/>
    <col min="10" max="16384" width="11.42578125" style="165"/>
  </cols>
  <sheetData>
    <row r="1" spans="1:9" ht="68.25" customHeight="1">
      <c r="A1" s="2190"/>
      <c r="B1" s="2191"/>
      <c r="C1" s="2191"/>
      <c r="D1" s="2191"/>
      <c r="E1" s="2191"/>
      <c r="F1" s="2191"/>
      <c r="G1" s="2191"/>
      <c r="H1" s="2191"/>
      <c r="I1" s="164"/>
    </row>
    <row r="2" spans="1:9" ht="6.75" customHeight="1">
      <c r="A2" s="2184"/>
      <c r="B2" s="2184"/>
      <c r="C2" s="2184"/>
    </row>
    <row r="3" spans="1:9" ht="15.75">
      <c r="A3" s="487" t="s">
        <v>412</v>
      </c>
      <c r="B3" s="490" t="s">
        <v>413</v>
      </c>
      <c r="C3" s="1465" t="s">
        <v>35</v>
      </c>
    </row>
    <row r="4" spans="1:9">
      <c r="A4" s="500" t="s">
        <v>414</v>
      </c>
      <c r="B4" s="1758">
        <v>79721267688.910004</v>
      </c>
      <c r="C4" s="1759">
        <f t="shared" ref="C4:C11" si="0">+B4/$B$12</f>
        <v>0.22707350479192934</v>
      </c>
      <c r="D4" s="1466"/>
      <c r="E4" s="1466"/>
      <c r="F4" s="1466"/>
      <c r="G4" s="1466"/>
      <c r="H4" s="1466"/>
    </row>
    <row r="5" spans="1:9">
      <c r="A5" s="500" t="s">
        <v>433</v>
      </c>
      <c r="B5" s="1758">
        <v>47331575749.82</v>
      </c>
      <c r="C5" s="1759">
        <f t="shared" si="0"/>
        <v>0.13481655654017444</v>
      </c>
      <c r="D5" s="1466"/>
      <c r="E5" s="1466"/>
      <c r="F5" s="1466"/>
      <c r="G5" s="1466"/>
      <c r="H5" s="1466"/>
      <c r="I5" s="1970"/>
    </row>
    <row r="6" spans="1:9">
      <c r="A6" s="500" t="s">
        <v>699</v>
      </c>
      <c r="B6" s="1758">
        <v>198308583.16999999</v>
      </c>
      <c r="C6" s="1759">
        <f t="shared" si="0"/>
        <v>5.6485083988444778E-4</v>
      </c>
      <c r="D6" s="1830"/>
      <c r="E6" s="1830"/>
      <c r="F6" s="1830"/>
      <c r="G6" s="1830"/>
      <c r="H6" s="1830"/>
      <c r="I6" s="1970"/>
    </row>
    <row r="7" spans="1:9">
      <c r="A7" s="500" t="s">
        <v>434</v>
      </c>
      <c r="B7" s="1758">
        <v>115141242143.36</v>
      </c>
      <c r="C7" s="1759">
        <f t="shared" si="0"/>
        <v>0.32796173665494843</v>
      </c>
      <c r="D7" s="1468"/>
      <c r="E7" s="1468"/>
      <c r="F7" s="1468"/>
      <c r="G7" s="1468"/>
      <c r="H7" s="1468"/>
      <c r="I7" s="1970"/>
    </row>
    <row r="8" spans="1:9">
      <c r="A8" s="500" t="s">
        <v>422</v>
      </c>
      <c r="B8" s="1758">
        <f>1224312355.99+265764818.48+10598175424.99+329510457.82+23724288573.23+2770935149.9+21496768253.42+1216796714.23+2904276070.2+357950565.37+1293720170.15+600649973.7+3852327090.95+1182040059.82+1308452700.37+166842147.31+654399870.32</f>
        <v>73947210396.25</v>
      </c>
      <c r="C8" s="1759">
        <f t="shared" si="0"/>
        <v>0.21062700984367982</v>
      </c>
      <c r="D8" s="1466"/>
      <c r="E8" s="1466"/>
      <c r="F8" s="1466"/>
      <c r="G8" s="1466"/>
      <c r="H8" s="1466"/>
      <c r="I8" s="1970"/>
    </row>
    <row r="9" spans="1:9">
      <c r="A9" s="500" t="s">
        <v>973</v>
      </c>
      <c r="B9" s="1758">
        <f>778761321.62+101501783.86+10234064164.11+9048615283.56+454143199.5+702007928.7+658859583.81+1883546662.79+154461365.45</f>
        <v>24015961293.400005</v>
      </c>
      <c r="C9" s="1759">
        <f t="shared" si="0"/>
        <v>6.8405692231588461E-2</v>
      </c>
      <c r="D9" s="1466"/>
      <c r="E9" s="1466"/>
      <c r="F9" s="1466"/>
      <c r="G9" s="1466"/>
      <c r="H9" s="1466"/>
    </row>
    <row r="10" spans="1:9">
      <c r="A10" s="500" t="s">
        <v>415</v>
      </c>
      <c r="B10" s="1758">
        <f>1726628332.14+5396554764.91</f>
        <v>7123183097.0500002</v>
      </c>
      <c r="C10" s="1759">
        <f t="shared" si="0"/>
        <v>2.0289267820395952E-2</v>
      </c>
      <c r="D10" s="1466"/>
      <c r="E10" s="1466"/>
      <c r="F10" s="1466"/>
      <c r="G10" s="1466"/>
      <c r="H10" s="1466"/>
    </row>
    <row r="11" spans="1:9">
      <c r="A11" s="500" t="s">
        <v>416</v>
      </c>
      <c r="B11" s="1758">
        <v>3602579369.2799683</v>
      </c>
      <c r="C11" s="1759">
        <f t="shared" si="0"/>
        <v>1.0261381277399071E-2</v>
      </c>
      <c r="D11" s="1466"/>
      <c r="E11" s="1466"/>
      <c r="F11" s="1466"/>
      <c r="G11" s="1466"/>
      <c r="H11" s="1466"/>
    </row>
    <row r="12" spans="1:9">
      <c r="A12" s="488" t="s">
        <v>417</v>
      </c>
      <c r="B12" s="1760">
        <f>SUM(B4:B11)</f>
        <v>351081328321.23999</v>
      </c>
      <c r="C12" s="1761">
        <f>SUM(C4:C11)</f>
        <v>1</v>
      </c>
      <c r="D12" s="1757"/>
      <c r="E12" s="1757"/>
      <c r="F12" s="1757"/>
      <c r="G12" s="1757"/>
      <c r="H12" s="1757"/>
    </row>
    <row r="13" spans="1:9">
      <c r="A13" s="218" t="s">
        <v>995</v>
      </c>
      <c r="B13" s="167"/>
      <c r="I13" s="166"/>
    </row>
    <row r="14" spans="1:9">
      <c r="B14" s="167"/>
    </row>
    <row r="15" spans="1:9">
      <c r="B15" s="167"/>
    </row>
    <row r="16" spans="1:9">
      <c r="B16" s="167"/>
    </row>
    <row r="17" spans="2:2">
      <c r="B17" s="167"/>
    </row>
    <row r="18" spans="2:2">
      <c r="B18" s="167"/>
    </row>
    <row r="19" spans="2:2">
      <c r="B19" s="167"/>
    </row>
    <row r="20" spans="2:2">
      <c r="B20" s="167"/>
    </row>
    <row r="21" spans="2:2">
      <c r="B21" s="167"/>
    </row>
    <row r="22" spans="2:2">
      <c r="B22" s="167"/>
    </row>
    <row r="23" spans="2:2">
      <c r="B23" s="167"/>
    </row>
    <row r="24" spans="2:2">
      <c r="B24" s="167"/>
    </row>
    <row r="25" spans="2:2">
      <c r="B25" s="167"/>
    </row>
    <row r="26" spans="2:2">
      <c r="B26" s="167"/>
    </row>
    <row r="27" spans="2:2">
      <c r="B27" s="167"/>
    </row>
    <row r="28" spans="2:2">
      <c r="B28" s="167"/>
    </row>
    <row r="29" spans="2:2">
      <c r="B29" s="167"/>
    </row>
    <row r="30" spans="2:2">
      <c r="B30" s="167"/>
    </row>
  </sheetData>
  <mergeCells count="2">
    <mergeCell ref="A1:H1"/>
    <mergeCell ref="A2:C2"/>
  </mergeCells>
  <pageMargins left="0.7" right="0.7" top="0.75" bottom="0.75" header="0.3" footer="0.3"/>
  <pageSetup scale="6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68"/>
  <sheetViews>
    <sheetView showGridLines="0" view="pageBreakPreview" zoomScale="55" zoomScaleNormal="100" zoomScaleSheetLayoutView="55" workbookViewId="0">
      <selection activeCell="A3" sqref="A3:C3"/>
    </sheetView>
  </sheetViews>
  <sheetFormatPr baseColWidth="10" defaultColWidth="11.42578125" defaultRowHeight="15"/>
  <cols>
    <col min="1" max="1" width="17.28515625" style="87" customWidth="1"/>
    <col min="2" max="2" width="20.5703125" style="87" customWidth="1"/>
    <col min="3" max="3" width="21.85546875" style="87" customWidth="1"/>
    <col min="4" max="11" width="11.42578125" style="87"/>
    <col min="12" max="12" width="18.7109375" style="87" customWidth="1"/>
    <col min="13" max="18" width="17.140625" style="87" customWidth="1"/>
    <col min="19" max="16384" width="11.42578125" style="87"/>
  </cols>
  <sheetData>
    <row r="1" spans="1:19" ht="72" customHeight="1">
      <c r="A1" s="2116"/>
      <c r="B1" s="2116"/>
      <c r="C1" s="2116"/>
      <c r="D1" s="2116"/>
      <c r="E1" s="2116"/>
      <c r="F1" s="2116"/>
      <c r="G1" s="2116"/>
      <c r="H1" s="2116"/>
      <c r="I1" s="2116"/>
      <c r="J1" s="2116"/>
      <c r="K1" s="2116"/>
      <c r="L1" s="2116"/>
      <c r="M1" s="2116"/>
      <c r="N1" s="2116"/>
      <c r="O1" s="2116"/>
      <c r="P1" s="2116"/>
      <c r="Q1" s="2116"/>
      <c r="R1" s="2116"/>
      <c r="S1" s="2116"/>
    </row>
    <row r="2" spans="1:19" ht="34.5" customHeight="1">
      <c r="A2" s="2195" t="s">
        <v>591</v>
      </c>
      <c r="B2" s="2195"/>
      <c r="C2" s="2195"/>
      <c r="D2" s="2195"/>
      <c r="E2" s="2195"/>
      <c r="F2" s="2195"/>
      <c r="G2" s="2195"/>
      <c r="H2" s="2195"/>
      <c r="I2" s="2195"/>
      <c r="J2" s="2195"/>
      <c r="K2" s="2195"/>
      <c r="L2" s="2195"/>
      <c r="M2" s="2195"/>
      <c r="N2" s="2195"/>
      <c r="O2" s="2195"/>
      <c r="P2" s="2195"/>
      <c r="Q2" s="2195"/>
      <c r="R2" s="2195"/>
      <c r="S2" s="2195"/>
    </row>
    <row r="3" spans="1:19" ht="48" customHeight="1">
      <c r="A3" s="2192" t="s">
        <v>164</v>
      </c>
      <c r="B3" s="2193"/>
      <c r="C3" s="2194"/>
      <c r="D3" s="104"/>
      <c r="E3" s="104"/>
      <c r="F3" s="104"/>
      <c r="G3" s="104"/>
      <c r="H3" s="104"/>
      <c r="I3" s="104"/>
      <c r="J3" s="104"/>
      <c r="K3" s="104"/>
      <c r="L3" s="104"/>
      <c r="M3" s="104"/>
      <c r="N3" s="104"/>
      <c r="O3" s="104"/>
      <c r="P3" s="104"/>
      <c r="Q3" s="104"/>
    </row>
    <row r="4" spans="1:19" ht="48" customHeight="1">
      <c r="A4" s="1341" t="s">
        <v>38</v>
      </c>
      <c r="B4" s="1342" t="s">
        <v>163</v>
      </c>
      <c r="C4" s="1343" t="s">
        <v>162</v>
      </c>
      <c r="D4" s="104"/>
      <c r="E4" s="104"/>
      <c r="F4" s="104"/>
      <c r="G4" s="503"/>
      <c r="H4" s="503"/>
      <c r="I4" s="503"/>
      <c r="J4" s="503"/>
      <c r="K4" s="503"/>
      <c r="L4" s="104"/>
      <c r="M4" s="104"/>
      <c r="N4" s="104"/>
      <c r="O4" s="104"/>
      <c r="P4" s="104"/>
      <c r="Q4" s="104"/>
    </row>
    <row r="5" spans="1:19" ht="19.5" customHeight="1">
      <c r="A5" s="1899">
        <v>38504</v>
      </c>
      <c r="B5" s="1902">
        <v>0.19919999999999999</v>
      </c>
      <c r="C5" s="1479">
        <v>0.2041</v>
      </c>
      <c r="D5" s="104"/>
      <c r="E5" s="104"/>
      <c r="F5" s="104"/>
      <c r="G5" s="503"/>
      <c r="H5" s="503"/>
      <c r="I5" s="503"/>
      <c r="J5" s="503"/>
      <c r="K5" s="503"/>
      <c r="L5" s="104"/>
      <c r="M5" s="104"/>
      <c r="N5" s="104"/>
      <c r="O5" s="104"/>
      <c r="P5" s="104"/>
      <c r="Q5" s="104"/>
    </row>
    <row r="6" spans="1:19" ht="19.5" customHeight="1">
      <c r="A6" s="1900">
        <v>38687</v>
      </c>
      <c r="B6" s="1898">
        <v>0.1709</v>
      </c>
      <c r="C6" s="1474">
        <v>0.1696</v>
      </c>
      <c r="D6" s="104"/>
      <c r="E6" s="104"/>
      <c r="F6" s="104"/>
      <c r="G6" s="503"/>
      <c r="H6" s="503"/>
      <c r="I6" s="503"/>
      <c r="J6" s="503"/>
      <c r="K6" s="503"/>
      <c r="L6" s="104"/>
      <c r="M6" s="104"/>
      <c r="N6" s="104"/>
      <c r="O6" s="104"/>
      <c r="P6" s="104"/>
      <c r="Q6" s="104"/>
    </row>
    <row r="7" spans="1:19" ht="18.75">
      <c r="A7" s="1900">
        <v>38869</v>
      </c>
      <c r="B7" s="1898">
        <v>0.13300000000000001</v>
      </c>
      <c r="C7" s="1474">
        <v>0.13469999999999999</v>
      </c>
      <c r="D7" s="104"/>
      <c r="E7" s="104"/>
      <c r="F7" s="104"/>
      <c r="G7" s="503"/>
      <c r="H7" s="503"/>
      <c r="I7" s="503"/>
      <c r="J7" s="503"/>
      <c r="K7" s="503"/>
      <c r="L7" s="104"/>
      <c r="M7" s="104"/>
      <c r="N7" s="104"/>
      <c r="O7" s="104"/>
      <c r="P7" s="104"/>
      <c r="Q7" s="104"/>
    </row>
    <row r="8" spans="1:19" ht="18.75">
      <c r="A8" s="1900">
        <v>39052</v>
      </c>
      <c r="B8" s="1898">
        <v>0.1147</v>
      </c>
      <c r="C8" s="1474">
        <v>0.1148</v>
      </c>
      <c r="D8" s="104"/>
      <c r="E8" s="104"/>
      <c r="F8" s="104"/>
      <c r="G8" s="503"/>
      <c r="H8" s="503"/>
      <c r="I8" s="503"/>
      <c r="J8" s="503"/>
      <c r="K8" s="503"/>
      <c r="L8" s="104"/>
      <c r="M8" s="104"/>
      <c r="N8" s="104"/>
      <c r="O8" s="104"/>
      <c r="P8" s="104"/>
      <c r="Q8" s="104"/>
    </row>
    <row r="9" spans="1:19" ht="15.75" hidden="1" customHeight="1">
      <c r="A9" s="1900">
        <v>39234</v>
      </c>
      <c r="B9" s="1898">
        <v>9.4399999999999998E-2</v>
      </c>
      <c r="C9" s="1474">
        <v>9.4200000000000006E-2</v>
      </c>
      <c r="D9" s="104"/>
      <c r="E9" s="104"/>
      <c r="F9" s="104"/>
      <c r="G9" s="503"/>
      <c r="H9" s="503"/>
      <c r="I9" s="503"/>
      <c r="J9" s="503"/>
      <c r="K9" s="503"/>
      <c r="L9" s="104"/>
      <c r="M9" s="104"/>
      <c r="N9" s="104"/>
      <c r="O9" s="104"/>
      <c r="P9" s="104"/>
      <c r="Q9" s="104"/>
    </row>
    <row r="10" spans="1:19" ht="15.75" hidden="1" customHeight="1">
      <c r="A10" s="1900">
        <v>39417</v>
      </c>
      <c r="B10" s="1898">
        <v>8.48E-2</v>
      </c>
      <c r="C10" s="1474">
        <v>8.4400000000000003E-2</v>
      </c>
      <c r="D10" s="104"/>
      <c r="E10" s="104"/>
      <c r="F10" s="104"/>
      <c r="G10" s="503"/>
      <c r="H10" s="503"/>
      <c r="I10" s="503"/>
      <c r="J10" s="503"/>
      <c r="K10" s="503"/>
      <c r="L10" s="104"/>
      <c r="M10" s="104"/>
      <c r="N10" s="104"/>
      <c r="O10" s="104"/>
      <c r="P10" s="104"/>
      <c r="Q10" s="104"/>
    </row>
    <row r="11" spans="1:19" ht="18.75" hidden="1">
      <c r="A11" s="1900">
        <v>39600</v>
      </c>
      <c r="B11" s="1898">
        <v>8.6699999999999999E-2</v>
      </c>
      <c r="C11" s="1474">
        <v>9.06E-2</v>
      </c>
      <c r="D11" s="104"/>
      <c r="E11" s="104"/>
      <c r="F11" s="104"/>
      <c r="G11" s="503"/>
      <c r="H11" s="503"/>
      <c r="I11" s="503"/>
      <c r="J11" s="503"/>
      <c r="K11" s="503"/>
      <c r="L11" s="104"/>
      <c r="M11" s="104"/>
      <c r="N11" s="104"/>
      <c r="O11" s="104"/>
      <c r="P11" s="104"/>
      <c r="Q11" s="104"/>
    </row>
    <row r="12" spans="1:19" ht="18.75">
      <c r="A12" s="1900">
        <v>39783</v>
      </c>
      <c r="B12" s="1898">
        <v>0.1208</v>
      </c>
      <c r="C12" s="1474">
        <v>0.13009999999999999</v>
      </c>
      <c r="D12" s="104"/>
      <c r="E12" s="104"/>
      <c r="F12" s="104"/>
      <c r="G12" s="503"/>
      <c r="H12" s="503"/>
      <c r="I12" s="503"/>
      <c r="J12" s="503"/>
      <c r="K12" s="503"/>
      <c r="L12" s="104"/>
      <c r="M12" s="104"/>
      <c r="N12" s="104"/>
      <c r="O12" s="104"/>
      <c r="P12" s="104"/>
      <c r="Q12" s="104"/>
    </row>
    <row r="13" spans="1:19" ht="18.75">
      <c r="A13" s="1900">
        <v>39965</v>
      </c>
      <c r="B13" s="1898">
        <v>0.15529999999999999</v>
      </c>
      <c r="C13" s="1474">
        <v>0.161</v>
      </c>
      <c r="D13" s="104"/>
      <c r="E13" s="104"/>
      <c r="F13" s="104"/>
      <c r="G13" s="503"/>
      <c r="H13" s="503"/>
      <c r="I13" s="503"/>
      <c r="J13" s="503"/>
      <c r="K13" s="503"/>
      <c r="L13" s="104"/>
      <c r="M13" s="104"/>
      <c r="N13" s="104"/>
      <c r="O13" s="104"/>
      <c r="P13" s="104"/>
      <c r="Q13" s="104"/>
    </row>
    <row r="14" spans="1:19" ht="18.75">
      <c r="A14" s="1900">
        <v>40148</v>
      </c>
      <c r="B14" s="1898">
        <v>0.1404</v>
      </c>
      <c r="C14" s="1474">
        <v>0.14330000000000001</v>
      </c>
      <c r="D14" s="104"/>
      <c r="E14" s="104"/>
      <c r="F14" s="104"/>
      <c r="G14" s="104"/>
      <c r="H14" s="104"/>
      <c r="I14" s="104"/>
      <c r="J14" s="104"/>
      <c r="K14" s="104"/>
      <c r="L14" s="104"/>
      <c r="M14" s="104"/>
      <c r="N14" s="104"/>
      <c r="O14" s="104"/>
      <c r="P14" s="104"/>
      <c r="Q14" s="104"/>
    </row>
    <row r="15" spans="1:19" ht="18.75" hidden="1">
      <c r="A15" s="1900">
        <v>40330</v>
      </c>
      <c r="B15" s="1898">
        <v>0.11609999999999999</v>
      </c>
      <c r="C15" s="1474">
        <v>0.1183</v>
      </c>
      <c r="D15" s="104"/>
      <c r="E15" s="104"/>
      <c r="F15" s="104"/>
      <c r="G15" s="104"/>
      <c r="H15" s="104"/>
      <c r="I15" s="104"/>
      <c r="J15" s="104"/>
      <c r="K15" s="104"/>
      <c r="L15" s="104"/>
      <c r="M15" s="104"/>
      <c r="N15" s="104"/>
      <c r="O15" s="104"/>
      <c r="P15" s="104"/>
      <c r="Q15" s="104"/>
    </row>
    <row r="16" spans="1:19" s="77" customFormat="1" ht="18.75">
      <c r="A16" s="1900">
        <v>40513</v>
      </c>
      <c r="B16" s="1898">
        <v>0.108409960162953</v>
      </c>
      <c r="C16" s="1474">
        <v>0.11057333531076501</v>
      </c>
      <c r="D16" s="94"/>
      <c r="E16" s="94"/>
      <c r="F16" s="94"/>
      <c r="G16" s="94"/>
      <c r="H16" s="94"/>
      <c r="I16" s="94"/>
      <c r="J16" s="94"/>
      <c r="K16" s="94"/>
      <c r="L16" s="94"/>
      <c r="M16" s="94"/>
      <c r="N16" s="94"/>
      <c r="O16" s="105"/>
      <c r="P16" s="94"/>
      <c r="Q16" s="94"/>
    </row>
    <row r="17" spans="1:17" ht="18.75">
      <c r="A17" s="1900">
        <v>40695</v>
      </c>
      <c r="B17" s="1898">
        <v>0.113957126516463</v>
      </c>
      <c r="C17" s="1474">
        <v>0.115288967128472</v>
      </c>
      <c r="D17" s="104"/>
      <c r="E17" s="105"/>
      <c r="F17" s="105"/>
      <c r="G17" s="105"/>
      <c r="H17" s="105"/>
      <c r="I17" s="105"/>
      <c r="J17" s="105"/>
      <c r="K17" s="105"/>
      <c r="L17" s="105"/>
      <c r="M17" s="105"/>
      <c r="N17" s="105"/>
      <c r="O17" s="104"/>
      <c r="P17" s="104"/>
      <c r="Q17" s="104"/>
    </row>
    <row r="18" spans="1:17" ht="18.75">
      <c r="A18" s="1900">
        <v>40878</v>
      </c>
      <c r="B18" s="1898">
        <v>0.12479999999999999</v>
      </c>
      <c r="C18" s="1474">
        <v>0.12659999999999999</v>
      </c>
      <c r="D18" s="94"/>
      <c r="E18" s="94"/>
      <c r="F18" s="94"/>
      <c r="G18" s="94"/>
      <c r="H18" s="94"/>
      <c r="I18" s="94"/>
      <c r="J18" s="94"/>
      <c r="K18" s="94"/>
      <c r="L18" s="94"/>
      <c r="M18" s="94"/>
      <c r="N18" s="94"/>
      <c r="O18" s="94"/>
      <c r="P18" s="104"/>
      <c r="Q18" s="104"/>
    </row>
    <row r="19" spans="1:17" ht="18.75" hidden="1">
      <c r="A19" s="1900">
        <v>40909</v>
      </c>
      <c r="B19" s="1898">
        <v>0.1268</v>
      </c>
      <c r="C19" s="1474">
        <v>0.12740000000000001</v>
      </c>
      <c r="D19" s="104"/>
      <c r="E19" s="104"/>
      <c r="F19" s="104"/>
      <c r="G19" s="104"/>
      <c r="H19" s="104"/>
      <c r="I19" s="104"/>
      <c r="J19" s="104"/>
      <c r="K19" s="104"/>
      <c r="L19" s="104"/>
      <c r="M19" s="104"/>
      <c r="N19" s="104"/>
      <c r="O19" s="104"/>
      <c r="P19" s="104"/>
      <c r="Q19" s="104"/>
    </row>
    <row r="20" spans="1:17" ht="18.75" hidden="1">
      <c r="A20" s="1900">
        <v>40940</v>
      </c>
      <c r="B20" s="1898">
        <v>0.12870000000000001</v>
      </c>
      <c r="C20" s="1474">
        <v>0.13070000000000001</v>
      </c>
      <c r="D20" s="104"/>
      <c r="E20" s="104"/>
      <c r="F20" s="104"/>
      <c r="G20" s="104"/>
      <c r="H20" s="104"/>
      <c r="I20" s="104"/>
      <c r="J20" s="104"/>
      <c r="K20" s="104"/>
      <c r="L20" s="104"/>
      <c r="M20" s="104"/>
      <c r="N20" s="104"/>
      <c r="O20" s="104"/>
      <c r="P20" s="104"/>
      <c r="Q20" s="104"/>
    </row>
    <row r="21" spans="1:17" ht="18.75" hidden="1">
      <c r="A21" s="1900">
        <v>40969</v>
      </c>
      <c r="B21" s="1898">
        <v>0.13020000000000001</v>
      </c>
      <c r="C21" s="1474">
        <v>0.13250000000000001</v>
      </c>
      <c r="D21" s="104"/>
      <c r="E21" s="104"/>
      <c r="F21" s="104"/>
      <c r="G21" s="104"/>
      <c r="H21" s="104"/>
      <c r="I21" s="104"/>
      <c r="J21" s="104"/>
      <c r="K21" s="104"/>
      <c r="L21" s="104"/>
      <c r="M21" s="104"/>
      <c r="N21" s="104"/>
      <c r="O21" s="104"/>
      <c r="P21" s="104"/>
      <c r="Q21" s="104"/>
    </row>
    <row r="22" spans="1:17" ht="18.75" hidden="1">
      <c r="A22" s="1900">
        <v>41000</v>
      </c>
      <c r="B22" s="1898">
        <v>0.12909999999999999</v>
      </c>
      <c r="C22" s="1474">
        <v>0.13170000000000001</v>
      </c>
      <c r="D22" s="104"/>
      <c r="E22" s="104"/>
      <c r="F22" s="104"/>
      <c r="G22" s="104"/>
      <c r="H22" s="104"/>
      <c r="I22" s="104"/>
      <c r="J22" s="104"/>
      <c r="K22" s="104"/>
      <c r="L22" s="104"/>
      <c r="M22" s="104"/>
      <c r="N22" s="104"/>
      <c r="O22" s="104"/>
      <c r="P22" s="104"/>
      <c r="Q22" s="104"/>
    </row>
    <row r="23" spans="1:17" ht="18.75" hidden="1">
      <c r="A23" s="1900">
        <v>41030</v>
      </c>
      <c r="B23" s="1898">
        <v>0.13</v>
      </c>
      <c r="C23" s="1474">
        <v>0.13289999999999999</v>
      </c>
      <c r="D23" s="104"/>
      <c r="E23" s="104"/>
      <c r="F23" s="104"/>
      <c r="G23" s="104"/>
      <c r="H23" s="104"/>
      <c r="I23" s="104"/>
      <c r="J23" s="104"/>
      <c r="K23" s="104"/>
      <c r="L23" s="104"/>
      <c r="M23" s="104"/>
      <c r="N23" s="104"/>
      <c r="O23" s="104"/>
      <c r="P23" s="104"/>
      <c r="Q23" s="104"/>
    </row>
    <row r="24" spans="1:17" ht="18.75">
      <c r="A24" s="1900">
        <v>41061</v>
      </c>
      <c r="B24" s="1898">
        <v>0.13100000000000001</v>
      </c>
      <c r="C24" s="1474">
        <v>0.1343</v>
      </c>
      <c r="D24" s="104"/>
      <c r="E24" s="104"/>
      <c r="F24" s="104"/>
      <c r="G24" s="104"/>
      <c r="H24" s="104"/>
      <c r="I24" s="104"/>
      <c r="J24" s="104"/>
      <c r="K24" s="104"/>
      <c r="L24" s="104"/>
      <c r="M24" s="104"/>
      <c r="N24" s="104"/>
      <c r="O24" s="104"/>
      <c r="P24" s="104"/>
      <c r="Q24" s="104"/>
    </row>
    <row r="25" spans="1:17" ht="18.75" hidden="1">
      <c r="A25" s="1900">
        <v>41091</v>
      </c>
      <c r="B25" s="1898">
        <v>0.13519999999999999</v>
      </c>
      <c r="C25" s="1474">
        <v>0.13800000000000001</v>
      </c>
      <c r="D25" s="104"/>
      <c r="E25" s="104"/>
      <c r="F25" s="104"/>
      <c r="G25" s="104"/>
      <c r="H25" s="104"/>
      <c r="I25" s="104"/>
      <c r="J25" s="104"/>
      <c r="K25" s="104"/>
      <c r="L25" s="104"/>
      <c r="M25" s="104"/>
      <c r="N25" s="104"/>
      <c r="O25" s="104"/>
      <c r="P25" s="104"/>
      <c r="Q25" s="104"/>
    </row>
    <row r="26" spans="1:17" ht="18.75" hidden="1">
      <c r="A26" s="1900">
        <v>41122</v>
      </c>
      <c r="B26" s="1898">
        <v>0.1346</v>
      </c>
      <c r="C26" s="1474">
        <v>0.13800000000000001</v>
      </c>
      <c r="D26" s="104"/>
      <c r="E26" s="104"/>
      <c r="F26" s="104"/>
      <c r="G26" s="104"/>
      <c r="H26" s="104"/>
      <c r="I26" s="104"/>
      <c r="J26" s="104"/>
      <c r="K26" s="104"/>
      <c r="L26" s="104"/>
      <c r="M26" s="104"/>
      <c r="N26" s="104"/>
      <c r="O26" s="104"/>
      <c r="P26" s="104"/>
      <c r="Q26" s="104"/>
    </row>
    <row r="27" spans="1:17" ht="18.75" hidden="1">
      <c r="A27" s="1900">
        <v>41153</v>
      </c>
      <c r="B27" s="1898">
        <v>0.1351</v>
      </c>
      <c r="C27" s="1474">
        <v>0.1386</v>
      </c>
      <c r="D27" s="104"/>
      <c r="E27" s="104"/>
      <c r="F27" s="104"/>
      <c r="G27" s="104"/>
      <c r="H27" s="104"/>
      <c r="I27" s="104"/>
      <c r="J27" s="104"/>
      <c r="K27" s="104"/>
      <c r="L27" s="104"/>
      <c r="M27" s="104"/>
      <c r="N27" s="104"/>
      <c r="O27" s="104"/>
      <c r="P27" s="104"/>
      <c r="Q27" s="104"/>
    </row>
    <row r="28" spans="1:17" ht="18.75" hidden="1">
      <c r="A28" s="1900">
        <v>41183</v>
      </c>
      <c r="B28" s="1898">
        <v>0.13669999999999999</v>
      </c>
      <c r="C28" s="1474">
        <v>0.14080000000000001</v>
      </c>
      <c r="D28" s="104"/>
      <c r="E28" s="104"/>
      <c r="F28" s="104"/>
      <c r="G28" s="104"/>
      <c r="H28" s="104"/>
      <c r="I28" s="104"/>
      <c r="J28" s="104"/>
      <c r="K28" s="104"/>
      <c r="L28" s="104"/>
      <c r="M28" s="104"/>
      <c r="N28" s="104"/>
      <c r="O28" s="104"/>
      <c r="P28" s="104"/>
      <c r="Q28" s="104"/>
    </row>
    <row r="29" spans="1:17" ht="18.75" hidden="1">
      <c r="A29" s="1900">
        <v>41214</v>
      </c>
      <c r="B29" s="1898">
        <v>0.1447</v>
      </c>
      <c r="C29" s="1474">
        <v>0.1472</v>
      </c>
      <c r="D29" s="104"/>
      <c r="E29" s="104"/>
      <c r="F29" s="104"/>
      <c r="G29" s="104"/>
      <c r="H29" s="104"/>
      <c r="I29" s="104"/>
      <c r="J29" s="104"/>
      <c r="K29" s="104"/>
      <c r="L29" s="104"/>
      <c r="M29" s="104"/>
      <c r="N29" s="104"/>
      <c r="O29" s="104"/>
      <c r="P29" s="104"/>
      <c r="Q29" s="104"/>
    </row>
    <row r="30" spans="1:17" ht="18.75">
      <c r="A30" s="1900">
        <v>41244</v>
      </c>
      <c r="B30" s="1898">
        <v>0.14269999999999999</v>
      </c>
      <c r="C30" s="1474">
        <v>0.1454</v>
      </c>
      <c r="D30" s="104"/>
      <c r="E30" s="104"/>
      <c r="F30" s="104"/>
      <c r="G30" s="104"/>
      <c r="H30" s="104"/>
      <c r="I30" s="104"/>
      <c r="J30" s="104"/>
      <c r="K30" s="104"/>
      <c r="L30" s="104"/>
      <c r="M30" s="104"/>
      <c r="N30" s="104"/>
      <c r="O30" s="104"/>
      <c r="P30" s="104"/>
      <c r="Q30" s="104"/>
    </row>
    <row r="31" spans="1:17" ht="18.75" hidden="1">
      <c r="A31" s="1900">
        <v>41275</v>
      </c>
      <c r="B31" s="1898">
        <v>0.1409</v>
      </c>
      <c r="C31" s="1474">
        <v>0.14360000000000001</v>
      </c>
      <c r="D31" s="104"/>
      <c r="E31" s="104"/>
      <c r="F31" s="104"/>
      <c r="G31" s="104"/>
      <c r="H31" s="104"/>
      <c r="I31" s="104"/>
      <c r="J31" s="104"/>
      <c r="K31" s="104"/>
      <c r="L31" s="104"/>
      <c r="M31" s="104"/>
      <c r="N31" s="104"/>
      <c r="O31" s="104"/>
      <c r="P31" s="104"/>
      <c r="Q31" s="104"/>
    </row>
    <row r="32" spans="1:17" ht="18.75" hidden="1">
      <c r="A32" s="1900">
        <v>41306</v>
      </c>
      <c r="B32" s="1898">
        <v>0.14199999999999999</v>
      </c>
      <c r="C32" s="1474">
        <v>0.14580000000000001</v>
      </c>
      <c r="D32" s="104"/>
      <c r="E32" s="104"/>
      <c r="F32" s="104"/>
      <c r="G32" s="104"/>
      <c r="H32" s="104"/>
      <c r="I32" s="104"/>
      <c r="J32" s="104"/>
      <c r="K32" s="104"/>
      <c r="L32" s="104"/>
      <c r="M32" s="104"/>
      <c r="N32" s="104"/>
      <c r="O32" s="104"/>
      <c r="P32" s="104"/>
      <c r="Q32" s="104"/>
    </row>
    <row r="33" spans="1:9" ht="18.75" hidden="1">
      <c r="A33" s="1900">
        <v>41334</v>
      </c>
      <c r="B33" s="1898">
        <v>0.14480000000000001</v>
      </c>
      <c r="C33" s="1474">
        <v>0.1479</v>
      </c>
    </row>
    <row r="34" spans="1:9" ht="18.75" hidden="1">
      <c r="A34" s="1900">
        <v>41365</v>
      </c>
      <c r="B34" s="1898">
        <v>0.1477</v>
      </c>
      <c r="C34" s="1474">
        <v>0.15110000000000001</v>
      </c>
    </row>
    <row r="35" spans="1:9" ht="18.75" hidden="1">
      <c r="A35" s="1900">
        <v>41395</v>
      </c>
      <c r="B35" s="1898">
        <v>0.14810000000000001</v>
      </c>
      <c r="C35" s="1474">
        <v>0.15129999999999999</v>
      </c>
    </row>
    <row r="36" spans="1:9" ht="18.75">
      <c r="A36" s="1900">
        <v>41426</v>
      </c>
      <c r="B36" s="1898">
        <v>0.15329999999999999</v>
      </c>
      <c r="C36" s="1474">
        <v>0.15759999999999999</v>
      </c>
    </row>
    <row r="37" spans="1:9" ht="18.75" hidden="1">
      <c r="A37" s="1900">
        <v>41456</v>
      </c>
      <c r="B37" s="1898">
        <v>0.15479999999999999</v>
      </c>
      <c r="C37" s="1474">
        <v>0.15840000000000001</v>
      </c>
    </row>
    <row r="38" spans="1:9" ht="18.75" hidden="1">
      <c r="A38" s="1900">
        <v>41487</v>
      </c>
      <c r="B38" s="1898">
        <v>0.1517</v>
      </c>
      <c r="C38" s="1474">
        <v>0.1545</v>
      </c>
    </row>
    <row r="39" spans="1:9" ht="18.75" hidden="1">
      <c r="A39" s="1900">
        <v>41518</v>
      </c>
      <c r="B39" s="1898">
        <v>0.14349999999999999</v>
      </c>
      <c r="C39" s="1474">
        <v>0.14680000000000001</v>
      </c>
    </row>
    <row r="40" spans="1:9" ht="18.75" hidden="1">
      <c r="A40" s="1900">
        <v>41548</v>
      </c>
      <c r="B40" s="1898">
        <v>0.13850000000000001</v>
      </c>
      <c r="C40" s="1474">
        <v>0.1411</v>
      </c>
    </row>
    <row r="41" spans="1:9" ht="18.75" hidden="1">
      <c r="A41" s="1900">
        <v>41579</v>
      </c>
      <c r="B41" s="1898">
        <v>0.13170000000000001</v>
      </c>
      <c r="C41" s="1474">
        <v>0.13519999999999999</v>
      </c>
    </row>
    <row r="42" spans="1:9" ht="18.75">
      <c r="A42" s="1900">
        <v>41609</v>
      </c>
      <c r="B42" s="1898">
        <v>0.132289709655253</v>
      </c>
      <c r="C42" s="1474">
        <v>0.133732017269869</v>
      </c>
    </row>
    <row r="43" spans="1:9" ht="18.75" hidden="1">
      <c r="A43" s="1900">
        <v>41640</v>
      </c>
      <c r="B43" s="1898">
        <v>0.13262888735529499</v>
      </c>
      <c r="C43" s="1474">
        <v>0.13435685682335999</v>
      </c>
    </row>
    <row r="44" spans="1:9" ht="18.75" hidden="1">
      <c r="A44" s="1900">
        <v>41671</v>
      </c>
      <c r="B44" s="1898">
        <v>0.13070000000000001</v>
      </c>
      <c r="C44" s="1474">
        <v>0.13150000000000001</v>
      </c>
    </row>
    <row r="45" spans="1:9" ht="18.75" hidden="1">
      <c r="A45" s="1900">
        <v>41699</v>
      </c>
      <c r="B45" s="1898">
        <v>0.12620000000000001</v>
      </c>
      <c r="C45" s="1474">
        <v>0.12820000000000001</v>
      </c>
      <c r="I45" s="194"/>
    </row>
    <row r="46" spans="1:9" ht="18.75" hidden="1">
      <c r="A46" s="1900">
        <v>41760</v>
      </c>
      <c r="B46" s="1898">
        <v>0.1179</v>
      </c>
      <c r="C46" s="1474">
        <v>0.1203</v>
      </c>
    </row>
    <row r="47" spans="1:9" ht="18.75">
      <c r="A47" s="1900">
        <v>41791</v>
      </c>
      <c r="B47" s="1898">
        <v>0.116663916655663</v>
      </c>
      <c r="C47" s="1474">
        <v>0.117645839774349</v>
      </c>
    </row>
    <row r="48" spans="1:9" ht="18.75">
      <c r="A48" s="1900">
        <v>41821</v>
      </c>
      <c r="B48" s="1898">
        <v>0.116796791263615</v>
      </c>
      <c r="C48" s="1474">
        <v>0.118568283938031</v>
      </c>
    </row>
    <row r="49" spans="1:3" ht="18.75">
      <c r="A49" s="1900">
        <v>41852</v>
      </c>
      <c r="B49" s="1898">
        <v>0.1173</v>
      </c>
      <c r="C49" s="1474">
        <v>0.1198</v>
      </c>
    </row>
    <row r="50" spans="1:3" ht="18.75" hidden="1">
      <c r="A50" s="1900">
        <v>41883</v>
      </c>
      <c r="B50" s="1898">
        <v>0.122677017308136</v>
      </c>
      <c r="C50" s="1474">
        <v>0.124578929225971</v>
      </c>
    </row>
    <row r="51" spans="1:3" ht="18.75" hidden="1">
      <c r="A51" s="1900">
        <v>41913</v>
      </c>
      <c r="B51" s="1898">
        <v>0.123037759368956</v>
      </c>
      <c r="C51" s="1474">
        <v>0.125103490001607</v>
      </c>
    </row>
    <row r="52" spans="1:3" ht="18.75">
      <c r="A52" s="1900">
        <v>41944</v>
      </c>
      <c r="B52" s="1898">
        <v>0.1196</v>
      </c>
      <c r="C52" s="1474">
        <v>0.12239999999999999</v>
      </c>
    </row>
    <row r="53" spans="1:3" ht="18.75">
      <c r="A53" s="1900">
        <v>41974</v>
      </c>
      <c r="B53" s="1898">
        <v>0.1202</v>
      </c>
      <c r="C53" s="1474">
        <v>0.12479999999999999</v>
      </c>
    </row>
    <row r="54" spans="1:3" ht="18.75" hidden="1">
      <c r="A54" s="1900">
        <v>42005</v>
      </c>
      <c r="B54" s="1898">
        <v>0.12089999999999999</v>
      </c>
      <c r="C54" s="1474">
        <v>0.125</v>
      </c>
    </row>
    <row r="55" spans="1:3" ht="18.75" hidden="1">
      <c r="A55" s="1900">
        <v>42050</v>
      </c>
      <c r="B55" s="1898">
        <v>0.1201</v>
      </c>
      <c r="C55" s="1474">
        <v>0.1242</v>
      </c>
    </row>
    <row r="56" spans="1:3" ht="18.75" hidden="1">
      <c r="A56" s="1900">
        <v>42078</v>
      </c>
      <c r="B56" s="1898">
        <v>0.1229</v>
      </c>
      <c r="C56" s="1474">
        <v>0.12720000000000001</v>
      </c>
    </row>
    <row r="57" spans="1:3" ht="18.75" hidden="1">
      <c r="A57" s="1900" t="s">
        <v>700</v>
      </c>
      <c r="B57" s="1898">
        <v>0.123365719687781</v>
      </c>
      <c r="C57" s="1474">
        <v>0.12739122285896601</v>
      </c>
    </row>
    <row r="58" spans="1:3" ht="18.75" hidden="1">
      <c r="A58" s="1900">
        <v>42139</v>
      </c>
      <c r="B58" s="1898">
        <v>0.12576975775993299</v>
      </c>
      <c r="C58" s="1474">
        <v>0.129579088814962</v>
      </c>
    </row>
    <row r="59" spans="1:3" ht="18.75">
      <c r="A59" s="1900">
        <v>42171</v>
      </c>
      <c r="B59" s="1898">
        <v>0.11990000000000001</v>
      </c>
      <c r="C59" s="1474">
        <v>0.12379999999999999</v>
      </c>
    </row>
    <row r="60" spans="1:3" ht="18.75" hidden="1">
      <c r="A60" s="1900">
        <v>42201</v>
      </c>
      <c r="B60" s="1898">
        <v>0.11219999999999999</v>
      </c>
      <c r="C60" s="1474">
        <v>0.1162</v>
      </c>
    </row>
    <row r="61" spans="1:3" ht="18.75">
      <c r="A61" s="1900">
        <v>42263</v>
      </c>
      <c r="B61" s="1898">
        <v>0.11169999999999999</v>
      </c>
      <c r="C61" s="1474">
        <v>0.1154</v>
      </c>
    </row>
    <row r="62" spans="1:3" ht="18.75">
      <c r="A62" s="1900">
        <v>42293</v>
      </c>
      <c r="B62" s="1898">
        <v>0.1103</v>
      </c>
      <c r="C62" s="1474">
        <v>0.11409999999999999</v>
      </c>
    </row>
    <row r="63" spans="1:3" ht="18.75">
      <c r="A63" s="1900">
        <v>42324</v>
      </c>
      <c r="B63" s="1898">
        <v>0.1091</v>
      </c>
      <c r="C63" s="1474">
        <v>0.11260000000000001</v>
      </c>
    </row>
    <row r="64" spans="1:3" ht="18.75">
      <c r="A64" s="1900">
        <v>42354</v>
      </c>
      <c r="B64" s="1898">
        <v>0.107</v>
      </c>
      <c r="C64" s="1474">
        <v>0.1108</v>
      </c>
    </row>
    <row r="65" spans="1:3" ht="18.75">
      <c r="A65" s="1900">
        <v>42370</v>
      </c>
      <c r="B65" s="1898">
        <v>0.10404529016780302</v>
      </c>
      <c r="C65" s="1474">
        <v>0.10784946747892633</v>
      </c>
    </row>
    <row r="66" spans="1:3" ht="18.75">
      <c r="A66" s="1900">
        <v>42401</v>
      </c>
      <c r="B66" s="1898">
        <v>0.1032</v>
      </c>
      <c r="C66" s="1474">
        <v>0.10730000000000001</v>
      </c>
    </row>
    <row r="67" spans="1:3" ht="18.75">
      <c r="A67" s="1900">
        <v>42430</v>
      </c>
      <c r="B67" s="1898">
        <v>0.1002</v>
      </c>
      <c r="C67" s="1474">
        <v>0.10440000000000001</v>
      </c>
    </row>
    <row r="68" spans="1:3" ht="18.75">
      <c r="A68" s="1901">
        <v>42461</v>
      </c>
      <c r="B68" s="1903">
        <v>9.9400000000000002E-2</v>
      </c>
      <c r="C68" s="1475">
        <v>0.1048</v>
      </c>
    </row>
  </sheetData>
  <mergeCells count="3">
    <mergeCell ref="A1:S1"/>
    <mergeCell ref="A3:C3"/>
    <mergeCell ref="A2:S2"/>
  </mergeCells>
  <printOptions horizontalCentered="1" verticalCentered="1"/>
  <pageMargins left="0.4" right="0.4" top="0.25" bottom="0.25" header="0.3" footer="0.3"/>
  <pageSetup scale="42"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5"/>
  <sheetViews>
    <sheetView showGridLines="0" view="pageBreakPreview" zoomScale="55" zoomScaleNormal="100" zoomScaleSheetLayoutView="55" workbookViewId="0">
      <selection activeCell="G7" sqref="G7"/>
    </sheetView>
  </sheetViews>
  <sheetFormatPr baseColWidth="10" defaultColWidth="11.42578125" defaultRowHeight="15"/>
  <cols>
    <col min="1" max="1" width="16.85546875" style="273" customWidth="1"/>
    <col min="2" max="2" width="30.85546875" style="273" customWidth="1"/>
    <col min="3" max="3" width="20.28515625" style="273" customWidth="1"/>
    <col min="4" max="4" width="21.85546875" style="273" customWidth="1"/>
    <col min="5" max="5" width="14.28515625" style="273" customWidth="1"/>
    <col min="6" max="11" width="13.5703125" style="273" customWidth="1"/>
    <col min="12" max="12" width="26.85546875" style="273" customWidth="1"/>
    <col min="13" max="13" width="22.7109375" style="273" customWidth="1"/>
    <col min="14" max="15" width="13.5703125" style="273" customWidth="1"/>
    <col min="16" max="16" width="11.42578125" style="273" hidden="1" customWidth="1"/>
    <col min="17" max="17" width="0.28515625" style="273" customWidth="1"/>
    <col min="18" max="18" width="11.42578125" style="273"/>
    <col min="19" max="19" width="12.7109375" style="273" customWidth="1"/>
    <col min="20" max="21" width="15.28515625" style="273" customWidth="1"/>
    <col min="22" max="22" width="15.85546875" style="273" customWidth="1"/>
    <col min="23" max="16384" width="11.42578125" style="273"/>
  </cols>
  <sheetData>
    <row r="1" spans="1:17" ht="94.5" customHeight="1">
      <c r="A1" s="2196"/>
      <c r="B1" s="2196"/>
      <c r="C1" s="2196"/>
      <c r="D1" s="2196"/>
      <c r="E1" s="2196"/>
      <c r="F1" s="2196"/>
      <c r="G1" s="2196"/>
      <c r="H1" s="2196"/>
      <c r="I1" s="2196"/>
      <c r="J1" s="2196"/>
      <c r="K1" s="2196"/>
      <c r="L1" s="2196"/>
      <c r="M1" s="2196"/>
      <c r="N1" s="2196"/>
      <c r="O1" s="2196"/>
      <c r="P1" s="2196"/>
      <c r="Q1" s="2196"/>
    </row>
    <row r="2" spans="1:17" ht="3.75" customHeight="1">
      <c r="A2" s="2197"/>
      <c r="B2" s="2197"/>
      <c r="C2" s="2197"/>
      <c r="D2" s="2197"/>
      <c r="E2" s="2197"/>
      <c r="F2" s="2197"/>
      <c r="G2" s="2197"/>
      <c r="H2" s="2197"/>
      <c r="I2" s="2197"/>
      <c r="J2" s="2197"/>
      <c r="K2" s="2197"/>
      <c r="L2" s="2197"/>
      <c r="M2" s="2197"/>
      <c r="N2" s="2197"/>
      <c r="O2" s="2197"/>
      <c r="P2" s="274"/>
      <c r="Q2" s="274"/>
    </row>
    <row r="3" spans="1:17" ht="27" customHeight="1">
      <c r="A3" s="2198" t="s">
        <v>536</v>
      </c>
      <c r="B3" s="2199"/>
      <c r="C3" s="2199"/>
      <c r="D3" s="2200"/>
      <c r="E3" s="274"/>
      <c r="F3" s="274"/>
      <c r="G3" s="274"/>
      <c r="H3" s="274"/>
      <c r="I3" s="274"/>
      <c r="J3" s="274"/>
      <c r="K3" s="274"/>
      <c r="L3" s="274"/>
      <c r="M3" s="274"/>
      <c r="N3" s="274"/>
      <c r="O3" s="274"/>
      <c r="P3" s="274"/>
      <c r="Q3" s="274"/>
    </row>
    <row r="4" spans="1:17" ht="67.5" customHeight="1">
      <c r="A4" s="1764" t="s">
        <v>38</v>
      </c>
      <c r="B4" s="1763" t="s">
        <v>961</v>
      </c>
      <c r="C4" s="1763" t="s">
        <v>537</v>
      </c>
      <c r="D4" s="1762" t="s">
        <v>538</v>
      </c>
      <c r="E4" s="274"/>
      <c r="F4" s="274"/>
      <c r="G4" s="1199"/>
      <c r="H4" s="274"/>
      <c r="I4" s="1199"/>
      <c r="J4" s="1199"/>
      <c r="K4" s="274"/>
      <c r="L4" s="274"/>
      <c r="M4" s="274"/>
      <c r="N4" s="274"/>
      <c r="O4" s="274"/>
      <c r="P4" s="274"/>
      <c r="Q4" s="274"/>
    </row>
    <row r="5" spans="1:17" ht="21">
      <c r="A5" s="1765">
        <v>37956</v>
      </c>
      <c r="B5" s="2272">
        <v>0.23569999999999999</v>
      </c>
      <c r="C5" s="2272">
        <v>0.42655027092113201</v>
      </c>
      <c r="D5" s="1766">
        <f>B5-C5</f>
        <v>-0.19085027092113202</v>
      </c>
      <c r="E5" s="274"/>
      <c r="F5" s="274"/>
      <c r="G5" s="1199"/>
      <c r="H5" s="274"/>
      <c r="I5" s="1199"/>
      <c r="J5" s="1199"/>
      <c r="K5" s="274"/>
      <c r="L5" s="274"/>
      <c r="M5" s="274"/>
      <c r="N5" s="274"/>
      <c r="O5" s="274"/>
      <c r="P5" s="274"/>
      <c r="Q5" s="274"/>
    </row>
    <row r="6" spans="1:17" ht="21">
      <c r="A6" s="504">
        <v>38322</v>
      </c>
      <c r="B6" s="2273">
        <v>0.2384</v>
      </c>
      <c r="C6" s="2273">
        <v>0.28740240557079555</v>
      </c>
      <c r="D6" s="1654">
        <f t="shared" ref="D6:D16" si="0">B6-C6</f>
        <v>-4.9002405570795549E-2</v>
      </c>
      <c r="E6" s="274"/>
      <c r="F6" s="274"/>
      <c r="G6" s="1199"/>
      <c r="H6" s="274"/>
      <c r="I6" s="1199"/>
      <c r="J6" s="1199"/>
      <c r="K6" s="274"/>
      <c r="L6" s="274"/>
      <c r="M6" s="274"/>
      <c r="N6" s="274"/>
      <c r="O6" s="274"/>
      <c r="P6" s="274"/>
      <c r="Q6" s="274"/>
    </row>
    <row r="7" spans="1:17" ht="21">
      <c r="A7" s="504">
        <v>38687</v>
      </c>
      <c r="B7" s="2273">
        <v>0.1696</v>
      </c>
      <c r="C7" s="2273">
        <v>7.4373053597770911E-2</v>
      </c>
      <c r="D7" s="1654">
        <f t="shared" si="0"/>
        <v>9.522694640222909E-2</v>
      </c>
      <c r="E7" s="274"/>
      <c r="F7" s="274"/>
      <c r="G7" s="1199"/>
      <c r="H7" s="274"/>
      <c r="I7" s="1199"/>
      <c r="J7" s="1199"/>
      <c r="K7" s="274"/>
      <c r="L7" s="274"/>
      <c r="M7" s="274"/>
      <c r="N7" s="274"/>
      <c r="O7" s="274"/>
      <c r="P7" s="274"/>
      <c r="Q7" s="274"/>
    </row>
    <row r="8" spans="1:17" ht="21">
      <c r="A8" s="504">
        <v>39052</v>
      </c>
      <c r="B8" s="2273">
        <v>0.1148</v>
      </c>
      <c r="C8" s="2273">
        <v>5.0001907013997426E-2</v>
      </c>
      <c r="D8" s="1654">
        <f t="shared" si="0"/>
        <v>6.4798092986002573E-2</v>
      </c>
      <c r="E8" s="274"/>
      <c r="F8" s="274"/>
      <c r="G8" s="1199"/>
      <c r="H8" s="275"/>
      <c r="I8" s="1199"/>
      <c r="J8" s="1199"/>
      <c r="K8" s="274"/>
      <c r="L8" s="274"/>
      <c r="M8" s="274"/>
      <c r="N8" s="274"/>
      <c r="O8" s="274"/>
      <c r="P8" s="274"/>
      <c r="Q8" s="274"/>
    </row>
    <row r="9" spans="1:17" ht="21">
      <c r="A9" s="504">
        <v>39417</v>
      </c>
      <c r="B9" s="2273">
        <v>8.4400000000000003E-2</v>
      </c>
      <c r="C9" s="2273">
        <v>8.8775880857246747E-2</v>
      </c>
      <c r="D9" s="1654">
        <f t="shared" si="0"/>
        <v>-4.3758808572467445E-3</v>
      </c>
      <c r="E9" s="274"/>
      <c r="F9" s="274"/>
      <c r="G9" s="1199"/>
      <c r="H9" s="274"/>
      <c r="I9" s="1199"/>
      <c r="J9" s="1199"/>
      <c r="K9" s="274"/>
      <c r="L9" s="274"/>
      <c r="M9" s="274"/>
      <c r="N9" s="274"/>
      <c r="O9" s="274"/>
      <c r="P9" s="274"/>
      <c r="Q9" s="274"/>
    </row>
    <row r="10" spans="1:17" ht="21">
      <c r="A10" s="504">
        <v>39783</v>
      </c>
      <c r="B10" s="2273">
        <v>0.13009999999999999</v>
      </c>
      <c r="C10" s="2273">
        <v>4.517248281844255E-2</v>
      </c>
      <c r="D10" s="1654">
        <f t="shared" si="0"/>
        <v>8.4927517181557444E-2</v>
      </c>
      <c r="E10" s="274"/>
      <c r="F10" s="274"/>
      <c r="G10" s="1199"/>
      <c r="H10" s="274"/>
      <c r="I10" s="1199"/>
      <c r="J10" s="1199"/>
      <c r="K10" s="274"/>
      <c r="L10" s="274"/>
      <c r="M10" s="274"/>
      <c r="N10" s="274"/>
      <c r="O10" s="274"/>
      <c r="P10" s="274"/>
      <c r="Q10" s="274"/>
    </row>
    <row r="11" spans="1:17" ht="21">
      <c r="A11" s="504">
        <v>40148</v>
      </c>
      <c r="B11" s="2273">
        <v>0.14330000000000001</v>
      </c>
      <c r="C11" s="2273">
        <v>5.7648110316649515E-2</v>
      </c>
      <c r="D11" s="1654">
        <f t="shared" si="0"/>
        <v>8.5651889683350496E-2</v>
      </c>
      <c r="E11" s="274"/>
      <c r="F11" s="274"/>
      <c r="G11" s="1199"/>
      <c r="H11" s="274"/>
      <c r="I11" s="1199"/>
      <c r="J11" s="1199"/>
      <c r="K11" s="274"/>
      <c r="L11" s="274"/>
      <c r="M11" s="274"/>
      <c r="N11" s="274"/>
      <c r="O11" s="274"/>
      <c r="P11" s="274"/>
      <c r="Q11" s="274"/>
    </row>
    <row r="12" spans="1:17" s="278" customFormat="1" ht="21">
      <c r="A12" s="504">
        <v>40513</v>
      </c>
      <c r="B12" s="2273">
        <v>0.11057333531076501</v>
      </c>
      <c r="C12" s="2273">
        <v>6.2383050642844218E-2</v>
      </c>
      <c r="D12" s="1654">
        <f t="shared" si="0"/>
        <v>4.8190284667920788E-2</v>
      </c>
      <c r="E12" s="276"/>
      <c r="F12" s="276"/>
      <c r="G12" s="1199"/>
      <c r="H12" s="276"/>
      <c r="I12" s="1199"/>
      <c r="J12" s="1199"/>
      <c r="K12" s="276"/>
      <c r="L12" s="276"/>
      <c r="M12" s="276"/>
      <c r="N12" s="276"/>
      <c r="O12" s="277"/>
      <c r="P12" s="276"/>
      <c r="Q12" s="276"/>
    </row>
    <row r="13" spans="1:17" ht="21">
      <c r="A13" s="504">
        <v>40878</v>
      </c>
      <c r="B13" s="2273">
        <v>0.12659999999999999</v>
      </c>
      <c r="C13" s="2273">
        <v>7.7600000000000002E-2</v>
      </c>
      <c r="D13" s="1654">
        <f t="shared" si="0"/>
        <v>4.8999999999999988E-2</v>
      </c>
      <c r="E13" s="276"/>
      <c r="F13" s="276"/>
      <c r="G13" s="1199"/>
      <c r="H13" s="276"/>
      <c r="I13" s="1199"/>
      <c r="J13" s="1199"/>
      <c r="K13" s="276"/>
      <c r="L13" s="276"/>
      <c r="M13" s="276"/>
      <c r="N13" s="276"/>
      <c r="O13" s="276"/>
      <c r="P13" s="274"/>
      <c r="Q13" s="274"/>
    </row>
    <row r="14" spans="1:17" ht="21">
      <c r="A14" s="504">
        <v>41244</v>
      </c>
      <c r="B14" s="2273">
        <v>0.1454</v>
      </c>
      <c r="C14" s="2273">
        <v>3.9100000000000003E-2</v>
      </c>
      <c r="D14" s="1654">
        <f t="shared" si="0"/>
        <v>0.10630000000000001</v>
      </c>
      <c r="E14" s="274"/>
      <c r="F14" s="274"/>
      <c r="G14" s="1199"/>
      <c r="H14" s="274"/>
      <c r="I14" s="1199"/>
      <c r="J14" s="1199"/>
      <c r="K14" s="274"/>
      <c r="L14" s="274"/>
      <c r="M14" s="274"/>
      <c r="N14" s="274"/>
      <c r="O14" s="274"/>
      <c r="P14" s="274"/>
      <c r="Q14" s="274"/>
    </row>
    <row r="15" spans="1:17" ht="21">
      <c r="A15" s="504">
        <v>41609</v>
      </c>
      <c r="B15" s="2273">
        <v>0.133732017269869</v>
      </c>
      <c r="C15" s="2273">
        <v>3.8800000000000001E-2</v>
      </c>
      <c r="D15" s="1654">
        <f t="shared" si="0"/>
        <v>9.4932017269868996E-2</v>
      </c>
      <c r="E15" s="274"/>
      <c r="F15" s="274"/>
      <c r="G15" s="1199"/>
      <c r="H15" s="274"/>
      <c r="I15" s="1199"/>
      <c r="J15" s="1199"/>
      <c r="K15" s="274"/>
      <c r="L15" s="274"/>
      <c r="M15" s="274"/>
      <c r="N15" s="274"/>
      <c r="O15" s="274"/>
      <c r="P15" s="274"/>
      <c r="Q15" s="274"/>
    </row>
    <row r="16" spans="1:17" ht="21">
      <c r="A16" s="504">
        <v>41974</v>
      </c>
      <c r="B16" s="2273">
        <v>0.12479999999999999</v>
      </c>
      <c r="C16" s="2273">
        <v>1.5800000000000002E-2</v>
      </c>
      <c r="D16" s="1654">
        <f t="shared" si="0"/>
        <v>0.10899999999999999</v>
      </c>
      <c r="E16" s="274"/>
      <c r="F16" s="274"/>
      <c r="G16" s="1199"/>
      <c r="H16" s="274"/>
      <c r="I16" s="1199"/>
      <c r="J16" s="1199"/>
      <c r="K16" s="274"/>
      <c r="L16" s="274"/>
      <c r="M16" s="274"/>
      <c r="N16" s="274"/>
      <c r="O16" s="274"/>
      <c r="P16" s="274"/>
      <c r="Q16" s="274"/>
    </row>
    <row r="17" spans="1:20" ht="21">
      <c r="A17" s="504">
        <v>42353</v>
      </c>
      <c r="B17" s="2273">
        <v>0.1108</v>
      </c>
      <c r="C17" s="2273">
        <v>2.3400000000000001E-2</v>
      </c>
      <c r="D17" s="1654">
        <f>B17-C17</f>
        <v>8.7399999999999992E-2</v>
      </c>
      <c r="E17" s="274"/>
      <c r="F17" s="274"/>
      <c r="G17" s="274"/>
      <c r="H17" s="274"/>
      <c r="I17" s="274"/>
      <c r="J17" s="274"/>
      <c r="K17" s="274"/>
      <c r="L17" s="274"/>
      <c r="M17" s="274"/>
      <c r="N17" s="274"/>
      <c r="O17" s="274"/>
      <c r="P17" s="274"/>
      <c r="Q17" s="274"/>
    </row>
    <row r="18" spans="1:20" ht="21">
      <c r="A18" s="505">
        <v>42461</v>
      </c>
      <c r="B18" s="2274">
        <v>0.1048</v>
      </c>
      <c r="C18" s="2274">
        <v>1.7500000000000002E-2</v>
      </c>
      <c r="D18" s="1655">
        <f>B18-C18</f>
        <v>8.7300000000000003E-2</v>
      </c>
      <c r="E18" s="274"/>
      <c r="F18" s="274"/>
      <c r="G18" s="274"/>
      <c r="H18" s="274"/>
      <c r="I18" s="274"/>
      <c r="J18" s="274"/>
      <c r="K18" s="274"/>
      <c r="L18" s="274"/>
      <c r="M18" s="274"/>
      <c r="N18" s="274"/>
      <c r="O18" s="274"/>
      <c r="P18" s="274"/>
      <c r="Q18" s="274"/>
      <c r="S18" s="48"/>
      <c r="T18" s="48"/>
    </row>
    <row r="19" spans="1:20">
      <c r="A19" s="274"/>
      <c r="B19" s="274"/>
      <c r="C19" s="274"/>
      <c r="D19" s="274"/>
    </row>
    <row r="20" spans="1:20">
      <c r="A20" s="274"/>
      <c r="B20" s="274"/>
      <c r="C20" s="274"/>
      <c r="D20" s="274"/>
    </row>
    <row r="21" spans="1:20">
      <c r="A21" s="274"/>
      <c r="B21" s="274"/>
      <c r="C21" s="274"/>
      <c r="D21" s="274"/>
    </row>
    <row r="24" spans="1:20">
      <c r="S24" s="494"/>
    </row>
    <row r="25" spans="1:20">
      <c r="S25" s="494"/>
    </row>
    <row r="26" spans="1:20">
      <c r="S26" s="494"/>
    </row>
    <row r="27" spans="1:20">
      <c r="S27" s="494"/>
    </row>
    <row r="28" spans="1:20">
      <c r="S28" s="494"/>
    </row>
    <row r="29" spans="1:20">
      <c r="S29" s="494"/>
    </row>
    <row r="30" spans="1:20">
      <c r="S30" s="495"/>
    </row>
    <row r="31" spans="1:20">
      <c r="S31" s="495"/>
    </row>
    <row r="32" spans="1:20">
      <c r="S32" s="495"/>
    </row>
    <row r="33" spans="19:19">
      <c r="S33" s="495"/>
    </row>
    <row r="34" spans="19:19">
      <c r="S34" s="496"/>
    </row>
    <row r="35" spans="19:19">
      <c r="S35" s="496"/>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D9:M36"/>
  <sheetViews>
    <sheetView showGridLines="0" view="pageBreakPreview" zoomScale="115" zoomScaleNormal="100" zoomScaleSheetLayoutView="115" workbookViewId="0">
      <selection activeCell="L18" sqref="L18"/>
    </sheetView>
  </sheetViews>
  <sheetFormatPr baseColWidth="10" defaultRowHeight="15"/>
  <cols>
    <col min="2" max="2" width="15" customWidth="1"/>
    <col min="4" max="4" width="11.28515625" style="141" customWidth="1"/>
    <col min="5" max="5" width="12.28515625" style="141" customWidth="1"/>
    <col min="6" max="6" width="14.140625" customWidth="1"/>
    <col min="8" max="8" width="12.7109375" customWidth="1"/>
    <col min="10" max="10" width="11.5703125" customWidth="1"/>
    <col min="11" max="11" width="23.28515625" style="268" customWidth="1"/>
    <col min="12" max="12" width="16.28515625" style="268" bestFit="1" customWidth="1"/>
  </cols>
  <sheetData>
    <row r="9" spans="12:13">
      <c r="L9" s="1007"/>
      <c r="M9" s="173"/>
    </row>
    <row r="10" spans="12:13">
      <c r="L10" s="1007"/>
      <c r="M10" s="173"/>
    </row>
    <row r="11" spans="12:13">
      <c r="L11" s="1007"/>
      <c r="M11" s="156"/>
    </row>
    <row r="12" spans="12:13">
      <c r="L12" s="1007"/>
    </row>
    <row r="13" spans="12:13">
      <c r="L13" s="1007"/>
    </row>
    <row r="14" spans="12:13">
      <c r="L14" s="1007"/>
    </row>
    <row r="15" spans="12:13">
      <c r="L15" s="1007"/>
    </row>
    <row r="35" spans="4:5">
      <c r="D35" s="1137"/>
      <c r="E35" s="1137"/>
    </row>
    <row r="36" spans="4:5">
      <c r="D36" s="1137"/>
      <c r="E36" s="1137"/>
    </row>
  </sheetData>
  <pageMargins left="0.7" right="0.7" top="0.75" bottom="0.75" header="0.3" footer="0.3"/>
  <pageSetup scale="88"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N51"/>
  <sheetViews>
    <sheetView showGridLines="0" view="pageBreakPreview" zoomScale="73" zoomScaleNormal="100" zoomScaleSheetLayoutView="73" workbookViewId="0">
      <selection activeCell="K11" sqref="K11"/>
    </sheetView>
  </sheetViews>
  <sheetFormatPr baseColWidth="10" defaultColWidth="11.42578125" defaultRowHeight="15"/>
  <cols>
    <col min="1" max="1" width="18.7109375" style="39" customWidth="1"/>
    <col min="2" max="2" width="21.7109375" style="39" customWidth="1"/>
    <col min="3" max="3" width="13.28515625" style="39" customWidth="1"/>
    <col min="4" max="4" width="19.140625" style="39" customWidth="1"/>
    <col min="5" max="5" width="11.28515625" style="39" customWidth="1"/>
    <col min="6" max="6" width="19.5703125" style="39" customWidth="1"/>
    <col min="7" max="7" width="13.140625" style="39" customWidth="1"/>
    <col min="8" max="8" width="24.42578125" style="39" customWidth="1"/>
    <col min="9" max="9" width="21.85546875" style="39" customWidth="1"/>
    <col min="10" max="11" width="17.42578125" style="39" customWidth="1"/>
    <col min="12" max="12" width="19.28515625" style="39" customWidth="1"/>
    <col min="13" max="13" width="19.7109375" style="1235" customWidth="1"/>
    <col min="14" max="14" width="14.28515625" style="39" customWidth="1"/>
    <col min="15" max="15" width="13.85546875" style="39" customWidth="1"/>
    <col min="16" max="16384" width="11.42578125" style="39"/>
  </cols>
  <sheetData>
    <row r="1" spans="1:14" customFormat="1" ht="73.5" customHeight="1">
      <c r="A1" s="2201"/>
      <c r="B1" s="2201"/>
      <c r="C1" s="2201"/>
      <c r="D1" s="2201"/>
      <c r="E1" s="2201"/>
      <c r="F1" s="2201"/>
      <c r="G1" s="2201"/>
      <c r="H1" s="2201"/>
      <c r="I1" s="2201"/>
      <c r="J1" s="2201"/>
      <c r="K1" s="2201"/>
      <c r="L1" s="2201"/>
      <c r="M1" s="43"/>
    </row>
    <row r="2" spans="1:14" customFormat="1" ht="9.75" customHeight="1">
      <c r="A2" s="2202"/>
      <c r="B2" s="2202"/>
      <c r="C2" s="2202"/>
      <c r="D2" s="2202"/>
      <c r="E2" s="2202"/>
      <c r="F2" s="2202"/>
      <c r="G2" s="2202"/>
      <c r="H2" s="2202"/>
      <c r="I2" s="2202"/>
      <c r="J2" s="2202"/>
      <c r="K2" s="2202"/>
      <c r="L2" s="2202"/>
      <c r="M2" s="43"/>
    </row>
    <row r="3" spans="1:14" customFormat="1" ht="21" customHeight="1">
      <c r="A3" s="39"/>
      <c r="B3" s="2203" t="s">
        <v>142</v>
      </c>
      <c r="C3" s="2204"/>
      <c r="D3" s="2204"/>
      <c r="E3" s="2204"/>
      <c r="F3" s="2204"/>
      <c r="G3" s="2204"/>
      <c r="H3" s="2205"/>
      <c r="I3" s="39"/>
      <c r="J3" s="39"/>
      <c r="K3" s="39"/>
      <c r="L3" s="89"/>
      <c r="M3" s="1233"/>
    </row>
    <row r="4" spans="1:14" customFormat="1" ht="18.75" customHeight="1">
      <c r="A4" s="506" t="s">
        <v>40</v>
      </c>
      <c r="B4" s="2008" t="s">
        <v>127</v>
      </c>
      <c r="C4" s="2008" t="s">
        <v>153</v>
      </c>
      <c r="D4" s="2008" t="s">
        <v>128</v>
      </c>
      <c r="E4" s="2008" t="s">
        <v>153</v>
      </c>
      <c r="F4" s="508" t="s">
        <v>129</v>
      </c>
      <c r="G4" s="2008" t="s">
        <v>153</v>
      </c>
      <c r="H4" s="2022" t="s">
        <v>138</v>
      </c>
      <c r="I4" s="89"/>
      <c r="J4" s="89"/>
      <c r="K4" s="89"/>
      <c r="L4" s="89"/>
      <c r="M4" s="1233"/>
    </row>
    <row r="5" spans="1:14" customFormat="1" ht="15.75">
      <c r="A5" s="509">
        <v>2005</v>
      </c>
      <c r="B5" s="2023">
        <v>1182369144.5599999</v>
      </c>
      <c r="C5" s="2024">
        <f t="shared" ref="C5:C10" si="0">B5/H5</f>
        <v>0.94107399436081784</v>
      </c>
      <c r="D5" s="2023">
        <v>45221952.840000004</v>
      </c>
      <c r="E5" s="2024">
        <f t="shared" ref="E5:E17" si="1">D5/H5</f>
        <v>3.5993161685365468E-2</v>
      </c>
      <c r="F5" s="2023">
        <v>28812917.210000001</v>
      </c>
      <c r="G5" s="2024">
        <f t="shared" ref="G5:G17" si="2">F5/H5</f>
        <v>2.2932843953816728E-2</v>
      </c>
      <c r="H5" s="2025">
        <f t="shared" ref="H5:H16" si="3">B5+D5+F5</f>
        <v>1256404014.6099999</v>
      </c>
      <c r="I5" s="89"/>
      <c r="J5" s="1990"/>
      <c r="K5" s="89"/>
      <c r="L5" s="89"/>
      <c r="M5" s="1234"/>
    </row>
    <row r="6" spans="1:14" customFormat="1" ht="15.75">
      <c r="A6" s="509">
        <v>2006</v>
      </c>
      <c r="B6" s="2023">
        <v>1292735922.04</v>
      </c>
      <c r="C6" s="2024">
        <f t="shared" si="0"/>
        <v>0.9378154266333486</v>
      </c>
      <c r="D6" s="2023">
        <v>53017895.640000001</v>
      </c>
      <c r="E6" s="2024">
        <f t="shared" si="1"/>
        <v>3.8461838625453222E-2</v>
      </c>
      <c r="F6" s="2026">
        <v>32700711.139999997</v>
      </c>
      <c r="G6" s="2024">
        <f t="shared" si="2"/>
        <v>2.3722734741198043E-2</v>
      </c>
      <c r="H6" s="2025">
        <f t="shared" si="3"/>
        <v>1378454528.8200002</v>
      </c>
      <c r="I6" s="89"/>
      <c r="J6" s="1990"/>
      <c r="K6" s="89"/>
      <c r="L6" s="89"/>
      <c r="M6" s="1234"/>
      <c r="N6" s="156"/>
    </row>
    <row r="7" spans="1:14" customFormat="1" ht="15.75">
      <c r="A7" s="509">
        <v>2007</v>
      </c>
      <c r="B7" s="2023">
        <v>1635826213.1600001</v>
      </c>
      <c r="C7" s="2024">
        <f t="shared" si="0"/>
        <v>0.94578819961072813</v>
      </c>
      <c r="D7" s="2023">
        <v>70883463.600000009</v>
      </c>
      <c r="E7" s="2024">
        <f t="shared" si="1"/>
        <v>4.0982802990368349E-2</v>
      </c>
      <c r="F7" s="2026">
        <v>22880747.219999999</v>
      </c>
      <c r="G7" s="2024">
        <f t="shared" si="2"/>
        <v>1.3228997398903602E-2</v>
      </c>
      <c r="H7" s="2025">
        <f t="shared" si="3"/>
        <v>1729590423.98</v>
      </c>
      <c r="I7" s="89"/>
      <c r="J7" s="1990"/>
      <c r="K7" s="89"/>
      <c r="L7" s="89"/>
      <c r="M7" s="1234"/>
      <c r="N7" s="156"/>
    </row>
    <row r="8" spans="1:14" customFormat="1" ht="15.75">
      <c r="A8" s="509">
        <v>2008</v>
      </c>
      <c r="B8" s="2026">
        <v>1581393650.8599999</v>
      </c>
      <c r="C8" s="2024">
        <f t="shared" si="0"/>
        <v>0.94890566872483018</v>
      </c>
      <c r="D8" s="2026">
        <v>68964104.809999987</v>
      </c>
      <c r="E8" s="2024">
        <f t="shared" si="1"/>
        <v>4.1381492809936499E-2</v>
      </c>
      <c r="F8" s="2026">
        <v>16186878.83</v>
      </c>
      <c r="G8" s="2024">
        <f t="shared" si="2"/>
        <v>9.7128384652334383E-3</v>
      </c>
      <c r="H8" s="2025">
        <f t="shared" si="3"/>
        <v>1666544634.4999998</v>
      </c>
      <c r="I8" s="89"/>
      <c r="J8" s="1990"/>
      <c r="K8" s="89"/>
      <c r="M8" s="1234"/>
      <c r="N8" s="156"/>
    </row>
    <row r="9" spans="1:14" customFormat="1" ht="15.75">
      <c r="A9" s="509">
        <v>2009</v>
      </c>
      <c r="B9" s="2023">
        <v>1687099942.1400001</v>
      </c>
      <c r="C9" s="2024">
        <f t="shared" si="0"/>
        <v>0.95230043356878247</v>
      </c>
      <c r="D9" s="2023">
        <v>73407508.640000001</v>
      </c>
      <c r="E9" s="2024">
        <f t="shared" si="1"/>
        <v>4.1435602336873975E-2</v>
      </c>
      <c r="F9" s="2026">
        <v>11097268.350000001</v>
      </c>
      <c r="G9" s="2024">
        <f t="shared" si="2"/>
        <v>6.263964094343601E-3</v>
      </c>
      <c r="H9" s="2025">
        <f t="shared" si="3"/>
        <v>1771604719.1300001</v>
      </c>
      <c r="I9" s="89"/>
      <c r="J9" s="1990"/>
      <c r="K9" s="89"/>
      <c r="L9" s="23"/>
      <c r="M9" s="1234"/>
      <c r="N9" s="156"/>
    </row>
    <row r="10" spans="1:14" customFormat="1" ht="15.75">
      <c r="A10" s="509">
        <v>2010</v>
      </c>
      <c r="B10" s="2023">
        <v>1922473262.4300001</v>
      </c>
      <c r="C10" s="2024">
        <f t="shared" si="0"/>
        <v>0.9530442004433155</v>
      </c>
      <c r="D10" s="2023">
        <v>83809693.36999999</v>
      </c>
      <c r="E10" s="2024">
        <f t="shared" si="1"/>
        <v>4.1547699917683208E-2</v>
      </c>
      <c r="F10" s="2026">
        <v>10909175.590000002</v>
      </c>
      <c r="G10" s="2024">
        <f t="shared" si="2"/>
        <v>5.4080994159188484E-3</v>
      </c>
      <c r="H10" s="2025">
        <v>2017192131.8400002</v>
      </c>
      <c r="I10" s="91"/>
      <c r="J10" s="1990"/>
      <c r="K10" s="91"/>
      <c r="L10" s="23"/>
      <c r="M10" s="1234"/>
      <c r="N10" s="209"/>
    </row>
    <row r="11" spans="1:14" s="77" customFormat="1" ht="15.75">
      <c r="A11" s="509">
        <v>2011</v>
      </c>
      <c r="B11" s="2023">
        <v>2175109581.8400002</v>
      </c>
      <c r="C11" s="2024">
        <f t="shared" ref="C11:C17" si="4">B11/H11</f>
        <v>0.95103367657376847</v>
      </c>
      <c r="D11" s="2023">
        <v>94554070.570000008</v>
      </c>
      <c r="E11" s="2024">
        <f t="shared" si="1"/>
        <v>4.1342333333446481E-2</v>
      </c>
      <c r="F11" s="2026">
        <v>17436831.43</v>
      </c>
      <c r="G11" s="2024">
        <f t="shared" si="2"/>
        <v>7.623990092785026E-3</v>
      </c>
      <c r="H11" s="2025">
        <f t="shared" si="3"/>
        <v>2287100483.8400002</v>
      </c>
      <c r="I11" s="91"/>
      <c r="J11" s="1990"/>
      <c r="K11" s="91"/>
      <c r="L11" s="23"/>
      <c r="M11" s="1234"/>
    </row>
    <row r="12" spans="1:14" s="77" customFormat="1" ht="15.75">
      <c r="A12" s="509">
        <v>2012</v>
      </c>
      <c r="B12" s="2023">
        <v>2411674911.5</v>
      </c>
      <c r="C12" s="2027">
        <f t="shared" si="4"/>
        <v>0.95211214546597178</v>
      </c>
      <c r="D12" s="2023">
        <v>104789518.08999999</v>
      </c>
      <c r="E12" s="2027">
        <f t="shared" si="1"/>
        <v>4.1370158314148531E-2</v>
      </c>
      <c r="F12" s="2026">
        <v>16509152.34</v>
      </c>
      <c r="G12" s="2027">
        <f t="shared" si="2"/>
        <v>6.5176962198795789E-3</v>
      </c>
      <c r="H12" s="2025">
        <f t="shared" si="3"/>
        <v>2532973581.9300003</v>
      </c>
      <c r="I12" s="91"/>
      <c r="J12" s="1990"/>
      <c r="K12" s="91"/>
      <c r="L12" s="23"/>
      <c r="M12" s="1234"/>
    </row>
    <row r="13" spans="1:14" s="77" customFormat="1" ht="15.75">
      <c r="A13" s="509">
        <v>2013</v>
      </c>
      <c r="B13" s="2023">
        <v>2663186569.8199997</v>
      </c>
      <c r="C13" s="2027">
        <f t="shared" si="4"/>
        <v>0.95177416884053523</v>
      </c>
      <c r="D13" s="2023">
        <v>115834844.37000003</v>
      </c>
      <c r="E13" s="2027">
        <f t="shared" si="1"/>
        <v>4.1397254691953878E-2</v>
      </c>
      <c r="F13" s="2026">
        <v>19107235.449999999</v>
      </c>
      <c r="G13" s="2027">
        <f t="shared" si="2"/>
        <v>6.8285764675109885E-3</v>
      </c>
      <c r="H13" s="2025">
        <f t="shared" si="3"/>
        <v>2798128649.6399994</v>
      </c>
      <c r="J13" s="1990"/>
      <c r="K13" s="91"/>
      <c r="L13" s="23"/>
      <c r="M13" s="1234"/>
    </row>
    <row r="14" spans="1:14" s="77" customFormat="1" ht="15.75">
      <c r="A14" s="509">
        <v>2014</v>
      </c>
      <c r="B14" s="2028">
        <v>3005088863.5</v>
      </c>
      <c r="C14" s="2029">
        <f t="shared" si="4"/>
        <v>0.95169285075746779</v>
      </c>
      <c r="D14" s="2028">
        <v>131454109.10000002</v>
      </c>
      <c r="E14" s="2029">
        <f t="shared" si="1"/>
        <v>4.1630694304146058E-2</v>
      </c>
      <c r="F14" s="1005">
        <v>21081739.099999998</v>
      </c>
      <c r="G14" s="2029">
        <f t="shared" si="2"/>
        <v>6.6764549383862741E-3</v>
      </c>
      <c r="H14" s="2030">
        <f t="shared" si="3"/>
        <v>3157624711.6999998</v>
      </c>
      <c r="J14" s="1990"/>
      <c r="K14" s="91"/>
      <c r="L14" s="23"/>
      <c r="M14" s="1234"/>
    </row>
    <row r="15" spans="1:14" s="77" customFormat="1" ht="15.75">
      <c r="A15" s="509">
        <v>2015</v>
      </c>
      <c r="B15" s="2028">
        <v>3382710516.6399999</v>
      </c>
      <c r="C15" s="2029">
        <f t="shared" si="4"/>
        <v>0.95338904993406337</v>
      </c>
      <c r="D15" s="2028">
        <v>147262666.77000001</v>
      </c>
      <c r="E15" s="2029">
        <f t="shared" si="1"/>
        <v>4.1504767632928548E-2</v>
      </c>
      <c r="F15" s="1005">
        <v>18117196.77</v>
      </c>
      <c r="G15" s="2029">
        <f t="shared" si="2"/>
        <v>5.106182433008059E-3</v>
      </c>
      <c r="H15" s="2030">
        <f t="shared" si="3"/>
        <v>3548090380.1799998</v>
      </c>
      <c r="I15" s="268"/>
      <c r="J15" s="1990"/>
      <c r="K15" s="91"/>
      <c r="L15" s="23"/>
      <c r="M15" s="748"/>
    </row>
    <row r="16" spans="1:14" customFormat="1" ht="15.75">
      <c r="A16" s="509" t="s">
        <v>1008</v>
      </c>
      <c r="B16" s="2028">
        <v>1261211264.9300001</v>
      </c>
      <c r="C16" s="2029">
        <f t="shared" si="4"/>
        <v>0.95426473054344052</v>
      </c>
      <c r="D16" s="2028">
        <v>54497874.280000001</v>
      </c>
      <c r="E16" s="2029">
        <f t="shared" si="1"/>
        <v>4.1234486846960496E-2</v>
      </c>
      <c r="F16" s="1005">
        <v>5948493.6900000004</v>
      </c>
      <c r="G16" s="2029">
        <f t="shared" si="2"/>
        <v>4.5007826095989252E-3</v>
      </c>
      <c r="H16" s="2030">
        <f t="shared" si="3"/>
        <v>1321657632.9000001</v>
      </c>
      <c r="I16" s="39"/>
      <c r="J16" s="1990"/>
      <c r="K16" s="90"/>
      <c r="L16" s="39"/>
      <c r="M16" s="1235"/>
    </row>
    <row r="17" spans="1:14" customFormat="1" ht="15.75">
      <c r="A17" s="507" t="s">
        <v>23</v>
      </c>
      <c r="B17" s="2031">
        <f>SUM(B5:B16)</f>
        <v>24200879843.419998</v>
      </c>
      <c r="C17" s="2032">
        <f t="shared" si="4"/>
        <v>0.95034487016759828</v>
      </c>
      <c r="D17" s="2031">
        <f>SUM(D5:D16)</f>
        <v>1043697702.0799999</v>
      </c>
      <c r="E17" s="2032">
        <f t="shared" si="1"/>
        <v>4.0984987471317888E-2</v>
      </c>
      <c r="F17" s="2031">
        <f>SUM(F5:F16)</f>
        <v>220788347.12</v>
      </c>
      <c r="G17" s="2032">
        <f t="shared" si="2"/>
        <v>8.6701423434125506E-3</v>
      </c>
      <c r="H17" s="2033">
        <f>SUM(H5:H16)</f>
        <v>25465365893.070004</v>
      </c>
      <c r="I17" s="23"/>
      <c r="J17" s="23"/>
      <c r="K17" s="23"/>
      <c r="L17" s="39"/>
      <c r="M17" s="1235"/>
      <c r="N17" s="23"/>
    </row>
    <row r="18" spans="1:14" customFormat="1">
      <c r="B18" s="18"/>
      <c r="C18" s="18"/>
      <c r="D18" s="18"/>
      <c r="E18" s="18"/>
      <c r="F18" s="18"/>
      <c r="G18" s="23"/>
      <c r="H18" s="23"/>
      <c r="I18" s="23"/>
      <c r="J18" s="23"/>
      <c r="K18" s="23"/>
      <c r="L18" s="23"/>
      <c r="M18" s="1236"/>
      <c r="N18" s="23"/>
    </row>
    <row r="19" spans="1:14" customFormat="1">
      <c r="B19" s="156"/>
      <c r="C19" s="156"/>
      <c r="D19" s="156"/>
      <c r="E19" s="156"/>
      <c r="F19" s="156"/>
      <c r="G19" s="23"/>
      <c r="H19" s="23"/>
      <c r="I19" s="23"/>
      <c r="J19" s="23"/>
      <c r="K19" s="23"/>
      <c r="L19" s="23"/>
      <c r="M19" s="1237"/>
      <c r="N19" s="23"/>
    </row>
    <row r="20" spans="1:14" customFormat="1">
      <c r="C20" s="23"/>
      <c r="D20" s="23"/>
      <c r="E20" s="23"/>
      <c r="F20" s="23"/>
      <c r="G20" s="23"/>
      <c r="H20" s="23"/>
      <c r="I20" s="23"/>
      <c r="J20" s="23"/>
      <c r="K20" s="23"/>
      <c r="L20" s="23"/>
      <c r="M20" s="1238"/>
      <c r="N20" s="23"/>
    </row>
    <row r="21" spans="1:14" customFormat="1">
      <c r="C21" s="23"/>
      <c r="D21" s="23"/>
      <c r="E21" s="23"/>
      <c r="F21" s="23"/>
      <c r="G21" s="23"/>
      <c r="H21" s="23"/>
      <c r="I21" s="23"/>
      <c r="J21" s="23"/>
      <c r="K21" s="23"/>
      <c r="L21" s="23"/>
      <c r="M21" s="1238"/>
      <c r="N21" s="23"/>
    </row>
    <row r="22" spans="1:14" customFormat="1">
      <c r="C22" s="23"/>
      <c r="D22" s="23"/>
      <c r="E22" s="23"/>
      <c r="F22" s="23"/>
      <c r="G22" s="23"/>
      <c r="H22" s="23"/>
      <c r="I22" s="23"/>
      <c r="J22" s="23"/>
      <c r="K22" s="23"/>
      <c r="L22" s="23"/>
      <c r="M22" s="1239"/>
      <c r="N22" s="23"/>
    </row>
    <row r="23" spans="1:14" customFormat="1">
      <c r="C23" s="23"/>
      <c r="D23" s="23"/>
      <c r="E23" s="23"/>
      <c r="F23" s="23"/>
      <c r="G23" s="23"/>
      <c r="H23" s="23"/>
      <c r="I23" s="23"/>
      <c r="J23" s="23"/>
      <c r="K23" s="23"/>
      <c r="L23" s="23"/>
      <c r="M23" s="1236"/>
      <c r="N23" s="23"/>
    </row>
    <row r="24" spans="1:14" customFormat="1">
      <c r="C24" s="23"/>
      <c r="D24" s="23"/>
      <c r="E24" s="23"/>
      <c r="F24" s="23"/>
      <c r="G24" s="23"/>
      <c r="H24" s="23"/>
      <c r="I24" s="23"/>
      <c r="J24" s="23"/>
      <c r="K24" s="23"/>
      <c r="L24" s="23"/>
      <c r="M24" s="1236"/>
      <c r="N24" s="23"/>
    </row>
    <row r="25" spans="1:14" customFormat="1">
      <c r="C25" s="23"/>
      <c r="D25" s="23"/>
      <c r="E25" s="23"/>
      <c r="F25" s="23"/>
      <c r="G25" s="23"/>
      <c r="H25" s="23"/>
      <c r="I25" s="23"/>
      <c r="J25" s="23"/>
      <c r="K25" s="23"/>
      <c r="L25" s="23"/>
      <c r="M25" s="1236"/>
      <c r="N25" s="23"/>
    </row>
    <row r="26" spans="1:14" customFormat="1">
      <c r="C26" s="23"/>
      <c r="D26" s="23"/>
      <c r="E26" s="23"/>
      <c r="F26" s="23"/>
      <c r="G26" s="23"/>
      <c r="H26" s="23"/>
      <c r="I26" s="23"/>
      <c r="J26" s="23"/>
      <c r="K26" s="23"/>
      <c r="L26" s="23"/>
      <c r="M26" s="1236"/>
      <c r="N26" s="23"/>
    </row>
    <row r="27" spans="1:14" customFormat="1">
      <c r="C27" s="23"/>
      <c r="D27" s="23"/>
      <c r="E27" s="23"/>
      <c r="F27" s="23"/>
      <c r="G27" s="23"/>
      <c r="H27" s="23"/>
      <c r="I27" s="23"/>
      <c r="J27" s="23"/>
      <c r="K27" s="23"/>
      <c r="L27" s="23"/>
      <c r="M27" s="1236"/>
      <c r="N27" s="23"/>
    </row>
    <row r="28" spans="1:14" customFormat="1">
      <c r="C28" s="23"/>
      <c r="D28" s="23"/>
      <c r="E28" s="23"/>
      <c r="F28" s="23"/>
      <c r="G28" s="23"/>
      <c r="H28" s="23"/>
      <c r="I28" s="23"/>
      <c r="J28" s="23"/>
      <c r="K28" s="23"/>
      <c r="L28" s="23"/>
      <c r="M28" s="1236"/>
      <c r="N28" s="23"/>
    </row>
    <row r="29" spans="1:14" customFormat="1">
      <c r="C29" s="23"/>
      <c r="D29" s="23"/>
      <c r="E29" s="23"/>
      <c r="F29" s="23"/>
      <c r="G29" s="23"/>
      <c r="H29" s="23"/>
      <c r="I29" s="23"/>
      <c r="J29" s="23"/>
      <c r="K29" s="23"/>
      <c r="L29" s="23"/>
      <c r="M29" s="1236"/>
      <c r="N29" s="23"/>
    </row>
    <row r="30" spans="1:14" customFormat="1">
      <c r="C30" s="23"/>
      <c r="D30" s="23"/>
      <c r="E30" s="23"/>
      <c r="F30" s="23"/>
      <c r="G30" s="23"/>
      <c r="H30" s="23"/>
      <c r="I30" s="23"/>
      <c r="J30" s="23"/>
      <c r="K30" s="23"/>
      <c r="L30" s="23"/>
      <c r="M30" s="1236"/>
      <c r="N30" s="23"/>
    </row>
    <row r="31" spans="1:14" customFormat="1">
      <c r="C31" s="23"/>
      <c r="D31" s="23"/>
      <c r="E31" s="23"/>
      <c r="F31" s="23"/>
      <c r="G31" s="23"/>
      <c r="H31" s="23"/>
      <c r="I31" s="23"/>
      <c r="J31" s="23"/>
      <c r="K31" s="23"/>
      <c r="L31" s="23"/>
      <c r="M31" s="1236"/>
      <c r="N31" s="23"/>
    </row>
    <row r="32" spans="1:14" customFormat="1">
      <c r="C32" s="23"/>
      <c r="D32" s="23"/>
      <c r="E32" s="23"/>
      <c r="F32" s="23"/>
      <c r="G32" s="23"/>
      <c r="H32" s="23"/>
      <c r="I32" s="23"/>
      <c r="J32" s="23"/>
      <c r="K32" s="23"/>
      <c r="L32" s="23"/>
      <c r="M32" s="1236"/>
      <c r="N32" s="23"/>
    </row>
    <row r="33" spans="3:14" customFormat="1">
      <c r="C33" s="23"/>
      <c r="D33" s="23"/>
      <c r="E33" s="23"/>
      <c r="F33" s="23"/>
      <c r="G33" s="23"/>
      <c r="H33" s="23"/>
      <c r="I33" s="23"/>
      <c r="J33" s="23"/>
      <c r="K33" s="23"/>
      <c r="L33" s="23"/>
      <c r="M33" s="1236"/>
      <c r="N33" s="23"/>
    </row>
    <row r="34" spans="3:14" customFormat="1">
      <c r="C34" s="23"/>
      <c r="D34" s="23"/>
      <c r="E34" s="23"/>
      <c r="F34" s="23"/>
      <c r="G34" s="23"/>
      <c r="H34" s="23"/>
      <c r="I34" s="23"/>
      <c r="J34" s="23"/>
      <c r="K34" s="23"/>
      <c r="L34" s="23"/>
      <c r="M34" s="1236"/>
      <c r="N34" s="23"/>
    </row>
    <row r="35" spans="3:14" customFormat="1">
      <c r="C35" s="23"/>
      <c r="D35" s="23"/>
      <c r="E35" s="23"/>
      <c r="F35" s="23"/>
      <c r="G35" s="23"/>
      <c r="H35" s="23"/>
      <c r="I35" s="23"/>
      <c r="J35" s="23"/>
      <c r="K35" s="23"/>
      <c r="L35" s="23"/>
      <c r="M35" s="1236"/>
      <c r="N35" s="23"/>
    </row>
    <row r="36" spans="3:14" customFormat="1">
      <c r="C36" s="23"/>
      <c r="D36" s="23"/>
      <c r="E36" s="23"/>
      <c r="F36" s="23"/>
      <c r="G36" s="23"/>
      <c r="H36" s="23"/>
      <c r="J36" s="77"/>
      <c r="K36" s="77"/>
      <c r="M36" s="43"/>
    </row>
    <row r="37" spans="3:14" customFormat="1">
      <c r="J37" s="77"/>
      <c r="K37" s="77"/>
      <c r="M37" s="43"/>
    </row>
    <row r="38" spans="3:14" customFormat="1">
      <c r="J38" s="77"/>
      <c r="K38" s="77"/>
      <c r="M38" s="43"/>
    </row>
    <row r="39" spans="3:14" customFormat="1" ht="39" customHeight="1">
      <c r="J39" s="77"/>
      <c r="K39" s="77"/>
      <c r="M39" s="43"/>
    </row>
    <row r="40" spans="3:14" customFormat="1">
      <c r="J40" s="77"/>
      <c r="K40" s="77"/>
      <c r="M40" s="43"/>
    </row>
    <row r="41" spans="3:14" customFormat="1">
      <c r="J41" s="77"/>
      <c r="K41" s="77"/>
      <c r="M41" s="43"/>
    </row>
    <row r="42" spans="3:14" customFormat="1">
      <c r="J42" s="77"/>
      <c r="K42" s="77"/>
      <c r="M42" s="43"/>
    </row>
    <row r="43" spans="3:14" customFormat="1">
      <c r="J43" s="77"/>
      <c r="K43" s="77"/>
      <c r="M43" s="43"/>
    </row>
    <row r="44" spans="3:14" customFormat="1">
      <c r="J44" s="77"/>
      <c r="K44" s="77"/>
      <c r="M44" s="43"/>
    </row>
    <row r="45" spans="3:14" customFormat="1">
      <c r="J45" s="77"/>
      <c r="K45" s="77"/>
      <c r="M45" s="43"/>
    </row>
    <row r="46" spans="3:14" customFormat="1">
      <c r="J46" s="77"/>
      <c r="K46" s="77"/>
      <c r="M46" s="43"/>
    </row>
    <row r="47" spans="3:14" customFormat="1">
      <c r="J47" s="77"/>
      <c r="K47" s="77"/>
      <c r="M47" s="43"/>
    </row>
    <row r="48" spans="3:14" customFormat="1">
      <c r="J48" s="77"/>
      <c r="K48" s="77"/>
      <c r="M48" s="43"/>
    </row>
    <row r="49" spans="1:13" customFormat="1">
      <c r="J49" s="77"/>
      <c r="K49" s="77"/>
      <c r="M49" s="43"/>
    </row>
    <row r="50" spans="1:13" customFormat="1">
      <c r="J50" s="77"/>
      <c r="K50" s="77"/>
      <c r="M50" s="43"/>
    </row>
    <row r="51" spans="1:13">
      <c r="A51"/>
      <c r="B51"/>
      <c r="C51"/>
      <c r="D51"/>
      <c r="E51"/>
      <c r="F51"/>
      <c r="G51"/>
      <c r="H51"/>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I16" sqref="I16"/>
    </sheetView>
  </sheetViews>
  <sheetFormatPr baseColWidth="10" defaultColWidth="11.42578125" defaultRowHeight="15"/>
  <cols>
    <col min="1" max="1" width="11.85546875" style="55" customWidth="1"/>
    <col min="2" max="2" width="20.28515625" style="55" customWidth="1"/>
    <col min="3" max="3" width="11.42578125" style="55" customWidth="1"/>
    <col min="4" max="4" width="18.85546875" style="55" customWidth="1"/>
    <col min="5" max="5" width="11.85546875" style="55" customWidth="1"/>
    <col min="6" max="6" width="18.28515625" style="55" customWidth="1"/>
    <col min="7" max="7" width="11.85546875" style="55" customWidth="1"/>
    <col min="8" max="8" width="21.5703125" style="55" customWidth="1"/>
    <col min="9" max="9" width="18.7109375" style="55" customWidth="1"/>
    <col min="10" max="10" width="13.85546875" style="55" customWidth="1"/>
    <col min="11" max="11" width="16.5703125" style="55" customWidth="1"/>
    <col min="12" max="12" width="10.28515625" style="55" customWidth="1"/>
    <col min="13" max="13" width="13.28515625" style="55" customWidth="1"/>
    <col min="14" max="14" width="6.7109375" style="55" bestFit="1" customWidth="1"/>
    <col min="15" max="16384" width="11.42578125" style="55"/>
  </cols>
  <sheetData>
    <row r="1" spans="1:12" customFormat="1" ht="61.5" customHeight="1">
      <c r="A1" s="2206"/>
      <c r="B1" s="2206"/>
      <c r="C1" s="2206"/>
      <c r="D1" s="2206"/>
      <c r="E1" s="2206"/>
      <c r="F1" s="2206"/>
      <c r="G1" s="2206"/>
      <c r="H1" s="2206"/>
      <c r="I1" s="2206"/>
      <c r="J1" s="2206"/>
      <c r="K1" s="2206"/>
      <c r="L1" s="2206"/>
    </row>
    <row r="2" spans="1:12" s="77" customFormat="1" ht="8.25" customHeight="1">
      <c r="A2" s="75"/>
      <c r="B2" s="75"/>
      <c r="C2" s="75"/>
      <c r="D2" s="75"/>
      <c r="E2" s="75"/>
      <c r="F2" s="75"/>
      <c r="G2" s="75"/>
      <c r="H2" s="75"/>
      <c r="I2" s="75"/>
      <c r="J2" s="75"/>
      <c r="K2" s="75"/>
      <c r="L2" s="75"/>
    </row>
    <row r="3" spans="1:12" customFormat="1" ht="16.5" customHeight="1">
      <c r="A3" s="75"/>
      <c r="B3" s="2207" t="s">
        <v>137</v>
      </c>
      <c r="C3" s="2208"/>
      <c r="D3" s="2208"/>
      <c r="E3" s="2208"/>
      <c r="F3" s="2208"/>
      <c r="G3" s="2208"/>
      <c r="H3" s="2209"/>
      <c r="I3" s="75"/>
      <c r="J3" s="75"/>
      <c r="K3" s="75"/>
      <c r="L3" s="75"/>
    </row>
    <row r="4" spans="1:12" s="1267" customFormat="1" ht="15.75" customHeight="1">
      <c r="A4" s="366" t="s">
        <v>39</v>
      </c>
      <c r="B4" s="479" t="s">
        <v>127</v>
      </c>
      <c r="C4" s="479" t="s">
        <v>153</v>
      </c>
      <c r="D4" s="479" t="s">
        <v>727</v>
      </c>
      <c r="E4" s="479" t="s">
        <v>153</v>
      </c>
      <c r="F4" s="1957" t="s">
        <v>129</v>
      </c>
      <c r="G4" s="479" t="s">
        <v>153</v>
      </c>
      <c r="H4" s="1958" t="s">
        <v>23</v>
      </c>
      <c r="I4" s="1265"/>
      <c r="J4" s="1265"/>
      <c r="K4" s="1265"/>
      <c r="L4" s="1266"/>
    </row>
    <row r="5" spans="1:12" s="135" customFormat="1" ht="14.25" customHeight="1">
      <c r="A5" s="480" t="s">
        <v>697</v>
      </c>
      <c r="B5" s="510">
        <v>189992092.56999999</v>
      </c>
      <c r="C5" s="746">
        <f t="shared" ref="C5:C13" si="0">B5/H5</f>
        <v>0.936085200120091</v>
      </c>
      <c r="D5" s="747">
        <v>11741328.210000001</v>
      </c>
      <c r="E5" s="745">
        <f t="shared" ref="E5:E17" si="1">D5/H5</f>
        <v>5.784916318601039E-2</v>
      </c>
      <c r="F5" s="747">
        <v>1231109.1000000001</v>
      </c>
      <c r="G5" s="745">
        <f>F5/H5</f>
        <v>6.0656366938985672E-3</v>
      </c>
      <c r="H5" s="514">
        <f t="shared" ref="H5:H6" si="2">+F5+D5+B5</f>
        <v>202964529.88</v>
      </c>
      <c r="I5" s="1099"/>
      <c r="K5" s="1101"/>
      <c r="L5" s="1100"/>
    </row>
    <row r="6" spans="1:12" s="135" customFormat="1" ht="14.25" customHeight="1">
      <c r="A6" s="480" t="s">
        <v>704</v>
      </c>
      <c r="B6" s="510">
        <v>353354533.29000002</v>
      </c>
      <c r="C6" s="746">
        <f t="shared" si="0"/>
        <v>0.96336755855023604</v>
      </c>
      <c r="D6" s="747">
        <v>11875285.16</v>
      </c>
      <c r="E6" s="745">
        <f t="shared" si="1"/>
        <v>3.2376164429417299E-2</v>
      </c>
      <c r="F6" s="747">
        <v>1561164.03</v>
      </c>
      <c r="G6" s="745">
        <f>F6/H6</f>
        <v>4.2562770203466646E-3</v>
      </c>
      <c r="H6" s="514">
        <f t="shared" si="2"/>
        <v>366790982.48000002</v>
      </c>
      <c r="I6" s="1099"/>
      <c r="K6" s="1101"/>
      <c r="L6" s="1100"/>
    </row>
    <row r="7" spans="1:12" s="135" customFormat="1" ht="14.25" customHeight="1">
      <c r="A7" s="480" t="s">
        <v>716</v>
      </c>
      <c r="B7" s="510">
        <v>279764884</v>
      </c>
      <c r="C7" s="746">
        <f t="shared" si="0"/>
        <v>0.95365281200553853</v>
      </c>
      <c r="D7" s="747">
        <v>12104007.859999999</v>
      </c>
      <c r="E7" s="745">
        <f t="shared" si="1"/>
        <v>4.1259721260178385E-2</v>
      </c>
      <c r="F7" s="747">
        <v>1492466.15</v>
      </c>
      <c r="G7" s="745">
        <f t="shared" ref="G7:G17" si="3">F7/H7</f>
        <v>5.087466734283134E-3</v>
      </c>
      <c r="H7" s="514">
        <f t="shared" ref="H7:H17" si="4">+F7+D7+B7</f>
        <v>293361358.00999999</v>
      </c>
      <c r="I7" s="1099"/>
      <c r="K7" s="1101"/>
      <c r="L7" s="1100"/>
    </row>
    <row r="8" spans="1:12" s="135" customFormat="1" ht="14.25" customHeight="1">
      <c r="A8" s="480" t="s">
        <v>725</v>
      </c>
      <c r="B8" s="510">
        <v>281881421.44999999</v>
      </c>
      <c r="C8" s="746">
        <f t="shared" si="0"/>
        <v>0.95081638400643942</v>
      </c>
      <c r="D8" s="747">
        <v>12355560.74</v>
      </c>
      <c r="E8" s="745">
        <f t="shared" si="1"/>
        <v>4.1676636667814446E-2</v>
      </c>
      <c r="F8" s="747">
        <v>2225538.0099999998</v>
      </c>
      <c r="G8" s="745">
        <f t="shared" si="3"/>
        <v>7.5069793257461484E-3</v>
      </c>
      <c r="H8" s="514">
        <f t="shared" si="4"/>
        <v>296462520.19999999</v>
      </c>
      <c r="I8" s="1099"/>
      <c r="K8" s="1101"/>
      <c r="L8" s="1100"/>
    </row>
    <row r="9" spans="1:12" s="135" customFormat="1" ht="14.25" customHeight="1">
      <c r="A9" s="480" t="s">
        <v>733</v>
      </c>
      <c r="B9" s="510">
        <v>282888965.54000002</v>
      </c>
      <c r="C9" s="746">
        <f t="shared" si="0"/>
        <v>0.95390544415976841</v>
      </c>
      <c r="D9" s="747">
        <v>12307096.369999999</v>
      </c>
      <c r="E9" s="745">
        <f t="shared" si="1"/>
        <v>4.1499696556675819E-2</v>
      </c>
      <c r="F9" s="747">
        <v>1362645.53</v>
      </c>
      <c r="G9" s="745">
        <f t="shared" si="3"/>
        <v>4.5948592835558253E-3</v>
      </c>
      <c r="H9" s="514">
        <f t="shared" si="4"/>
        <v>296558707.44</v>
      </c>
      <c r="I9" s="1099"/>
      <c r="K9" s="1101"/>
      <c r="L9" s="1100"/>
    </row>
    <row r="10" spans="1:12" s="135" customFormat="1" ht="14.25" customHeight="1">
      <c r="A10" s="480" t="s">
        <v>737</v>
      </c>
      <c r="B10" s="510">
        <v>293407782.22000003</v>
      </c>
      <c r="C10" s="746">
        <f t="shared" si="0"/>
        <v>0.95363093303481961</v>
      </c>
      <c r="D10" s="747">
        <v>12468251.859999999</v>
      </c>
      <c r="E10" s="745">
        <f t="shared" si="1"/>
        <v>4.0524182980428251E-2</v>
      </c>
      <c r="F10" s="747">
        <v>1798320.91</v>
      </c>
      <c r="G10" s="745">
        <f t="shared" si="3"/>
        <v>5.8448839847521535E-3</v>
      </c>
      <c r="H10" s="514">
        <f t="shared" si="4"/>
        <v>307674354.99000001</v>
      </c>
      <c r="I10" s="1099"/>
      <c r="K10" s="1101"/>
      <c r="L10" s="1100"/>
    </row>
    <row r="11" spans="1:12" s="135" customFormat="1" ht="14.25" customHeight="1">
      <c r="A11" s="480" t="s">
        <v>923</v>
      </c>
      <c r="B11" s="510">
        <v>278623921</v>
      </c>
      <c r="C11" s="746">
        <f t="shared" si="0"/>
        <v>0.95346787488339257</v>
      </c>
      <c r="D11" s="747">
        <v>12752847.9</v>
      </c>
      <c r="E11" s="745">
        <f t="shared" si="1"/>
        <v>4.3641015251968035E-2</v>
      </c>
      <c r="F11" s="747">
        <v>844844.79</v>
      </c>
      <c r="G11" s="745">
        <f t="shared" si="3"/>
        <v>2.8911098646393902E-3</v>
      </c>
      <c r="H11" s="514">
        <f t="shared" si="4"/>
        <v>292221613.69</v>
      </c>
      <c r="I11" s="1099"/>
      <c r="K11" s="1101"/>
      <c r="L11" s="1100"/>
    </row>
    <row r="12" spans="1:12" s="135" customFormat="1" ht="14.25" customHeight="1">
      <c r="A12" s="480" t="s">
        <v>942</v>
      </c>
      <c r="B12" s="510">
        <v>317659456.31</v>
      </c>
      <c r="C12" s="746">
        <f t="shared" si="0"/>
        <v>0.95507577065945837</v>
      </c>
      <c r="D12" s="747">
        <v>13193620.68</v>
      </c>
      <c r="E12" s="745">
        <f t="shared" si="1"/>
        <v>3.9667975211927879E-2</v>
      </c>
      <c r="F12" s="747">
        <v>1748237.03</v>
      </c>
      <c r="G12" s="745">
        <f t="shared" si="3"/>
        <v>5.2562541286138003E-3</v>
      </c>
      <c r="H12" s="514">
        <f t="shared" si="4"/>
        <v>332601314.01999998</v>
      </c>
      <c r="I12" s="1099"/>
      <c r="K12" s="1101"/>
      <c r="L12" s="1100"/>
    </row>
    <row r="13" spans="1:12" customFormat="1" ht="14.25" customHeight="1">
      <c r="A13" s="480" t="s">
        <v>952</v>
      </c>
      <c r="B13" s="510">
        <v>307264282.36000001</v>
      </c>
      <c r="C13" s="746">
        <f t="shared" si="0"/>
        <v>0.95273444112323247</v>
      </c>
      <c r="D13" s="747">
        <v>13933570.529999999</v>
      </c>
      <c r="E13" s="745">
        <f t="shared" si="1"/>
        <v>4.3203825806858061E-2</v>
      </c>
      <c r="F13" s="747">
        <v>1309940.57</v>
      </c>
      <c r="G13" s="745">
        <f t="shared" si="3"/>
        <v>4.0617330699094225E-3</v>
      </c>
      <c r="H13" s="514">
        <f t="shared" si="4"/>
        <v>322507793.46000004</v>
      </c>
      <c r="I13" s="69"/>
      <c r="J13" s="99"/>
      <c r="K13" s="98"/>
      <c r="L13" s="75"/>
    </row>
    <row r="14" spans="1:12" customFormat="1" ht="15.75">
      <c r="A14" s="480" t="s">
        <v>970</v>
      </c>
      <c r="B14" s="510">
        <v>315184293.00999999</v>
      </c>
      <c r="C14" s="746">
        <f t="shared" ref="C14" si="5">B14/H14</f>
        <v>0.95601806337961071</v>
      </c>
      <c r="D14" s="747">
        <v>13103067.640000001</v>
      </c>
      <c r="E14" s="745">
        <f t="shared" ref="E14" si="6">D14/H14</f>
        <v>3.974426907475178E-2</v>
      </c>
      <c r="F14" s="747">
        <v>1397093.11</v>
      </c>
      <c r="G14" s="745">
        <f t="shared" ref="G14:G15" si="7">F14/H14</f>
        <v>4.2376675456375643E-3</v>
      </c>
      <c r="H14" s="514">
        <f t="shared" ref="H14:H16" si="8">+F14+D14+B14</f>
        <v>329684453.75999999</v>
      </c>
      <c r="I14" s="69"/>
      <c r="J14" s="69"/>
      <c r="K14" s="69"/>
      <c r="L14" s="69"/>
    </row>
    <row r="15" spans="1:12" customFormat="1" ht="15.75">
      <c r="A15" s="480" t="s">
        <v>974</v>
      </c>
      <c r="B15" s="510">
        <v>303966145.88999999</v>
      </c>
      <c r="C15" s="746">
        <f>B15/H15</f>
        <v>0.95389046469640792</v>
      </c>
      <c r="D15" s="747">
        <v>13409751.439999999</v>
      </c>
      <c r="E15" s="745">
        <f>D15/H15</f>
        <v>4.2081771952307875E-2</v>
      </c>
      <c r="F15" s="747">
        <v>1283484.58</v>
      </c>
      <c r="G15" s="745">
        <f t="shared" si="7"/>
        <v>4.027763351284284E-3</v>
      </c>
      <c r="H15" s="514">
        <f t="shared" si="8"/>
        <v>318659381.90999997</v>
      </c>
      <c r="I15" s="69"/>
      <c r="J15" s="69"/>
      <c r="K15" s="69"/>
      <c r="L15" s="69"/>
    </row>
    <row r="16" spans="1:12" s="1458" customFormat="1" ht="15.75">
      <c r="A16" s="480" t="s">
        <v>987</v>
      </c>
      <c r="B16" s="510">
        <v>319458708.38</v>
      </c>
      <c r="C16" s="746">
        <f>B16/H16</f>
        <v>0.95305910412335226</v>
      </c>
      <c r="D16" s="747">
        <v>14026303.98</v>
      </c>
      <c r="E16" s="745">
        <v>4.1845460319833688E-2</v>
      </c>
      <c r="F16" s="747">
        <v>1707954.16</v>
      </c>
      <c r="G16" s="745">
        <v>5.0954355568140815E-3</v>
      </c>
      <c r="H16" s="514">
        <f t="shared" si="8"/>
        <v>335192966.51999998</v>
      </c>
      <c r="I16" s="69"/>
      <c r="J16" s="69"/>
      <c r="K16" s="69"/>
      <c r="L16" s="69"/>
    </row>
    <row r="17" spans="1:12" customFormat="1" ht="15.75">
      <c r="A17" s="1499" t="s">
        <v>1001</v>
      </c>
      <c r="B17" s="1904">
        <v>322602117.64999998</v>
      </c>
      <c r="C17" s="1500">
        <f>B17/H17</f>
        <v>0.95410305532666184</v>
      </c>
      <c r="D17" s="1501">
        <v>13958751.220000001</v>
      </c>
      <c r="E17" s="1502">
        <f t="shared" si="1"/>
        <v>4.1283322268813913E-2</v>
      </c>
      <c r="F17" s="1501">
        <v>1559961.84</v>
      </c>
      <c r="G17" s="1502">
        <f t="shared" si="3"/>
        <v>4.6136224045242296E-3</v>
      </c>
      <c r="H17" s="1503">
        <f t="shared" si="4"/>
        <v>338120830.70999998</v>
      </c>
      <c r="I17" s="69"/>
      <c r="J17" s="69"/>
      <c r="K17" s="69"/>
      <c r="L17" s="69"/>
    </row>
    <row r="18" spans="1:12" customFormat="1" ht="15.75">
      <c r="A18" s="1767"/>
      <c r="B18" s="510"/>
      <c r="C18" s="746"/>
      <c r="D18" s="747"/>
      <c r="E18" s="745"/>
      <c r="F18" s="747"/>
      <c r="G18" s="745"/>
      <c r="H18" s="1768"/>
      <c r="I18" s="69"/>
      <c r="J18" s="69"/>
      <c r="K18" s="69"/>
      <c r="L18" s="69"/>
    </row>
    <row r="19" spans="1:12" customFormat="1" ht="15.75">
      <c r="A19" s="1767"/>
      <c r="B19" s="510"/>
      <c r="C19" s="746"/>
      <c r="D19" s="747"/>
      <c r="E19" s="745"/>
      <c r="F19" s="747"/>
      <c r="G19" s="745"/>
      <c r="H19" s="1768"/>
      <c r="I19" s="69"/>
      <c r="J19" s="69"/>
      <c r="K19" s="69"/>
      <c r="L19" s="69"/>
    </row>
    <row r="20" spans="1:12" customFormat="1">
      <c r="A20" s="70"/>
      <c r="B20" s="70"/>
      <c r="C20" s="69"/>
      <c r="D20" s="69"/>
      <c r="E20" s="69"/>
      <c r="F20" s="69"/>
      <c r="G20" s="69"/>
      <c r="H20" s="69"/>
      <c r="I20" s="69"/>
      <c r="J20" s="69"/>
      <c r="K20" s="69"/>
      <c r="L20" s="69"/>
    </row>
    <row r="21" spans="1:12" customFormat="1">
      <c r="A21" s="70"/>
      <c r="B21" s="70"/>
      <c r="C21" s="69"/>
      <c r="D21" s="69"/>
      <c r="E21" s="69"/>
      <c r="F21" s="69"/>
      <c r="G21" s="69"/>
      <c r="H21" s="69"/>
      <c r="I21" s="69"/>
      <c r="J21" s="69"/>
      <c r="K21" s="69"/>
      <c r="L21" s="69"/>
    </row>
    <row r="22" spans="1:12" customFormat="1">
      <c r="A22" s="70"/>
      <c r="B22" s="70"/>
      <c r="C22" s="69"/>
      <c r="D22" s="69"/>
      <c r="E22" s="69"/>
      <c r="F22" s="69"/>
      <c r="G22" s="69"/>
      <c r="H22" s="69"/>
      <c r="I22" s="69"/>
      <c r="J22" s="69"/>
      <c r="K22" s="69"/>
      <c r="L22" s="69"/>
    </row>
    <row r="23" spans="1:12" customFormat="1">
      <c r="A23" s="70"/>
      <c r="B23" s="70"/>
      <c r="C23" s="69"/>
      <c r="D23" s="69"/>
      <c r="E23" s="69"/>
      <c r="F23" s="69"/>
      <c r="G23" s="69"/>
      <c r="H23" s="69"/>
      <c r="I23" s="69"/>
      <c r="J23" s="69"/>
      <c r="K23" s="69"/>
      <c r="L23" s="69"/>
    </row>
    <row r="24" spans="1:12" customFormat="1">
      <c r="A24" s="70"/>
      <c r="B24" s="70"/>
      <c r="C24" s="69"/>
      <c r="D24" s="69"/>
      <c r="E24" s="69"/>
      <c r="F24" s="69"/>
      <c r="G24" s="69"/>
      <c r="H24" s="69"/>
      <c r="I24" s="69"/>
      <c r="J24" s="69"/>
      <c r="K24" s="69"/>
      <c r="L24" s="69"/>
    </row>
    <row r="25" spans="1:12" customFormat="1">
      <c r="A25" s="70"/>
      <c r="B25" s="70"/>
      <c r="C25" s="69"/>
      <c r="D25" s="69"/>
      <c r="E25" s="69"/>
      <c r="F25" s="69"/>
      <c r="G25" s="69"/>
      <c r="H25" s="69"/>
      <c r="I25" s="69"/>
      <c r="J25" s="69"/>
      <c r="K25" s="69"/>
      <c r="L25" s="69"/>
    </row>
    <row r="26" spans="1:12" customFormat="1">
      <c r="A26" s="70"/>
      <c r="B26" s="70"/>
      <c r="C26" s="69"/>
      <c r="D26" s="69"/>
      <c r="E26" s="69"/>
      <c r="F26" s="69"/>
      <c r="G26" s="69"/>
      <c r="H26" s="69"/>
      <c r="I26" s="69"/>
      <c r="J26" s="69"/>
      <c r="K26" s="69"/>
      <c r="L26" s="69"/>
    </row>
    <row r="27" spans="1:12" customFormat="1">
      <c r="A27" s="70"/>
      <c r="B27" s="70"/>
      <c r="C27" s="69"/>
      <c r="D27" s="69"/>
      <c r="E27" s="69"/>
      <c r="F27" s="69"/>
      <c r="G27" s="69"/>
      <c r="H27" s="69"/>
      <c r="I27" s="69"/>
      <c r="J27" s="69"/>
      <c r="K27" s="69"/>
      <c r="L27" s="69"/>
    </row>
    <row r="28" spans="1:12" customFormat="1">
      <c r="A28" s="70"/>
      <c r="B28" s="70"/>
      <c r="C28" s="69"/>
      <c r="D28" s="69"/>
      <c r="E28" s="69"/>
      <c r="F28" s="69"/>
      <c r="G28" s="69"/>
      <c r="H28" s="69"/>
      <c r="I28" s="69"/>
      <c r="J28" s="69"/>
      <c r="K28" s="69"/>
      <c r="L28" s="69"/>
    </row>
    <row r="29" spans="1:12" customFormat="1">
      <c r="A29" s="70"/>
      <c r="B29" s="70"/>
      <c r="C29" s="69"/>
      <c r="D29" s="69"/>
      <c r="E29" s="69"/>
      <c r="F29" s="69"/>
      <c r="G29" s="69"/>
      <c r="H29" s="69"/>
      <c r="I29" s="69"/>
      <c r="J29" s="69"/>
      <c r="K29" s="69"/>
      <c r="L29" s="69"/>
    </row>
    <row r="30" spans="1:12" customFormat="1">
      <c r="A30" s="70"/>
      <c r="B30" s="70"/>
      <c r="C30" s="69"/>
      <c r="D30" s="69"/>
      <c r="E30" s="69"/>
      <c r="F30" s="69"/>
      <c r="G30" s="69"/>
      <c r="H30" s="69"/>
      <c r="I30" s="69"/>
      <c r="J30" s="69"/>
      <c r="K30" s="69"/>
      <c r="L30" s="69"/>
    </row>
    <row r="31" spans="1:12" customFormat="1">
      <c r="A31" s="70"/>
      <c r="B31" s="70"/>
      <c r="C31" s="69"/>
      <c r="D31" s="69"/>
      <c r="E31" s="69"/>
      <c r="F31" s="69"/>
      <c r="G31" s="69"/>
      <c r="H31" s="69"/>
      <c r="I31" s="69"/>
      <c r="J31" s="69"/>
      <c r="K31" s="69"/>
      <c r="L31" s="69"/>
    </row>
    <row r="32" spans="1:12" customFormat="1">
      <c r="A32" s="70"/>
      <c r="B32" s="70"/>
      <c r="C32" s="69"/>
      <c r="D32" s="69"/>
      <c r="E32" s="69"/>
      <c r="F32" s="69"/>
      <c r="G32" s="69"/>
      <c r="H32" s="69"/>
      <c r="I32" s="69"/>
      <c r="J32" s="69"/>
      <c r="K32" s="69"/>
      <c r="L32" s="69"/>
    </row>
    <row r="33" spans="1:12" customFormat="1">
      <c r="A33" s="70"/>
      <c r="B33" s="70"/>
      <c r="C33" s="69"/>
      <c r="D33" s="69"/>
      <c r="E33" s="69"/>
      <c r="F33" s="69"/>
      <c r="G33" s="69"/>
      <c r="H33" s="69"/>
      <c r="I33" s="69"/>
      <c r="J33" s="69"/>
      <c r="K33" s="69"/>
      <c r="L33" s="69"/>
    </row>
    <row r="34" spans="1:12" customFormat="1">
      <c r="A34" s="70"/>
      <c r="B34" s="70"/>
      <c r="C34" s="69"/>
      <c r="D34" s="69"/>
      <c r="E34" s="69"/>
      <c r="F34" s="69"/>
      <c r="G34" s="69"/>
      <c r="H34" s="69"/>
      <c r="I34" s="69"/>
      <c r="J34" s="69"/>
      <c r="K34" s="69"/>
      <c r="L34" s="69"/>
    </row>
    <row r="35" spans="1:12" customFormat="1">
      <c r="A35" s="70"/>
      <c r="B35" s="70"/>
      <c r="C35" s="69"/>
      <c r="D35" s="69"/>
      <c r="E35" s="69"/>
      <c r="F35" s="69"/>
      <c r="G35" s="69"/>
      <c r="H35" s="69"/>
      <c r="I35" s="69"/>
      <c r="J35" s="69"/>
      <c r="K35" s="69"/>
      <c r="L35" s="69"/>
    </row>
    <row r="36" spans="1:12" customFormat="1">
      <c r="A36" s="70"/>
      <c r="B36" s="70"/>
      <c r="C36" s="69"/>
      <c r="D36" s="69"/>
      <c r="E36" s="69"/>
      <c r="F36" s="69"/>
      <c r="G36" s="69"/>
      <c r="H36" s="69"/>
      <c r="I36" s="69"/>
      <c r="J36" s="69"/>
      <c r="K36" s="69"/>
      <c r="L36" s="69"/>
    </row>
    <row r="37" spans="1:12" customFormat="1">
      <c r="A37" s="70"/>
      <c r="B37" s="70"/>
      <c r="C37" s="69"/>
      <c r="D37" s="69"/>
      <c r="E37" s="69"/>
      <c r="F37" s="69"/>
      <c r="G37" s="69"/>
      <c r="H37" s="69"/>
      <c r="I37" s="69"/>
      <c r="J37" s="69"/>
      <c r="K37" s="69"/>
      <c r="L37" s="69"/>
    </row>
    <row r="38" spans="1:12" customFormat="1">
      <c r="A38" s="70"/>
      <c r="B38" s="70"/>
      <c r="C38" s="69"/>
      <c r="D38" s="69"/>
      <c r="E38" s="69"/>
      <c r="F38" s="69"/>
      <c r="G38" s="69"/>
      <c r="H38" s="69"/>
      <c r="I38" s="69"/>
      <c r="J38" s="69"/>
      <c r="K38" s="69"/>
      <c r="L38" s="69"/>
    </row>
    <row r="39" spans="1:12" customFormat="1">
      <c r="A39" s="70"/>
      <c r="B39" s="70"/>
      <c r="C39" s="69"/>
      <c r="D39" s="69"/>
      <c r="E39" s="69"/>
      <c r="F39" s="69"/>
      <c r="G39" s="69"/>
      <c r="H39" s="69"/>
      <c r="I39" s="69"/>
      <c r="J39" s="69"/>
      <c r="K39" s="69"/>
      <c r="L39" s="69"/>
    </row>
    <row r="40" spans="1:12" customFormat="1">
      <c r="A40" s="70"/>
      <c r="B40" s="70"/>
      <c r="C40" s="69"/>
      <c r="D40" s="69"/>
      <c r="E40" s="69"/>
      <c r="F40" s="69"/>
      <c r="G40" s="69"/>
      <c r="H40" s="69"/>
      <c r="I40" s="69"/>
      <c r="J40" s="69"/>
      <c r="K40" s="69"/>
      <c r="L40" s="69"/>
    </row>
    <row r="41" spans="1:12" customFormat="1">
      <c r="A41" s="70"/>
      <c r="B41" s="70"/>
      <c r="C41" s="69"/>
      <c r="D41" s="69"/>
      <c r="E41" s="69"/>
      <c r="F41" s="69"/>
      <c r="G41" s="69"/>
      <c r="H41" s="69"/>
      <c r="I41" s="69"/>
      <c r="J41" s="69"/>
      <c r="K41" s="69"/>
      <c r="L41" s="69"/>
    </row>
    <row r="42" spans="1:12" customFormat="1">
      <c r="A42" s="70"/>
      <c r="B42" s="70"/>
      <c r="C42" s="69"/>
      <c r="D42" s="69"/>
      <c r="E42" s="69"/>
      <c r="F42" s="69"/>
      <c r="G42" s="69"/>
      <c r="H42" s="69"/>
      <c r="I42" s="23"/>
      <c r="J42" s="23"/>
      <c r="K42" s="23"/>
      <c r="L42" s="23"/>
    </row>
    <row r="43" spans="1:12" customFormat="1">
      <c r="A43" s="70"/>
      <c r="B43" s="70"/>
      <c r="C43" s="69"/>
      <c r="D43" s="69"/>
      <c r="E43" s="69"/>
      <c r="F43" s="69"/>
      <c r="G43" s="69"/>
      <c r="H43" s="69"/>
      <c r="I43" s="23"/>
      <c r="J43" s="23"/>
      <c r="K43" s="23"/>
      <c r="L43" s="23"/>
    </row>
    <row r="44" spans="1:12" customFormat="1">
      <c r="A44" s="70"/>
      <c r="B44" s="70"/>
      <c r="C44" s="69"/>
      <c r="D44" s="69"/>
      <c r="E44" s="69"/>
      <c r="F44" s="69"/>
      <c r="G44" s="69"/>
      <c r="H44" s="69"/>
      <c r="I44" s="23"/>
      <c r="J44" s="23"/>
      <c r="K44" s="23"/>
      <c r="L44" s="23"/>
    </row>
    <row r="45" spans="1:12">
      <c r="A45" s="70"/>
      <c r="B45" s="70"/>
      <c r="C45" s="69"/>
      <c r="D45" s="69"/>
      <c r="E45" s="69"/>
      <c r="F45" s="69"/>
      <c r="G45" s="69"/>
      <c r="H45" s="69"/>
      <c r="I45" s="56"/>
      <c r="J45" s="56"/>
      <c r="K45" s="56"/>
      <c r="L45" s="56"/>
    </row>
    <row r="46" spans="1:12">
      <c r="A46" s="70"/>
      <c r="B46" s="70"/>
      <c r="C46" s="69"/>
      <c r="D46" s="69"/>
      <c r="E46" s="69"/>
      <c r="F46" s="69"/>
      <c r="G46" s="69"/>
      <c r="H46" s="69"/>
      <c r="I46" s="56"/>
      <c r="J46" s="56"/>
      <c r="K46" s="56"/>
      <c r="L46" s="56"/>
    </row>
    <row r="47" spans="1:12">
      <c r="A47"/>
      <c r="B47"/>
      <c r="C47" s="23"/>
      <c r="D47" s="23"/>
      <c r="E47" s="23"/>
      <c r="F47" s="23"/>
      <c r="G47" s="23"/>
      <c r="H47" s="23"/>
      <c r="I47" s="56"/>
      <c r="J47" s="56"/>
      <c r="K47" s="56"/>
      <c r="L47" s="56"/>
    </row>
    <row r="48" spans="1:12">
      <c r="A48"/>
      <c r="B48"/>
      <c r="C48" s="23"/>
      <c r="D48" s="23"/>
      <c r="E48" s="23"/>
      <c r="F48" s="23"/>
      <c r="G48" s="23"/>
      <c r="H48" s="23"/>
      <c r="I48" s="56"/>
      <c r="J48" s="56"/>
      <c r="K48" s="56"/>
      <c r="L48" s="56"/>
    </row>
    <row r="49" spans="1:12">
      <c r="A49"/>
      <c r="B49"/>
      <c r="C49" s="23"/>
      <c r="D49" s="23"/>
      <c r="E49" s="23"/>
      <c r="F49" s="23"/>
      <c r="G49" s="23"/>
      <c r="H49" s="23"/>
      <c r="I49" s="56"/>
      <c r="J49" s="56"/>
      <c r="K49" s="56"/>
      <c r="L49" s="56"/>
    </row>
    <row r="50" spans="1:12">
      <c r="C50" s="56"/>
      <c r="D50" s="56"/>
      <c r="E50" s="56"/>
      <c r="F50" s="56"/>
      <c r="G50" s="56"/>
      <c r="H50" s="56"/>
    </row>
    <row r="51" spans="1:12">
      <c r="C51" s="56"/>
      <c r="D51" s="56"/>
      <c r="E51" s="56"/>
      <c r="F51" s="56"/>
      <c r="G51" s="56"/>
      <c r="H51" s="56"/>
    </row>
    <row r="52" spans="1:12">
      <c r="C52" s="56"/>
      <c r="D52" s="56"/>
      <c r="E52" s="56"/>
      <c r="F52" s="56"/>
      <c r="G52" s="56"/>
      <c r="H52" s="56"/>
    </row>
    <row r="53" spans="1:12">
      <c r="C53" s="56"/>
      <c r="D53" s="56"/>
      <c r="E53" s="56"/>
      <c r="F53" s="56"/>
      <c r="G53" s="56"/>
      <c r="H53" s="56"/>
    </row>
    <row r="54" spans="1:12">
      <c r="C54" s="56"/>
      <c r="D54" s="56"/>
      <c r="E54" s="56"/>
      <c r="F54" s="56"/>
      <c r="G54" s="56"/>
      <c r="H54" s="56"/>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77"/>
    <col min="7" max="7" width="8.85546875" style="77" customWidth="1"/>
    <col min="8" max="16384" width="11.42578125" style="77"/>
  </cols>
  <sheetData/>
  <pageMargins left="0.7" right="0.7" top="0.75" bottom="0.75" header="0.3" footer="0.3"/>
  <pageSetup scale="91"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P24" sqref="P24"/>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6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Normal="100" zoomScaleSheetLayoutView="100" workbookViewId="0"/>
  </sheetViews>
  <sheetFormatPr baseColWidth="10" defaultColWidth="11.42578125" defaultRowHeight="15"/>
  <cols>
    <col min="1" max="6" width="11.42578125" style="77"/>
    <col min="7" max="7" width="9.42578125" style="77" customWidth="1"/>
    <col min="8" max="16384" width="11.42578125" style="77"/>
  </cols>
  <sheetData>
    <row r="42" spans="14:14">
      <c r="N42" s="230"/>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0.xml>��< ? x m l   v e r s i o n = " 1 . 0 "   e n c o d i n g = " U T F - 1 6 " ? > < G e m i n i   x m l n s = " h t t p : / / g e m i n i / p i v o t c u s t o m i z a t i o n / T a b l e O r d e r " > < C u s t o m C o n t e n t > < ! [ C D A T A [ R a n g o - f 3 f e 5 9 b c - c 8 f 1 - 4 b e c - 8 0 e 6 - b 3 4 4 c 0 9 d 9 7 7 3 ] ] > < / C u s t o m C o n t e n t > < / G e m i n i > 
</file>

<file path=customXml/item11.xml>��< ? x m l   v e r s i o n = " 1 . 0 "   e n c o d i n g = " U T F - 1 6 " ? > < G e m i n i   x m l n s = " h t t p : / / g e m i n i / p i v o t c u s t o m i z a t i o n / I s S a n d b o x E m b e d d e d " > < C u s t o m C o n t e n t > < ! [ C D A T A [ y e s ] ] > < / C u s t o m C o n t e n t > < / G e m i n i > 
</file>

<file path=customXml/item12.xml>��< ? x m l   v e r s i o n = " 1 . 0 "   e n c o d i n g = " U T F - 1 6 " ? > < G e m i n i   x m l n s = " h t t p : / / g e m i n i / p i v o t c u s t o m i z a t i o n / S a n d b o x N o n E m p t y " > < C u s t o m C o n t e n t > < ! [ C D A T A [ 1 ] ] > < / C u s t o m C o n t e n t > < / G e m i n i > 
</file>

<file path=customXml/item13.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4.xml>��< ? x m l   v e r s i o n = " 1 . 0 "   e n c o d i n g = " U T F - 1 6 " ? > < G e m i n i   x m l n s = " h t t p : / / g e m i n i / p i v o t c u s t o m i z a t i o n / R e l a t i o n s h i p A u t o D e t e c t i o n E n a b l e d " > < C u s t o m C o n t e n t > < ! [ C D A T A [ T r u e ] ] > < / C u s t o m C o n t e n t > < / G e m i n i > 
</file>

<file path=customXml/item15.xml>��< ? x m l   v e r s i o n = " 1 . 0 "   e n c o d i n g = " U T F - 1 6 " ? > < G e m i n i   x m l n s = " h t t p : / / g e m i n i / p i v o t c u s t o m i z a t i o n / T a b l e C o u n t I n S a n d b o x " > < C u s t o m C o n t e n t > < ! [ C D A T A [ 1 ] ] > < / C u s t o m C o n t e n t > < / G e m i n i > 
</file>

<file path=customXml/item16.xml>��< ? x m l   v e r s i o n = " 1 . 0 "   e n c o d i n g = " U T F - 1 6 " ? > < G e m i n i   x m l n s = " h t t p : / / g e m i n i / p i v o t c u s t o m i z a t i o n / S h o w H i d d e n " > < C u s t o m C o n t e n t > < ! [ C D A T A [ T r u e ] ] > < / C u s t o m C o n t e n t > < / G e m i n i > 
</file>

<file path=customXml/item17.xml>��< ? x m l   v e r s i o n = " 1 . 0 "   e n c o d i n g = " U T F - 1 6 " ? > < G e m i n i   x m l n s = " h t t p : / / g e m i n i / p i v o t c u s t o m i z a t i o n / P o w e r P i v o t V e r s i o n " > < C u s t o m C o n t e n t > < ! [ C D A T A [ 2 0 1 1 . 1 1 0 . 2 8 3 0 . 7 7 ] ] > < / C u s t o m C o n t e n t > < / G e m i n i > 
</file>

<file path=customXml/item18.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2.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3.xml>��< ? x m l   v e r s i o n = " 1 . 0 "   e n c o d i n g = " U T F - 1 6 " ? > < G e m i n i   x m l n s = " h t t p : / / g e m i n i / p i v o t c u s t o m i z a t i o n / S h o w I m p l i c i t M e a s u r e s " > < C u s t o m C o n t e n t > < ! [ C D A T A [ F a l s e ] ] > < / C u s t o m C o n t e n t > < / G e m i n i > 
</file>

<file path=customXml/item4.xml>��< ? x m l   v e r s i o n = " 1 . 0 "   e n c o d i n g = " U T F - 1 6 " ? > < G e m i n i   x m l n s = " h t t p : / / g e m i n i / p i v o t c u s t o m i z a t i o n / C l i e n t W i n d o w X M L " > < C u s t o m C o n t e n t > < ! [ C D A T A [ R a n g o - f 3 f e 5 9 b c - c 8 f 1 - 4 b e c - 8 0 e 6 - b 3 4 4 c 0 9 d 9 7 7 3 ] ] > < / C u s t o m C o n t e n t > < / G e m i n i > 
</file>

<file path=customXml/item5.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6.xml>��< ? x m l   v e r s i o n = " 1 . 0 "   e n c o d i n g = " U T F - 1 6 " ? > < G e m i n i   x m l n s = " h t t p : / / g e m i n i / p i v o t c u s t o m i z a t i o n / L i n k e d T a b l e U p d a t e M o d e " > < C u s t o m C o n t e n t > < ! [ C D A T A [ T r u e ] ] > < / C u s t o m C o n t e n t > < / G e m i n i > 
</file>

<file path=customXml/item7.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FB1FD664-44D7-4790-BCC3-2C16D4990189}">
  <ds:schemaRefs/>
</ds:datastoreItem>
</file>

<file path=customXml/itemProps10.xml><?xml version="1.0" encoding="utf-8"?>
<ds:datastoreItem xmlns:ds="http://schemas.openxmlformats.org/officeDocument/2006/customXml" ds:itemID="{1734236D-193E-4861-B7AE-9E1751475E34}">
  <ds:schemaRefs/>
</ds:datastoreItem>
</file>

<file path=customXml/itemProps11.xml><?xml version="1.0" encoding="utf-8"?>
<ds:datastoreItem xmlns:ds="http://schemas.openxmlformats.org/officeDocument/2006/customXml" ds:itemID="{DECED210-9A65-4B7D-AF2B-70F65F770102}">
  <ds:schemaRefs/>
</ds:datastoreItem>
</file>

<file path=customXml/itemProps12.xml><?xml version="1.0" encoding="utf-8"?>
<ds:datastoreItem xmlns:ds="http://schemas.openxmlformats.org/officeDocument/2006/customXml" ds:itemID="{85171729-2316-4411-A3A8-A8DF571FC41F}">
  <ds:schemaRefs/>
</ds:datastoreItem>
</file>

<file path=customXml/itemProps13.xml><?xml version="1.0" encoding="utf-8"?>
<ds:datastoreItem xmlns:ds="http://schemas.openxmlformats.org/officeDocument/2006/customXml" ds:itemID="{5FBFF5F9-F5ED-4DB7-92B9-E5FE1316C996}">
  <ds:schemaRefs/>
</ds:datastoreItem>
</file>

<file path=customXml/itemProps14.xml><?xml version="1.0" encoding="utf-8"?>
<ds:datastoreItem xmlns:ds="http://schemas.openxmlformats.org/officeDocument/2006/customXml" ds:itemID="{F23FD6F4-679F-4C28-83BA-8BC2EABB5983}">
  <ds:schemaRefs/>
</ds:datastoreItem>
</file>

<file path=customXml/itemProps15.xml><?xml version="1.0" encoding="utf-8"?>
<ds:datastoreItem xmlns:ds="http://schemas.openxmlformats.org/officeDocument/2006/customXml" ds:itemID="{A3AC825E-7E9C-4C6C-BD57-2B0AC499A6A6}">
  <ds:schemaRefs/>
</ds:datastoreItem>
</file>

<file path=customXml/itemProps16.xml><?xml version="1.0" encoding="utf-8"?>
<ds:datastoreItem xmlns:ds="http://schemas.openxmlformats.org/officeDocument/2006/customXml" ds:itemID="{4A9E9C2F-2082-4906-A303-910BDA82BCD1}">
  <ds:schemaRefs/>
</ds:datastoreItem>
</file>

<file path=customXml/itemProps17.xml><?xml version="1.0" encoding="utf-8"?>
<ds:datastoreItem xmlns:ds="http://schemas.openxmlformats.org/officeDocument/2006/customXml" ds:itemID="{E37A5C9B-FC69-469E-A19B-65027A60E177}">
  <ds:schemaRefs/>
</ds:datastoreItem>
</file>

<file path=customXml/itemProps18.xml><?xml version="1.0" encoding="utf-8"?>
<ds:datastoreItem xmlns:ds="http://schemas.openxmlformats.org/officeDocument/2006/customXml" ds:itemID="{66F5A4A9-28DD-42B5-A74E-D3194527FB7C}">
  <ds:schemaRefs/>
</ds:datastoreItem>
</file>

<file path=customXml/itemProps2.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3.xml><?xml version="1.0" encoding="utf-8"?>
<ds:datastoreItem xmlns:ds="http://schemas.openxmlformats.org/officeDocument/2006/customXml" ds:itemID="{7082962A-3D58-4376-81E5-34D1EAEB3798}">
  <ds:schemaRefs/>
</ds:datastoreItem>
</file>

<file path=customXml/itemProps4.xml><?xml version="1.0" encoding="utf-8"?>
<ds:datastoreItem xmlns:ds="http://schemas.openxmlformats.org/officeDocument/2006/customXml" ds:itemID="{6D098F78-D094-405F-BA55-CAFE3CBEAD16}">
  <ds:schemaRefs/>
</ds:datastoreItem>
</file>

<file path=customXml/itemProps5.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6.xml><?xml version="1.0" encoding="utf-8"?>
<ds:datastoreItem xmlns:ds="http://schemas.openxmlformats.org/officeDocument/2006/customXml" ds:itemID="{9C2D8381-48DF-4E8F-B539-565B4AB74B8B}">
  <ds:schemaRefs/>
</ds:datastoreItem>
</file>

<file path=customXml/itemProps7.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8.xml><?xml version="1.0" encoding="utf-8"?>
<ds:datastoreItem xmlns:ds="http://schemas.openxmlformats.org/officeDocument/2006/customXml" ds:itemID="{0C57BE94-DFC2-4B97-ABBE-8EC224883C92}">
  <ds:schemaRefs/>
</ds:datastoreItem>
</file>

<file path=customXml/itemProps9.xml><?xml version="1.0" encoding="utf-8"?>
<ds:datastoreItem xmlns:ds="http://schemas.openxmlformats.org/officeDocument/2006/customXml" ds:itemID="{0920F2F1-6527-446B-9C6E-E71DAE4D352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159</vt:i4>
      </vt:variant>
      <vt:variant>
        <vt:lpstr>Rangos con nombre</vt:lpstr>
      </vt:variant>
      <vt:variant>
        <vt:i4>159</vt:i4>
      </vt:variant>
    </vt:vector>
  </HeadingPairs>
  <TitlesOfParts>
    <vt:vector size="31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II.6.Empl xsexoy edad</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III.3.7. Afil. SFS RS Vs pob.</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IV.2.6.INV_SFS x Entidad</vt:lpstr>
      <vt:lpstr>IV.2.7.INV_SFS x cuentas</vt:lpstr>
      <vt:lpstr>IV.2.8.Aport. GOB. y Pagos RS</vt:lpstr>
      <vt:lpstr>IV.2.9.Saldos RS mensual</vt:lpstr>
      <vt:lpstr>IV.2.10 Pagos.SFS Pens.</vt:lpstr>
      <vt:lpstr>IV.2.11.Pagos.SFS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'II.6.Empl xsexoy edad'!Área_de_impresión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'III.3.7. Afil. SFS RS Vs pob.'!Área_de_impresión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'IV.2.11.Pagos.SFS Pens.Mens.'!Área_de_impresión</vt:lpstr>
      <vt:lpstr>'IV.2.2. Pagos SFS A'!Área_de_impresión</vt:lpstr>
      <vt:lpstr>'IV.2.3.Pagos_SFS M'!Área_de_impresión</vt:lpstr>
      <vt:lpstr>'IV.2.4.Pagos x ARS'!Área_de_impresión</vt:lpstr>
      <vt:lpstr>'IV.2.5.Pagos x ARS'!Área_de_impresión</vt:lpstr>
      <vt:lpstr>'IV.2.6.INV_SFS x Entidad'!Área_de_impresión</vt:lpstr>
      <vt:lpstr>'IV.2.7.INV_SFS x cuentas'!Área_de_impresión</vt:lpstr>
      <vt:lpstr>'IV.2.8.Aport. GOB. y Pagos RS'!Área_de_impresión</vt:lpstr>
      <vt:lpstr>'IV.2.9.Saldos RS mensual'!Área_de_impresión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2016-06-30T15:54:57Z</cp:lastPrinted>
  <dcterms:created xsi:type="dcterms:W3CDTF">2010-04-06T13:07:55Z</dcterms:created>
  <dcterms:modified xsi:type="dcterms:W3CDTF">2016-06-30T15:59:26Z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