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xml"/>
  <Override PartName="/xl/charts/chart11.xml" ContentType="application/vnd.openxmlformats-officedocument.drawingml.chart+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xml"/>
  <Override PartName="/xl/charts/chart13.xml" ContentType="application/vnd.openxmlformats-officedocument.drawingml.chart+xml"/>
  <Override PartName="/xl/drawings/drawing33.xml" ContentType="application/vnd.openxmlformats-officedocument.drawing+xml"/>
  <Override PartName="/xl/charts/chart1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5.xml" ContentType="application/vnd.openxmlformats-officedocument.drawingml.chart+xml"/>
  <Override PartName="/xl/drawings/drawing37.xml" ContentType="application/vnd.openxmlformats-officedocument.drawing+xml"/>
  <Override PartName="/xl/charts/chart16.xml" ContentType="application/vnd.openxmlformats-officedocument.drawingml.chart+xml"/>
  <Override PartName="/xl/drawings/drawing38.xml" ContentType="application/vnd.openxmlformats-officedocument.drawing+xml"/>
  <Override PartName="/xl/charts/chart17.xml" ContentType="application/vnd.openxmlformats-officedocument.drawingml.chart+xml"/>
  <Override PartName="/xl/drawings/drawing39.xml" ContentType="application/vnd.openxmlformats-officedocument.drawing+xml"/>
  <Override PartName="/xl/charts/chart18.xml" ContentType="application/vnd.openxmlformats-officedocument.drawingml.chart+xml"/>
  <Override PartName="/xl/drawings/drawing40.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charts/chart20.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21.xml" ContentType="application/vnd.openxmlformats-officedocument.drawingml.chart+xml"/>
  <Override PartName="/xl/drawings/drawing45.xml" ContentType="application/vnd.openxmlformats-officedocument.drawing+xml"/>
  <Override PartName="/xl/charts/chart22.xml" ContentType="application/vnd.openxmlformats-officedocument.drawingml.chart+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4.xml" ContentType="application/vnd.openxmlformats-officedocument.drawingml.chart+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drawings/drawing59.xml" ContentType="application/vnd.openxmlformats-officedocument.drawing+xml"/>
  <Override PartName="/xl/charts/chart31.xml" ContentType="application/vnd.openxmlformats-officedocument.drawingml.chart+xml"/>
  <Override PartName="/xl/drawings/drawing60.xml" ContentType="application/vnd.openxmlformats-officedocument.drawing+xml"/>
  <Override PartName="/xl/charts/chart3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charts/chart38.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2.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43.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4.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5.xml" ContentType="application/vnd.openxmlformats-officedocument.drawingml.chart+xml"/>
  <Override PartName="/xl/drawings/drawing86.xml" ContentType="application/vnd.openxmlformats-officedocument.drawing+xml"/>
  <Override PartName="/xl/charts/chart46.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47.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omments3.xml" ContentType="application/vnd.openxmlformats-officedocument.spreadsheetml.comments+xml"/>
  <Override PartName="/xl/charts/chart48.xml" ContentType="application/vnd.openxmlformats-officedocument.drawingml.chart+xml"/>
  <Override PartName="/xl/drawings/drawing91.xml" ContentType="application/vnd.openxmlformats-officedocument.drawing+xml"/>
  <Override PartName="/xl/charts/chart4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5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6.xml" ContentType="application/vnd.openxmlformats-officedocument.drawing+xml"/>
  <Override PartName="/xl/charts/chart52.xml" ContentType="application/vnd.openxmlformats-officedocument.drawingml.chart+xml"/>
  <Override PartName="/xl/drawings/drawing97.xml" ContentType="application/vnd.openxmlformats-officedocument.drawing+xml"/>
  <Override PartName="/xl/charts/chart5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2.xml" ContentType="application/vnd.openxmlformats-officedocument.drawing+xml"/>
  <Override PartName="/xl/charts/chart5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charts/chart5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omments4.xml" ContentType="application/vnd.openxmlformats-officedocument.spreadsheetml.comments+xml"/>
  <Override PartName="/xl/charts/chart5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9.xml" ContentType="application/vnd.openxmlformats-officedocument.drawing+xml"/>
  <Override PartName="/xl/charts/chart6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6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6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6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6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omments5.xml" ContentType="application/vnd.openxmlformats-officedocument.spreadsheetml.comments+xml"/>
  <Override PartName="/xl/charts/chart65.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6.xml" ContentType="application/vnd.openxmlformats-officedocument.spreadsheetml.comments+xml"/>
  <Override PartName="/xl/charts/chart66.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harts/chart67.xml" ContentType="application/vnd.openxmlformats-officedocument.drawingml.chart+xml"/>
  <Override PartName="/xl/drawings/drawing129.xml" ContentType="application/vnd.openxmlformats-officedocument.drawing+xml"/>
  <Override PartName="/xl/comments7.xml" ContentType="application/vnd.openxmlformats-officedocument.spreadsheetml.comments+xml"/>
  <Override PartName="/xl/charts/chart68.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harts/chart69.xml" ContentType="application/vnd.openxmlformats-officedocument.drawingml.chart+xml"/>
  <Override PartName="/xl/drawings/drawing134.xml" ContentType="application/vnd.openxmlformats-officedocument.drawing+xml"/>
  <Override PartName="/xl/charts/chart70.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harts/chart71.xml" ContentType="application/vnd.openxmlformats-officedocument.drawingml.chart+xml"/>
  <Override PartName="/xl/drawings/drawing139.xml" ContentType="application/vnd.openxmlformats-officedocument.drawing+xml"/>
  <Override PartName="/xl/charts/chart72.xml" ContentType="application/vnd.openxmlformats-officedocument.drawingml.chart+xml"/>
  <Override PartName="/xl/drawings/drawing140.xml" ContentType="application/vnd.openxmlformats-officedocument.drawing+xml"/>
  <Override PartName="/xl/charts/chart73.xml" ContentType="application/vnd.openxmlformats-officedocument.drawingml.chart+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charts/chart74.xml" ContentType="application/vnd.openxmlformats-officedocument.drawingml.chart+xml"/>
  <Override PartName="/xl/drawings/drawing144.xml" ContentType="application/vnd.openxmlformats-officedocument.drawing+xml"/>
  <Override PartName="/xl/charts/chart75.xml" ContentType="application/vnd.openxmlformats-officedocument.drawingml.chart+xml"/>
  <Override PartName="/xl/drawings/drawing145.xml" ContentType="application/vnd.openxmlformats-officedocument.drawing+xml"/>
  <Override PartName="/xl/charts/chart76.xml" ContentType="application/vnd.openxmlformats-officedocument.drawingml.chart+xml"/>
  <Override PartName="/xl/drawings/drawing146.xml" ContentType="application/vnd.openxmlformats-officedocument.drawing+xml"/>
  <Override PartName="/xl/charts/chart77.xml" ContentType="application/vnd.openxmlformats-officedocument.drawingml.chart+xml"/>
  <Override PartName="/xl/drawings/drawing147.xml" ContentType="application/vnd.openxmlformats-officedocument.drawing+xml"/>
  <Override PartName="/xl/charts/chart78.xml" ContentType="application/vnd.openxmlformats-officedocument.drawingml.chart+xml"/>
  <Override PartName="/xl/drawings/drawing148.xml" ContentType="application/vnd.openxmlformats-officedocument.drawing+xml"/>
  <Override PartName="/xl/charts/chart79.xml" ContentType="application/vnd.openxmlformats-officedocument.drawingml.chart+xml"/>
  <Override PartName="/xl/drawings/drawing149.xml" ContentType="application/vnd.openxmlformats-officedocument.drawing+xml"/>
  <Override PartName="/xl/charts/chart80.xml" ContentType="application/vnd.openxmlformats-officedocument.drawingml.chart+xml"/>
  <Override PartName="/xl/drawings/drawing150.xml" ContentType="application/vnd.openxmlformats-officedocument.drawing+xml"/>
  <Override PartName="/xl/charts/chart81.xml" ContentType="application/vnd.openxmlformats-officedocument.drawingml.chart+xml"/>
  <Override PartName="/xl/drawings/drawing151.xml" ContentType="application/vnd.openxmlformats-officedocument.drawing+xml"/>
  <Override PartName="/xl/charts/chart82.xml" ContentType="application/vnd.openxmlformats-officedocument.drawingml.chart+xml"/>
  <Override PartName="/xl/drawings/drawing152.xml" ContentType="application/vnd.openxmlformats-officedocument.drawing+xml"/>
  <Override PartName="/xl/charts/chart83.xml" ContentType="application/vnd.openxmlformats-officedocument.drawingml.chart+xml"/>
  <Override PartName="/xl/drawings/drawing153.xml" ContentType="application/vnd.openxmlformats-officedocument.drawing+xml"/>
  <Override PartName="/xl/charts/chart84.xml" ContentType="application/vnd.openxmlformats-officedocument.drawingml.chart+xml"/>
  <Override PartName="/xl/drawings/drawing154.xml" ContentType="application/vnd.openxmlformats-officedocument.drawing+xml"/>
  <Override PartName="/xl/charts/chart85.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86.xml" ContentType="application/vnd.openxmlformats-officedocument.drawingml.chart+xml"/>
  <Override PartName="/xl/drawings/drawing157.xml" ContentType="application/vnd.openxmlformats-officedocument.drawing+xml"/>
  <Override PartName="/xl/charts/chart87.xml" ContentType="application/vnd.openxmlformats-officedocument.drawingml.chart+xml"/>
  <Override PartName="/xl/drawings/drawing158.xml" ContentType="application/vnd.openxmlformats-officedocument.drawing+xml"/>
  <Override PartName="/xl/charts/chart88.xml" ContentType="application/vnd.openxmlformats-officedocument.drawingml.chart+xml"/>
  <Override PartName="/xl/drawings/drawing159.xml" ContentType="application/vnd.openxmlformats-officedocument.drawing+xml"/>
  <Override PartName="/xl/charts/chart89.xml" ContentType="application/vnd.openxmlformats-officedocument.drawingml.chart+xml"/>
  <Override PartName="/xl/drawings/drawing160.xml" ContentType="application/vnd.openxmlformats-officedocument.drawing+xml"/>
  <Override PartName="/xl/charts/chart90.xml" ContentType="application/vnd.openxmlformats-officedocument.drawingml.chart+xml"/>
  <Override PartName="/xl/drawings/drawing161.xml" ContentType="application/vnd.openxmlformats-officedocument.drawing+xml"/>
  <Override PartName="/xl/charts/chart91.xml" ContentType="application/vnd.openxmlformats-officedocument.drawingml.chart+xml"/>
  <Override PartName="/xl/drawings/drawing162.xml" ContentType="application/vnd.openxmlformats-officedocument.drawing+xml"/>
  <Override PartName="/xl/charts/chart92.xml" ContentType="application/vnd.openxmlformats-officedocument.drawingml.chart+xml"/>
  <Override PartName="/xl/drawings/drawing163.xml" ContentType="application/vnd.openxmlformats-officedocument.drawing+xml"/>
  <Override PartName="/xl/charts/chart93.xml" ContentType="application/vnd.openxmlformats-officedocument.drawingml.chart+xml"/>
  <Override PartName="/xl/drawings/drawing164.xml" ContentType="application/vnd.openxmlformats-officedocument.drawing+xml"/>
  <Override PartName="/xl/charts/chart94.xml" ContentType="application/vnd.openxmlformats-officedocument.drawingml.chart+xml"/>
  <Override PartName="/xl/drawings/drawing165.xml" ContentType="application/vnd.openxmlformats-officedocument.drawing+xml"/>
  <Override PartName="/xl/charts/chart95.xml" ContentType="application/vnd.openxmlformats-officedocument.drawingml.chart+xml"/>
  <Override PartName="/xl/drawings/drawing166.xml" ContentType="application/vnd.openxmlformats-officedocument.drawing+xml"/>
  <Override PartName="/xl/charts/chart96.xml" ContentType="application/vnd.openxmlformats-officedocument.drawingml.chart+xml"/>
  <Override PartName="/xl/drawings/drawing167.xml" ContentType="application/vnd.openxmlformats-officedocument.drawing+xml"/>
  <Override PartName="/xl/charts/chart97.xml" ContentType="application/vnd.openxmlformats-officedocument.drawingml.chart+xml"/>
  <Override PartName="/xl/drawings/drawing168.xml" ContentType="application/vnd.openxmlformats-officedocument.drawing+xml"/>
  <Override PartName="/xl/charts/chart98.xml" ContentType="application/vnd.openxmlformats-officedocument.drawingml.char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99.xml" ContentType="application/vnd.openxmlformats-officedocument.drawingml.chart+xml"/>
  <Override PartName="/xl/drawings/drawing172.xml" ContentType="application/vnd.openxmlformats-officedocument.drawing+xml"/>
  <Override PartName="/xl/charts/chart100.xml" ContentType="application/vnd.openxmlformats-officedocument.drawingml.chart+xml"/>
  <Override PartName="/xl/drawings/drawing173.xml" ContentType="application/vnd.openxmlformats-officedocument.drawing+xml"/>
  <Override PartName="/xl/drawings/drawing174.xml" ContentType="application/vnd.openxmlformats-officedocument.drawing+xml"/>
  <Override PartName="/xl/charts/chart10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10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drawings/drawing179.xml" ContentType="application/vnd.openxmlformats-officedocument.drawing+xml"/>
  <Override PartName="/xl/charts/chart103.xml" ContentType="application/vnd.openxmlformats-officedocument.drawingml.chart+xml"/>
  <Override PartName="/xl/drawings/drawing180.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181.xml" ContentType="application/vnd.openxmlformats-officedocument.drawing+xml"/>
  <Override PartName="/xl/charts/chart106.xml" ContentType="application/vnd.openxmlformats-officedocument.drawingml.chart+xml"/>
  <Override PartName="/xl/drawings/drawing182.xml" ContentType="application/vnd.openxmlformats-officedocument.drawingml.chartshapes+xml"/>
  <Override PartName="/xl/charts/chart107.xml" ContentType="application/vnd.openxmlformats-officedocument.drawingml.chart+xml"/>
  <Override PartName="/xl/charts/chart108.xml" ContentType="application/vnd.openxmlformats-officedocument.drawingml.chart+xml"/>
  <Override PartName="/xl/drawings/drawing183.xml" ContentType="application/vnd.openxmlformats-officedocument.drawing+xml"/>
  <Override PartName="/xl/charts/chart109.xml" ContentType="application/vnd.openxmlformats-officedocument.drawingml.chart+xml"/>
  <Override PartName="/xl/drawings/drawing184.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185.xml" ContentType="application/vnd.openxmlformats-officedocument.drawing+xml"/>
  <Override PartName="/xl/drawings/drawing18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1.Enero 2015\"/>
    </mc:Choice>
  </mc:AlternateContent>
  <bookViews>
    <workbookView xWindow="0" yWindow="0" windowWidth="19200" windowHeight="10995" tabRatio="786" firstSheet="77" activeTab="82"/>
  </bookViews>
  <sheets>
    <sheet name="Present. " sheetId="373" r:id="rId1"/>
    <sheet name="Contenido" sheetId="417" r:id="rId2"/>
    <sheet name="Ley 87-01 (2)" sheetId="372" r:id="rId3"/>
    <sheet name="Org. SDSS" sheetId="376" r:id="rId4"/>
    <sheet name="Reg. y Seg." sheetId="313" r:id="rId5"/>
    <sheet name="Seg. y Ben." sheetId="314" r:id="rId6"/>
    <sheet name="SDSS" sheetId="298" r:id="rId7"/>
    <sheet name="SDSS.Definición" sheetId="329" r:id="rId8"/>
    <sheet name="Analisis de Datos" sheetId="404" r:id="rId9"/>
    <sheet name="Empl x sector " sheetId="335" r:id="rId10"/>
    <sheet name="Empr x No. de empl" sheetId="336" r:id="rId11"/>
    <sheet name="Salario prom." sheetId="337" r:id="rId12"/>
    <sheet name="Empl xsexoy edad" sheetId="426" r:id="rId13"/>
    <sheet name="SFS" sheetId="327" r:id="rId14"/>
    <sheet name="Definición Afil. SFS1" sheetId="317" r:id="rId15"/>
    <sheet name="Definición de Afili. SFS2  " sheetId="330" r:id="rId16"/>
    <sheet name="Analisis" sheetId="405" r:id="rId17"/>
    <sheet name="Afil.SFSPob.Nac." sheetId="333" r:id="rId18"/>
    <sheet name="Afil. SFS" sheetId="287" r:id="rId19"/>
    <sheet name="Cob.Afil. SFS " sheetId="332" r:id="rId20"/>
    <sheet name="Afil. SFS x sexo" sheetId="427" r:id="rId21"/>
    <sheet name="Proy. afil.Vs pobl." sheetId="334" r:id="rId22"/>
    <sheet name="SFS.RC" sheetId="299" r:id="rId23"/>
    <sheet name="Afil. SFS.RC " sheetId="322" r:id="rId24"/>
    <sheet name="Afil. SFS RC Anual " sheetId="402" r:id="rId25"/>
    <sheet name=" Afil. SFS RC Mensual" sheetId="432" r:id="rId26"/>
    <sheet name="Cob.Afil. SFS RC Anual" sheetId="338" r:id="rId27"/>
    <sheet name=" Cob.Afil. SFS RC Mensual" sheetId="341" r:id="rId28"/>
    <sheet name="Afil. SFS RC X sexo x tipo" sheetId="434" r:id="rId29"/>
    <sheet name="SFS.RS" sheetId="294" r:id="rId30"/>
    <sheet name="Afil. SFS.RS1  " sheetId="323" r:id="rId31"/>
    <sheet name=" Afil anual SFS RS " sheetId="342" r:id="rId32"/>
    <sheet name=" Afil.mensual SFS RS " sheetId="433" r:id="rId33"/>
    <sheet name="Cob.Afil anual SFS RS" sheetId="431" r:id="rId34"/>
    <sheet name=" Cob.Afil.mensual SFS RS " sheetId="345" r:id="rId35"/>
    <sheet name="Afil. SFS RS X sexo x tipo " sheetId="435" r:id="rId36"/>
    <sheet name=" Afil. SFS RS Vs pob." sheetId="61" r:id="rId37"/>
    <sheet name="Afil.RET" sheetId="295" r:id="rId38"/>
    <sheet name="Afil.RET1" sheetId="324" r:id="rId39"/>
    <sheet name="Afil.RET.Anual." sheetId="325" r:id="rId40"/>
    <sheet name=" Afil. SFSP Mensual" sheetId="348" r:id="rId41"/>
    <sheet name=" Cob.Afil. SFSP Mensual" sheetId="349" r:id="rId42"/>
    <sheet name="SVDS" sheetId="297" r:id="rId43"/>
    <sheet name="Definición Afil. SVDS" sheetId="350" r:id="rId44"/>
    <sheet name="Analisis Afil. SVDS" sheetId="406" r:id="rId45"/>
    <sheet name="Afil. SVDS" sheetId="407" r:id="rId46"/>
    <sheet name="Afil. SVDS mensual" sheetId="375" r:id="rId47"/>
    <sheet name=" Afil. cotiz." sheetId="374" r:id="rId48"/>
    <sheet name=" Cotiz. x rango de edad" sheetId="272" r:id="rId49"/>
    <sheet name=" Cotiz x sal. min. cot." sheetId="273" r:id="rId50"/>
    <sheet name="Cotiz.x AFP y fondos" sheetId="274" r:id="rId51"/>
    <sheet name="PEA_Género" sheetId="379" r:id="rId52"/>
    <sheet name="Cot.Afil X Sexo" sheetId="380" r:id="rId53"/>
    <sheet name="Traspasos anual" sheetId="381" r:id="rId54"/>
    <sheet name=" Trasp. recibidos" sheetId="382" r:id="rId55"/>
    <sheet name=" Trasp. cedidos" sheetId="383" r:id="rId56"/>
    <sheet name="Trasp. netos " sheetId="384" r:id="rId57"/>
    <sheet name=" Afil. SVDSxprov." sheetId="446" r:id="rId58"/>
    <sheet name="SRL" sheetId="300" r:id="rId59"/>
    <sheet name="Definición Afil. SRL" sheetId="356" r:id="rId60"/>
    <sheet name="Afil. SRL.RC1 " sheetId="355" r:id="rId61"/>
    <sheet name=" Afil. SRL" sheetId="385" r:id="rId62"/>
    <sheet name="Afil. SRL x sexoy edad" sheetId="386" r:id="rId63"/>
    <sheet name="Afil. ARL x riesgo" sheetId="387" r:id="rId64"/>
    <sheet name="ID. Accidentabilidad" sheetId="389" r:id="rId65"/>
    <sheet name="ING._ EGR" sheetId="361" r:id="rId66"/>
    <sheet name="Defi. Ing.Gastos." sheetId="363" r:id="rId67"/>
    <sheet name="Definición " sheetId="371" r:id="rId68"/>
    <sheet name="Análisis Ing.Gastos" sheetId="408" r:id="rId69"/>
    <sheet name=" Ingr y egr SDSS" sheetId="390" r:id="rId70"/>
    <sheet name="Recaudo x sector" sheetId="400" r:id="rId71"/>
    <sheet name="Rec. x origen" sheetId="401" r:id="rId72"/>
    <sheet name="Aport.Gob.SS" sheetId="445" r:id="rId73"/>
    <sheet name="Analisis_Gastos" sheetId="441" r:id="rId74"/>
    <sheet name="Pagos SFS" sheetId="391" r:id="rId75"/>
    <sheet name="Pagos_SFS M" sheetId="54" r:id="rId76"/>
    <sheet name="Pagos x ARS 2" sheetId="121" r:id="rId77"/>
    <sheet name="Pagos x ARS" sheetId="55" r:id="rId78"/>
    <sheet name="INV_SFS x Entidad" sheetId="179" r:id="rId79"/>
    <sheet name="INV_SFS x cuentas" sheetId="177" r:id="rId80"/>
    <sheet name="Aport. GOB. y Pagos RS" sheetId="72" r:id="rId81"/>
    <sheet name=" Saldos RS mensual" sheetId="74" r:id="rId82"/>
    <sheet name="Pagos.SFS Pens." sheetId="447" r:id="rId83"/>
    <sheet name="Pagos.SFS Pens.Mens." sheetId="448" r:id="rId84"/>
    <sheet name="Análisis." sheetId="442" r:id="rId85"/>
    <sheet name="Pagos_ SVDS" sheetId="276" r:id="rId86"/>
    <sheet name="Pagos anuales x cuentas" sheetId="29" r:id="rId87"/>
    <sheet name=" Pago Entidades" sheetId="444" r:id="rId88"/>
    <sheet name="Patrim. fp anual" sheetId="283" r:id="rId89"/>
    <sheet name="Cartera de inv fp" sheetId="392" r:id="rId90"/>
    <sheet name="Comp. Cartera" sheetId="393" r:id="rId91"/>
    <sheet name="Rent. nom. de los FP" sheetId="394" r:id="rId92"/>
    <sheet name="Rentab.Real" sheetId="395" r:id="rId93"/>
    <sheet name="Anali.SRL" sheetId="443" r:id="rId94"/>
    <sheet name="Pagos  ARL A" sheetId="78" r:id="rId95"/>
    <sheet name="Pagos_ARL M" sheetId="79" r:id="rId96"/>
    <sheet name="BENEFICIOS" sheetId="362" r:id="rId97"/>
    <sheet name="SFS_EI" sheetId="296" r:id="rId98"/>
    <sheet name="Benef.EI1" sheetId="326" r:id="rId99"/>
    <sheet name="Analis-Benef" sheetId="411" r:id="rId100"/>
    <sheet name="Afil.EI" sheetId="425" r:id="rId101"/>
    <sheet name="Afil. a EI" sheetId="412" r:id="rId102"/>
    <sheet name="SUBSIDIO_SFS" sheetId="364" r:id="rId103"/>
    <sheet name="SUBSIDIO_SFS Def." sheetId="437" r:id="rId104"/>
    <sheet name="Análisis" sheetId="438" r:id="rId105"/>
    <sheet name="Benef. subsid" sheetId="397" r:id="rId106"/>
    <sheet name=" Monto subsid " sheetId="396" r:id="rId107"/>
    <sheet name="PENSIONES_SVDS" sheetId="365" r:id="rId108"/>
    <sheet name="Análisis pens." sheetId="440" r:id="rId109"/>
    <sheet name="Pensiones por año" sheetId="282" r:id="rId110"/>
    <sheet name="Pens.Disc. AFP" sheetId="308" r:id="rId111"/>
    <sheet name="Pensiones Sob.Disc" sheetId="307" r:id="rId112"/>
    <sheet name="SOLIC_BEN_ARL" sheetId="366" r:id="rId113"/>
    <sheet name="Anali.SRL." sheetId="415" r:id="rId114"/>
    <sheet name="NA. Reportes ARL" sheetId="215" r:id="rId115"/>
    <sheet name="NA.Cant. accid x región" sheetId="217" r:id="rId116"/>
    <sheet name=" NA.Cant. accid x Prov." sheetId="218" r:id="rId117"/>
    <sheet name=" NA.Cant. accid x Proced." sheetId="219" r:id="rId118"/>
    <sheet name="NA.Cant. accid x sector" sheetId="222" r:id="rId119"/>
    <sheet name="Accid x sexo" sheetId="224" r:id="rId120"/>
    <sheet name="Accid x rango de edad" sheetId="226" r:id="rId121"/>
    <sheet name="Accid x Escolaridad" sheetId="228" r:id="rId122"/>
    <sheet name=" Accid x sector " sheetId="223" r:id="rId123"/>
    <sheet name="Accid x sexo." sheetId="225" r:id="rId124"/>
    <sheet name="Accid x edad" sheetId="227" r:id="rId125"/>
    <sheet name=" EC. Accid. Lab" sheetId="230" r:id="rId126"/>
    <sheet name="EC. Accid. Lab." sheetId="229" r:id="rId127"/>
    <sheet name="EC. Accid. Lab x tipo" sheetId="231" r:id="rId128"/>
    <sheet name="EC. Accid. Lab x Lesión" sheetId="232" r:id="rId129"/>
    <sheet name="Accid.Lab suceso" sheetId="233" r:id="rId130"/>
    <sheet name="EC. x Agente daño" sheetId="235" r:id="rId131"/>
    <sheet name="EC. x  lugar de accid." sheetId="236" r:id="rId132"/>
    <sheet name="EC. Accid incapac." sheetId="238" r:id="rId133"/>
    <sheet name=" EC. Enferm. Prof (R)" sheetId="239" r:id="rId134"/>
    <sheet name="EC. Accid Lab." sheetId="240" r:id="rId135"/>
    <sheet name="Accid. Aprobxtipo" sheetId="214" r:id="rId136"/>
    <sheet name=" Accid. Aprob xLesión " sheetId="241" r:id="rId137"/>
    <sheet name="Accid.Aprob Según suc." sheetId="242" r:id="rId138"/>
    <sheet name="Por Entidad Receptora Origen" sheetId="424" r:id="rId139"/>
    <sheet name="CMNR" sheetId="301" r:id="rId140"/>
    <sheet name="Analisis CMNR" sheetId="420" r:id="rId141"/>
    <sheet name="Status" sheetId="422" r:id="rId142"/>
    <sheet name="Apelaciones1" sheetId="423" r:id="rId143"/>
    <sheet name="ENFT_BC" sheetId="368" r:id="rId144"/>
    <sheet name="Ocup. formal " sheetId="398" r:id="rId145"/>
    <sheet name=" Pob. econ. " sheetId="399" r:id="rId146"/>
    <sheet name=" SDSS Definiciones (1)" sheetId="245" r:id="rId147"/>
    <sheet name=" SDSS Definiciones (2)" sheetId="246" r:id="rId148"/>
    <sheet name=" SDSS Definiciones (3)" sheetId="247" r:id="rId149"/>
    <sheet name=" SDSS Definiciones (4)" sheetId="248" r:id="rId150"/>
    <sheet name="Logros 1" sheetId="316" r:id="rId151"/>
    <sheet name="Logros2" sheetId="315" r:id="rId152"/>
  </sheets>
  <externalReferences>
    <externalReference r:id="rId153"/>
    <externalReference r:id="rId154"/>
    <externalReference r:id="rId155"/>
    <externalReference r:id="rId156"/>
  </externalReferences>
  <definedNames>
    <definedName name="_xlnm._FilterDatabase" localSheetId="28" hidden="1">'Afil. SFS RC X sexo x tipo'!$A$3:$G$36</definedName>
    <definedName name="_xlnm._FilterDatabase" localSheetId="35" hidden="1">'Afil. SFS RS X sexo x tipo '!$A$3:$F$36</definedName>
    <definedName name="_xlnm._FilterDatabase" localSheetId="76" hidden="1">'Pagos x ARS 2'!$A$3:$K$58</definedName>
    <definedName name="_Toc257211943" localSheetId="145">' Pob. econ. '!#REF!</definedName>
    <definedName name="_xlcn.WorksheetConnection_Afil.SVDSxprov.A3F60" hidden="1">' Afil. SVDSxprov.'!$A$3:$F$60</definedName>
    <definedName name="Afil" localSheetId="28">'[1]7.7.6'!#REF!</definedName>
    <definedName name="Afil" localSheetId="35">'[1]7.7.6'!#REF!</definedName>
    <definedName name="Afil" localSheetId="20">'[1]7.7.6'!#REF!</definedName>
    <definedName name="Afil" localSheetId="16">'[1]7.7.6'!#REF!</definedName>
    <definedName name="Afil" localSheetId="44">'[1]7.7.6'!#REF!</definedName>
    <definedName name="Afil" localSheetId="8">'[1]7.7.6'!#REF!</definedName>
    <definedName name="Afil" localSheetId="68">'[1]7.7.6'!#REF!</definedName>
    <definedName name="Afil" localSheetId="67">'[1]7.7.6'!#REF!</definedName>
    <definedName name="Afil" localSheetId="12">'[1]7.7.6'!#REF!</definedName>
    <definedName name="Afil" localSheetId="143">'[1]7.7.6'!#REF!</definedName>
    <definedName name="Afil" localSheetId="2">'[1]7.7.6'!#REF!</definedName>
    <definedName name="Afil" localSheetId="83">'[1]7.7.6'!#REF!</definedName>
    <definedName name="Afil" localSheetId="103">'[1]7.7.6'!#REF!</definedName>
    <definedName name="Afil">'[1]7.7.6'!#REF!</definedName>
    <definedName name="Afiliacion2" localSheetId="83">'[1]7.7.6'!#REF!</definedName>
    <definedName name="Afiliacion2" localSheetId="103">'[1]7.7.6'!#REF!</definedName>
    <definedName name="Afiliacion2">'[1]7.7.6'!#REF!</definedName>
    <definedName name="Analisis" localSheetId="28">'[1]7.7.6'!#REF!</definedName>
    <definedName name="Analisis" localSheetId="35">'[1]7.7.6'!#REF!</definedName>
    <definedName name="Analisis" localSheetId="20">'[1]7.7.6'!#REF!</definedName>
    <definedName name="Analisis" localSheetId="68">'[1]7.7.6'!#REF!</definedName>
    <definedName name="Analisis" localSheetId="12">'[1]7.7.6'!#REF!</definedName>
    <definedName name="Analisis" localSheetId="83">'[1]7.7.6'!#REF!</definedName>
    <definedName name="Analisis" localSheetId="103">'[1]7.7.6'!#REF!</definedName>
    <definedName name="Analisis">'[1]7.7.6'!#REF!</definedName>
    <definedName name="_xlnm.Print_Area" localSheetId="122">' Accid x sector '!$A$1:$L$46</definedName>
    <definedName name="_xlnm.Print_Area" localSheetId="136">' Accid. Aprob xLesión '!$A$1:$L$44</definedName>
    <definedName name="_xlnm.Print_Area" localSheetId="31">' Afil anual SFS RS '!$A$1:$N$49</definedName>
    <definedName name="_xlnm.Print_Area" localSheetId="47">' Afil. cotiz.'!$A$1:$O$56</definedName>
    <definedName name="_xlnm.Print_Area" localSheetId="25">' Afil. SFS RC Mensual'!$A$1:$R$58</definedName>
    <definedName name="_xlnm.Print_Area" localSheetId="36">' Afil. SFS RS Vs pob.'!$A$1:$K$47</definedName>
    <definedName name="_xlnm.Print_Area" localSheetId="40">' Afil. SFSP Mensual'!$A$1:$L$69</definedName>
    <definedName name="_xlnm.Print_Area" localSheetId="61">' Afil. SRL'!$A$1:$Q$51</definedName>
    <definedName name="_xlnm.Print_Area" localSheetId="57">' Afil. SVDSxprov.'!$A$1:$K$64</definedName>
    <definedName name="_xlnm.Print_Area" localSheetId="32">' Afil.mensual SFS RS '!$A$1:$N$61</definedName>
    <definedName name="_xlnm.Print_Area" localSheetId="27">' Cob.Afil. SFS RC Mensual'!$A$1:$R$65</definedName>
    <definedName name="_xlnm.Print_Area" localSheetId="41">' Cob.Afil. SFSP Mensual'!$A$1:$M$69</definedName>
    <definedName name="_xlnm.Print_Area" localSheetId="34">' Cob.Afil.mensual SFS RS '!$A$1:$N$70</definedName>
    <definedName name="_xlnm.Print_Area" localSheetId="49">' Cotiz x sal. min. cot.'!$A$1:$L$38</definedName>
    <definedName name="_xlnm.Print_Area" localSheetId="48">' Cotiz. x rango de edad'!$A$1:$L$36</definedName>
    <definedName name="_xlnm.Print_Area" localSheetId="125">' EC. Accid. Lab'!$A$1:$J$43</definedName>
    <definedName name="_xlnm.Print_Area" localSheetId="133">' EC. Enferm. Prof (R)'!$A$1:$L$44</definedName>
    <definedName name="_xlnm.Print_Area" localSheetId="69">' Ingr y egr SDSS'!$A$1:$N$79</definedName>
    <definedName name="_xlnm.Print_Area" localSheetId="106">' Monto subsid '!$A$1:$M$35</definedName>
    <definedName name="_xlnm.Print_Area" localSheetId="117">' NA.Cant. accid x Proced.'!$A$1:$L$46</definedName>
    <definedName name="_xlnm.Print_Area" localSheetId="116">' NA.Cant. accid x Prov.'!$A$1:$Q$62</definedName>
    <definedName name="_xlnm.Print_Area" localSheetId="87">' Pago Entidades'!$A$1:$L$64</definedName>
    <definedName name="_xlnm.Print_Area" localSheetId="145">' Pob. econ. '!$A$1:$L$51</definedName>
    <definedName name="_xlnm.Print_Area" localSheetId="81">' Saldos RS mensual'!$A$1:$L$52</definedName>
    <definedName name="_xlnm.Print_Area" localSheetId="146">' SDSS Definiciones (1)'!$A$1:$P$4</definedName>
    <definedName name="_xlnm.Print_Area" localSheetId="147">' SDSS Definiciones (2)'!$A$1:$P$4</definedName>
    <definedName name="_xlnm.Print_Area" localSheetId="148">' SDSS Definiciones (3)'!$A$1:$P$5</definedName>
    <definedName name="_xlnm.Print_Area" localSheetId="149">' SDSS Definiciones (4)'!$A$1:$P$4</definedName>
    <definedName name="_xlnm.Print_Area" localSheetId="55">' Trasp. cedidos'!$A$1:$Q$53</definedName>
    <definedName name="_xlnm.Print_Area" localSheetId="54">' Trasp. recibidos'!$A$1:$Q$53</definedName>
    <definedName name="_xlnm.Print_Area" localSheetId="124">'Accid x edad'!$A$1:$U$61</definedName>
    <definedName name="_xlnm.Print_Area" localSheetId="121">'Accid x Escolaridad'!$A$1:$M$51</definedName>
    <definedName name="_xlnm.Print_Area" localSheetId="120">'Accid x rango de edad'!$A$1:$N$60</definedName>
    <definedName name="_xlnm.Print_Area" localSheetId="119">'Accid x sexo'!$A$1:$J$44</definedName>
    <definedName name="_xlnm.Print_Area" localSheetId="123">'Accid x sexo.'!$A$1:$L$43</definedName>
    <definedName name="_xlnm.Print_Area" localSheetId="135">'Accid. Aprobxtipo'!$A$1:$M$44</definedName>
    <definedName name="_xlnm.Print_Area" localSheetId="137">'Accid.Aprob Según suc.'!$A$1:$N$44</definedName>
    <definedName name="_xlnm.Print_Area" localSheetId="129">'Accid.Lab suceso'!$A$1:$N$44</definedName>
    <definedName name="_xlnm.Print_Area" localSheetId="101">'Afil. a EI'!$A$1:$I$43</definedName>
    <definedName name="_xlnm.Print_Area" localSheetId="63">'Afil. ARL x riesgo'!$A$1:$N$76</definedName>
    <definedName name="_xlnm.Print_Area" localSheetId="18">'Afil. SFS'!$A$1:$Q$45</definedName>
    <definedName name="_xlnm.Print_Area" localSheetId="24">'Afil. SFS RC Anual '!$A$1:$R$43</definedName>
    <definedName name="_xlnm.Print_Area" localSheetId="28">'Afil. SFS RC X sexo x tipo'!$A$1:$R$61</definedName>
    <definedName name="_xlnm.Print_Area" localSheetId="35">'Afil. SFS RS X sexo x tipo '!$A$1:$P$61</definedName>
    <definedName name="_xlnm.Print_Area" localSheetId="20">'Afil. SFS x sexo'!$A$1:$P$45</definedName>
    <definedName name="_xlnm.Print_Area" localSheetId="23">'Afil. SFS.RC '!$A$1:$L$48</definedName>
    <definedName name="_xlnm.Print_Area" localSheetId="30">'Afil. SFS.RS1  '!$A$1:$M$46</definedName>
    <definedName name="_xlnm.Print_Area" localSheetId="62">'Afil. SRL x sexoy edad'!$A$1:$L$74</definedName>
    <definedName name="_xlnm.Print_Area" localSheetId="60">'Afil. SRL.RC1 '!$A$1:$J$29</definedName>
    <definedName name="_xlnm.Print_Area" localSheetId="45">'Afil. SVDS'!$A$1:$N$50</definedName>
    <definedName name="_xlnm.Print_Area" localSheetId="46">'Afil. SVDS mensual'!$A$1:$N$83</definedName>
    <definedName name="_xlnm.Print_Area" localSheetId="100">Afil.EI!$A$1:$N$95</definedName>
    <definedName name="_xlnm.Print_Area" localSheetId="37">Afil.RET!$A$1:$M$45</definedName>
    <definedName name="_xlnm.Print_Area" localSheetId="39">Afil.RET.Anual.!$A$1:$N$38</definedName>
    <definedName name="_xlnm.Print_Area" localSheetId="38">Afil.RET1!$A$1:$M$37</definedName>
    <definedName name="_xlnm.Print_Area" localSheetId="17">Afil.SFSPob.Nac.!$A$1:$M$48</definedName>
    <definedName name="_xlnm.Print_Area" localSheetId="93">Anali.SRL!$A$1:$J$30</definedName>
    <definedName name="_xlnm.Print_Area" localSheetId="113">Anali.SRL.!$A$1:$N$44</definedName>
    <definedName name="_xlnm.Print_Area" localSheetId="99">'Analis-Benef'!$A$1:$K$32</definedName>
    <definedName name="_xlnm.Print_Area" localSheetId="16">Analisis!$A$1:$M$37</definedName>
    <definedName name="_xlnm.Print_Area" localSheetId="104">Análisis!$A$1:$N$34</definedName>
    <definedName name="_xlnm.Print_Area" localSheetId="44">'Analisis Afil. SVDS'!$A$1:$M$43</definedName>
    <definedName name="_xlnm.Print_Area" localSheetId="140">'Analisis CMNR'!$A$1:$L$40</definedName>
    <definedName name="_xlnm.Print_Area" localSheetId="8">'Analisis de Datos'!$A$1:$M$38</definedName>
    <definedName name="_xlnm.Print_Area" localSheetId="68">'Análisis Ing.Gastos'!$A$1:$L$43</definedName>
    <definedName name="_xlnm.Print_Area" localSheetId="108">'Análisis pens.'!$A$1:$L$34</definedName>
    <definedName name="_xlnm.Print_Area" localSheetId="84">Análisis.!$A$1:$L$44</definedName>
    <definedName name="_xlnm.Print_Area" localSheetId="73">Analisis_Gastos!$A$1:$M$47</definedName>
    <definedName name="_xlnm.Print_Area" localSheetId="142">Apelaciones1!$A$1:$M$50</definedName>
    <definedName name="_xlnm.Print_Area" localSheetId="80">'Aport. GOB. y Pagos RS'!$A$1:$L$47</definedName>
    <definedName name="_xlnm.Print_Area" localSheetId="72">Aport.Gob.SS!$A$1:$I$44</definedName>
    <definedName name="_xlnm.Print_Area" localSheetId="105">'Benef. subsid'!$A$1:$L$37</definedName>
    <definedName name="_xlnm.Print_Area" localSheetId="98">Benef.EI1!$A$1:$N$38</definedName>
    <definedName name="_xlnm.Print_Area" localSheetId="96">BENEFICIOS!$A$1:$L$34</definedName>
    <definedName name="_xlnm.Print_Area" localSheetId="89">'Cartera de inv fp'!$A$1:$H$47</definedName>
    <definedName name="_xlnm.Print_Area" localSheetId="139">CMNR!$A$1:$I$31</definedName>
    <definedName name="_xlnm.Print_Area" localSheetId="33">'Cob.Afil anual SFS RS'!$A$1:$N$46</definedName>
    <definedName name="_xlnm.Print_Area" localSheetId="19">'Cob.Afil. SFS '!$A$1:$Q$45</definedName>
    <definedName name="_xlnm.Print_Area" localSheetId="26">'Cob.Afil. SFS RC Anual'!$A$1:$R$40</definedName>
    <definedName name="_xlnm.Print_Area" localSheetId="90">'Comp. Cartera'!$A$1:$I$45</definedName>
    <definedName name="_xlnm.Print_Area" localSheetId="1">Contenido!$A$1:$A$241</definedName>
    <definedName name="_xlnm.Print_Area" localSheetId="52">'Cot.Afil X Sexo'!$A$1:$O$48</definedName>
    <definedName name="_xlnm.Print_Area" localSheetId="50">'Cotiz.x AFP y fondos'!$A$1:$L$46</definedName>
    <definedName name="_xlnm.Print_Area" localSheetId="66">'Defi. Ing.Gastos.'!$A$1:$N$53</definedName>
    <definedName name="_xlnm.Print_Area" localSheetId="67">'Definición '!$A$1:$N$49</definedName>
    <definedName name="_xlnm.Print_Area" localSheetId="14">'Definición Afil. SFS1'!$A$1:$M$43</definedName>
    <definedName name="_xlnm.Print_Area" localSheetId="59">'Definición Afil. SRL'!$A$1:$M$49</definedName>
    <definedName name="_xlnm.Print_Area" localSheetId="43">'Definición Afil. SVDS'!$A$1:$M$46</definedName>
    <definedName name="_xlnm.Print_Area" localSheetId="15">'Definición de Afili. SFS2  '!$A$1:$M$53</definedName>
    <definedName name="_xlnm.Print_Area" localSheetId="132">'EC. Accid incapac.'!$A$1:$N$44</definedName>
    <definedName name="_xlnm.Print_Area" localSheetId="134">'EC. Accid Lab.'!$A$1:$L$44</definedName>
    <definedName name="_xlnm.Print_Area" localSheetId="128">'EC. Accid. Lab x Lesión'!$A$1:$N$44</definedName>
    <definedName name="_xlnm.Print_Area" localSheetId="127">'EC. Accid. Lab x tipo'!$A$1:$L$46</definedName>
    <definedName name="_xlnm.Print_Area" localSheetId="126">'EC. Accid. Lab.'!$A$1:$L$44</definedName>
    <definedName name="_xlnm.Print_Area" localSheetId="131">'EC. x  lugar de accid.'!$A$1:$M$45</definedName>
    <definedName name="_xlnm.Print_Area" localSheetId="130">'EC. x Agente daño'!$A$1:$N$44</definedName>
    <definedName name="_xlnm.Print_Area" localSheetId="9">'Empl x sector '!$A$1:$N$37</definedName>
    <definedName name="_xlnm.Print_Area" localSheetId="12">'Empl xsexoy edad'!$A$1:$N$62</definedName>
    <definedName name="_xlnm.Print_Area" localSheetId="10">'Empr x No. de empl'!$A$1:$N$62</definedName>
    <definedName name="_xlnm.Print_Area" localSheetId="143">ENFT_BC!$A$1:$H$29</definedName>
    <definedName name="_xlnm.Print_Area" localSheetId="64">'ID. Accidentabilidad'!$A$1:$J$46</definedName>
    <definedName name="_xlnm.Print_Area" localSheetId="65">'ING._ EGR'!$A$1:$L$34</definedName>
    <definedName name="_xlnm.Print_Area" localSheetId="79">'INV_SFS x cuentas'!$A$1:$K$50</definedName>
    <definedName name="_xlnm.Print_Area" localSheetId="78">'INV_SFS x Entidad'!$A$1:$J$43</definedName>
    <definedName name="_xlnm.Print_Area" localSheetId="2">'Ley 87-01 (2)'!$A$1:$M$50</definedName>
    <definedName name="_xlnm.Print_Area" localSheetId="150">'Logros 1'!$A$1:$M$52</definedName>
    <definedName name="_xlnm.Print_Area" localSheetId="151">Logros2!$A$1:$L$42</definedName>
    <definedName name="_xlnm.Print_Area" localSheetId="114">'NA. Reportes ARL'!$A$1:$J$45</definedName>
    <definedName name="_xlnm.Print_Area" localSheetId="115">'NA.Cant. accid x región'!$A$1:$T$59</definedName>
    <definedName name="_xlnm.Print_Area" localSheetId="118">'NA.Cant. accid x sector'!$A$1:$L$46</definedName>
    <definedName name="_xlnm.Print_Area" localSheetId="144">'Ocup. formal '!$A$1:$P$46</definedName>
    <definedName name="_xlnm.Print_Area" localSheetId="3">'Org. SDSS'!$A$1:$M$64</definedName>
    <definedName name="_xlnm.Print_Area" localSheetId="94">'Pagos  ARL A'!$A$1:$L$45</definedName>
    <definedName name="_xlnm.Print_Area" localSheetId="86">'Pagos anuales x cuentas'!$A$1:$O$39</definedName>
    <definedName name="_xlnm.Print_Area" localSheetId="74">'Pagos SFS'!$A$1:$M$58</definedName>
    <definedName name="_xlnm.Print_Area" localSheetId="77">'Pagos x ARS'!$A$1:$L$54</definedName>
    <definedName name="_xlnm.Print_Area" localSheetId="76">'Pagos x ARS 2'!$A$1:$K$82</definedName>
    <definedName name="_xlnm.Print_Area" localSheetId="82">'Pagos.SFS Pens.'!$A$1:$J$43</definedName>
    <definedName name="_xlnm.Print_Area" localSheetId="83">'Pagos.SFS Pens.Mens.'!$A$1:$M$45</definedName>
    <definedName name="_xlnm.Print_Area" localSheetId="85">'Pagos_ SVDS'!$A$1:$L$58</definedName>
    <definedName name="_xlnm.Print_Area" localSheetId="95">'Pagos_ARL M'!$A$1:$L$47</definedName>
    <definedName name="_xlnm.Print_Area" localSheetId="75">'Pagos_SFS M'!$A$1:$K$49</definedName>
    <definedName name="_xlnm.Print_Area" localSheetId="88">'Patrim. fp anual'!$A$1:$L$33</definedName>
    <definedName name="_xlnm.Print_Area" localSheetId="51">PEA_Género!$A$1:$N$49</definedName>
    <definedName name="_xlnm.Print_Area" localSheetId="110">'Pens.Disc. AFP'!$A$1:$N$48</definedName>
    <definedName name="_xlnm.Print_Area" localSheetId="109">'Pensiones por año'!$A$1:$L$49</definedName>
    <definedName name="_xlnm.Print_Area" localSheetId="111">'Pensiones Sob.Disc'!$A$1:$I$34</definedName>
    <definedName name="_xlnm.Print_Area" localSheetId="107">PENSIONES_SVDS!$A$1:$N$38</definedName>
    <definedName name="_xlnm.Print_Area" localSheetId="138">'Por Entidad Receptora Origen'!$A$1:$K$37</definedName>
    <definedName name="_xlnm.Print_Area" localSheetId="0">'Present. '!$A$1:$R$138</definedName>
    <definedName name="_xlnm.Print_Area" localSheetId="21">'Proy. afil.Vs pobl.'!$A$1:$P$69</definedName>
    <definedName name="_xlnm.Print_Area" localSheetId="71">'Rec. x origen'!$A$1:$J$46</definedName>
    <definedName name="_xlnm.Print_Area" localSheetId="70">'Recaudo x sector'!$A$1:$I$41</definedName>
    <definedName name="_xlnm.Print_Area" localSheetId="4">'Reg. y Seg.'!$A$1:$R$57</definedName>
    <definedName name="_xlnm.Print_Area" localSheetId="91">'Rent. nom. de los FP'!$A$1:$S$91</definedName>
    <definedName name="_xlnm.Print_Area" localSheetId="92">Rentab.Real!$A$1:$Q$63</definedName>
    <definedName name="_xlnm.Print_Area" localSheetId="11">'Salario prom.'!$A$1:$N$76</definedName>
    <definedName name="_xlnm.Print_Area" localSheetId="6">SDSS!$A$1:$M$45</definedName>
    <definedName name="_xlnm.Print_Area" localSheetId="7">SDSS.Definición!$A$1:$N$46</definedName>
    <definedName name="_xlnm.Print_Area" localSheetId="5">'Seg. y Ben.'!$A$1:$M$45</definedName>
    <definedName name="_xlnm.Print_Area" localSheetId="13">SFS!$A$1:$M$45</definedName>
    <definedName name="_xlnm.Print_Area" localSheetId="22">SFS.RC!$A$1:$K$45</definedName>
    <definedName name="_xlnm.Print_Area" localSheetId="29">SFS.RS!$A$1:$M$39</definedName>
    <definedName name="_xlnm.Print_Area" localSheetId="97">SFS_EI!$A$1:$P$38</definedName>
    <definedName name="_xlnm.Print_Area" localSheetId="112">SOLIC_BEN_ARL!$A$1:$M$41</definedName>
    <definedName name="_xlnm.Print_Area" localSheetId="58">SRL!$A$1:$L$34</definedName>
    <definedName name="_xlnm.Print_Area" localSheetId="141">Status!$A$1:$L$38</definedName>
    <definedName name="_xlnm.Print_Area" localSheetId="102">SUBSIDIO_SFS!$A$1:$P$42</definedName>
    <definedName name="_xlnm.Print_Area" localSheetId="103">'SUBSIDIO_SFS Def.'!$A$1:$O$43</definedName>
    <definedName name="_xlnm.Print_Area" localSheetId="42">SVDS!$A$1:$P$53</definedName>
    <definedName name="_xlnm.Print_Area" localSheetId="56">'Trasp. netos '!$A$1:$S$51</definedName>
    <definedName name="_xlnm.Print_Area" localSheetId="53">'Traspasos anual'!$A$1:$Q$58</definedName>
    <definedName name="Área_de_impresión1">'[1]7.7.6'!$A$1:$AQ$58</definedName>
    <definedName name="Área_de_impresión2" localSheetId="25">'[1]7.7.6'!#REF!</definedName>
    <definedName name="Área_de_impresión2" localSheetId="32">'[1]7.7.6'!#REF!</definedName>
    <definedName name="Área_de_impresión2" localSheetId="27">'[1]7.7.6'!#REF!</definedName>
    <definedName name="Área_de_impresión2" localSheetId="41">'[1]7.7.6'!#REF!</definedName>
    <definedName name="Área_de_impresión2" localSheetId="34">'[1]7.7.6'!#REF!</definedName>
    <definedName name="Área_de_impresión2" localSheetId="87">'[1]7.7.6'!#REF!</definedName>
    <definedName name="Área_de_impresión2" localSheetId="145">'[1]7.7.6'!#REF!</definedName>
    <definedName name="Área_de_impresión2" localSheetId="101">'[1]7.7.6'!#REF!</definedName>
    <definedName name="Área_de_impresión2" localSheetId="28">'[1]7.7.6'!#REF!</definedName>
    <definedName name="Área_de_impresión2" localSheetId="35">'[1]7.7.6'!#REF!</definedName>
    <definedName name="Área_de_impresión2" localSheetId="20">'[1]7.7.6'!#REF!</definedName>
    <definedName name="Área_de_impresión2" localSheetId="60">'[1]7.7.6'!#REF!</definedName>
    <definedName name="Área_de_impresión2" localSheetId="100">'[1]7.7.6'!#REF!</definedName>
    <definedName name="Área_de_impresión2" localSheetId="16">'[1]7.7.6'!#REF!</definedName>
    <definedName name="Área_de_impresión2" localSheetId="44">'[1]7.7.6'!#REF!</definedName>
    <definedName name="Área_de_impresión2" localSheetId="8">'[1]7.7.6'!#REF!</definedName>
    <definedName name="Área_de_impresión2" localSheetId="68">'[1]7.7.6'!#REF!</definedName>
    <definedName name="Área_de_impresión2" localSheetId="72">'[1]7.7.6'!#REF!</definedName>
    <definedName name="Área_de_impresión2" localSheetId="96">'[1]7.7.6'!#REF!</definedName>
    <definedName name="Área_de_impresión2" localSheetId="33">'[1]7.7.6'!#REF!</definedName>
    <definedName name="Área_de_impresión2" localSheetId="26">'[1]7.7.6'!#REF!</definedName>
    <definedName name="Área_de_impresión2" localSheetId="66">'[1]7.7.6'!#REF!</definedName>
    <definedName name="Área_de_impresión2" localSheetId="67">'[1]7.7.6'!#REF!</definedName>
    <definedName name="Área_de_impresión2" localSheetId="59">'[1]7.7.6'!#REF!</definedName>
    <definedName name="Área_de_impresión2" localSheetId="43">'[1]7.7.6'!#REF!</definedName>
    <definedName name="Área_de_impresión2" localSheetId="12">'[1]7.7.6'!#REF!</definedName>
    <definedName name="Área_de_impresión2" localSheetId="143">'[1]7.7.6'!#REF!</definedName>
    <definedName name="Área_de_impresión2" localSheetId="65">'[1]7.7.6'!#REF!</definedName>
    <definedName name="Área_de_impresión2" localSheetId="2">'[1]7.7.6'!#REF!</definedName>
    <definedName name="Área_de_impresión2" localSheetId="83">'[1]7.7.6'!#REF!</definedName>
    <definedName name="Área_de_impresión2" localSheetId="107">'[1]7.7.6'!#REF!</definedName>
    <definedName name="Área_de_impresión2" localSheetId="112">'[1]7.7.6'!#REF!</definedName>
    <definedName name="Área_de_impresión2" localSheetId="102">'[1]7.7.6'!#REF!</definedName>
    <definedName name="Área_de_impresión2" localSheetId="103">'[1]7.7.6'!#REF!</definedName>
    <definedName name="Área_de_impresión2">'[1]7.7.6'!#REF!</definedName>
    <definedName name="BEN" localSheetId="28">'[1]7.7.6'!#REF!</definedName>
    <definedName name="BEN" localSheetId="35">'[1]7.7.6'!#REF!</definedName>
    <definedName name="BEN" localSheetId="20">'[1]7.7.6'!#REF!</definedName>
    <definedName name="BEN" localSheetId="16">'[1]7.7.6'!#REF!</definedName>
    <definedName name="BEN" localSheetId="44">'[1]7.7.6'!#REF!</definedName>
    <definedName name="BEN" localSheetId="8">'[1]7.7.6'!#REF!</definedName>
    <definedName name="BEN" localSheetId="68">'[1]7.7.6'!#REF!</definedName>
    <definedName name="BEN" localSheetId="67">'[1]7.7.6'!#REF!</definedName>
    <definedName name="BEN" localSheetId="12">'[1]7.7.6'!#REF!</definedName>
    <definedName name="BEN" localSheetId="143">'[1]7.7.6'!#REF!</definedName>
    <definedName name="BEN" localSheetId="2">'[1]7.7.6'!#REF!</definedName>
    <definedName name="BEN" localSheetId="83">'[1]7.7.6'!#REF!</definedName>
    <definedName name="BEN" localSheetId="103">'[1]7.7.6'!#REF!</definedName>
    <definedName name="BEN">'[1]7.7.6'!#REF!</definedName>
    <definedName name="Beneficios" localSheetId="28">'[1]7.7.6'!#REF!</definedName>
    <definedName name="Beneficios" localSheetId="35">'[1]7.7.6'!#REF!</definedName>
    <definedName name="Beneficios" localSheetId="20">'[1]7.7.6'!#REF!</definedName>
    <definedName name="Beneficios" localSheetId="16">'[1]7.7.6'!#REF!</definedName>
    <definedName name="Beneficios" localSheetId="44">'[1]7.7.6'!#REF!</definedName>
    <definedName name="Beneficios" localSheetId="8">'[1]7.7.6'!#REF!</definedName>
    <definedName name="Beneficios" localSheetId="68">'[1]7.7.6'!#REF!</definedName>
    <definedName name="Beneficios" localSheetId="66">'[1]7.7.6'!#REF!</definedName>
    <definedName name="Beneficios" localSheetId="67">'[1]7.7.6'!#REF!</definedName>
    <definedName name="Beneficios" localSheetId="12">'[1]7.7.6'!#REF!</definedName>
    <definedName name="Beneficios" localSheetId="143">'[1]7.7.6'!#REF!</definedName>
    <definedName name="Beneficios" localSheetId="2">'[1]7.7.6'!#REF!</definedName>
    <definedName name="Beneficios" localSheetId="83">'[1]7.7.6'!#REF!</definedName>
    <definedName name="Beneficios" localSheetId="107">'[1]7.7.6'!#REF!</definedName>
    <definedName name="Beneficios" localSheetId="112">'[1]7.7.6'!#REF!</definedName>
    <definedName name="Beneficios" localSheetId="102">'[1]7.7.6'!#REF!</definedName>
    <definedName name="Beneficios" localSheetId="103">'[1]7.7.6'!#REF!</definedName>
    <definedName name="Beneficios">'[1]7.7.6'!#REF!</definedName>
    <definedName name="CCI">'[1]7.7.6'!$A$1:$R$57</definedName>
    <definedName name="CompCartraEntid" localSheetId="83">'[1]7.7.6'!#REF!</definedName>
    <definedName name="CompCartraEntid">'[1]7.7.6'!#REF!</definedName>
    <definedName name="Compl">'[1]7.7.6'!$AA$1:$AJ$57</definedName>
    <definedName name="cualquiercosa" localSheetId="83">'[1]7.7.6'!#REF!</definedName>
    <definedName name="cualquiercosa">'[1]7.7.6'!#REF!</definedName>
    <definedName name="cualquiercosa3" localSheetId="83">'[1]7.7.6'!#REF!</definedName>
    <definedName name="cualquiercosa3">'[1]7.7.6'!#REF!</definedName>
    <definedName name="cualquiercosa5" localSheetId="83">'[1]7.7.6'!#REF!</definedName>
    <definedName name="cualquiercosa5">'[1]7.7.6'!#REF!</definedName>
    <definedName name="cualquiercosa6" localSheetId="83">'[1]7.7.6'!#REF!</definedName>
    <definedName name="cualquiercosa6">'[1]7.7.6'!#REF!</definedName>
    <definedName name="Egresos" localSheetId="25">'[1]7.7.6'!#REF!</definedName>
    <definedName name="Egresos" localSheetId="32">'[1]7.7.6'!#REF!</definedName>
    <definedName name="Egresos" localSheetId="28">'[1]7.7.6'!#REF!</definedName>
    <definedName name="Egresos" localSheetId="35">'[1]7.7.6'!#REF!</definedName>
    <definedName name="Egresos" localSheetId="20">'[1]7.7.6'!#REF!</definedName>
    <definedName name="Egresos" localSheetId="16">'[1]7.7.6'!#REF!</definedName>
    <definedName name="Egresos" localSheetId="44">'[1]7.7.6'!#REF!</definedName>
    <definedName name="Egresos" localSheetId="8">'[1]7.7.6'!#REF!</definedName>
    <definedName name="Egresos" localSheetId="68">'[1]7.7.6'!#REF!</definedName>
    <definedName name="Egresos" localSheetId="33">'[1]7.7.6'!#REF!</definedName>
    <definedName name="Egresos" localSheetId="12">'[1]7.7.6'!#REF!</definedName>
    <definedName name="Egresos" localSheetId="2">'[1]7.7.6'!#REF!</definedName>
    <definedName name="Egresos" localSheetId="83">'[1]7.7.6'!#REF!</definedName>
    <definedName name="Egresos" localSheetId="103">'[1]7.7.6'!#REF!</definedName>
    <definedName name="Egresos">'[1]7.7.6'!#REF!</definedName>
    <definedName name="Exceso1" localSheetId="25">'[1]7.7.6'!#REF!</definedName>
    <definedName name="Exceso1" localSheetId="32">'[1]7.7.6'!#REF!</definedName>
    <definedName name="Exceso1" localSheetId="27">'[1]7.7.6'!#REF!</definedName>
    <definedName name="Exceso1" localSheetId="41">'[1]7.7.6'!#REF!</definedName>
    <definedName name="Exceso1" localSheetId="34">'[1]7.7.6'!#REF!</definedName>
    <definedName name="Exceso1" localSheetId="87">'[1]7.7.6'!#REF!</definedName>
    <definedName name="Exceso1" localSheetId="145">'[1]7.7.6'!#REF!</definedName>
    <definedName name="Exceso1" localSheetId="101">'[1]7.7.6'!#REF!</definedName>
    <definedName name="Exceso1" localSheetId="28">'[1]7.7.6'!#REF!</definedName>
    <definedName name="Exceso1" localSheetId="35">'[1]7.7.6'!#REF!</definedName>
    <definedName name="Exceso1" localSheetId="20">'[1]7.7.6'!#REF!</definedName>
    <definedName name="Exceso1" localSheetId="60">'[1]7.7.6'!#REF!</definedName>
    <definedName name="Exceso1" localSheetId="100">'[1]7.7.6'!#REF!</definedName>
    <definedName name="Exceso1" localSheetId="16">'[1]7.7.6'!#REF!</definedName>
    <definedName name="Exceso1" localSheetId="44">'[1]7.7.6'!#REF!</definedName>
    <definedName name="Exceso1" localSheetId="8">'[1]7.7.6'!#REF!</definedName>
    <definedName name="Exceso1" localSheetId="68">'[1]7.7.6'!#REF!</definedName>
    <definedName name="Exceso1" localSheetId="72">'[1]7.7.6'!#REF!</definedName>
    <definedName name="Exceso1" localSheetId="96">'[1]7.7.6'!#REF!</definedName>
    <definedName name="Exceso1" localSheetId="33">'[1]7.7.6'!#REF!</definedName>
    <definedName name="Exceso1" localSheetId="26">'[1]7.7.6'!#REF!</definedName>
    <definedName name="Exceso1" localSheetId="66">'[1]7.7.6'!#REF!</definedName>
    <definedName name="Exceso1" localSheetId="67">'[1]7.7.6'!#REF!</definedName>
    <definedName name="Exceso1" localSheetId="59">'[1]7.7.6'!#REF!</definedName>
    <definedName name="Exceso1" localSheetId="43">'[1]7.7.6'!#REF!</definedName>
    <definedName name="Exceso1" localSheetId="12">'[1]7.7.6'!#REF!</definedName>
    <definedName name="Exceso1" localSheetId="143">'[1]7.7.6'!#REF!</definedName>
    <definedName name="Exceso1" localSheetId="65">'[1]7.7.6'!#REF!</definedName>
    <definedName name="Exceso1" localSheetId="2">'[1]7.7.6'!#REF!</definedName>
    <definedName name="Exceso1" localSheetId="83">'[1]7.7.6'!#REF!</definedName>
    <definedName name="Exceso1" localSheetId="107">'[1]7.7.6'!#REF!</definedName>
    <definedName name="Exceso1" localSheetId="112">'[1]7.7.6'!#REF!</definedName>
    <definedName name="Exceso1" localSheetId="102">'[1]7.7.6'!#REF!</definedName>
    <definedName name="Exceso1" localSheetId="103">'[1]7.7.6'!#REF!</definedName>
    <definedName name="Exceso1">'[1]7.7.6'!#REF!</definedName>
    <definedName name="Exceso2" localSheetId="25">'[1]7.7.6'!#REF!</definedName>
    <definedName name="Exceso2" localSheetId="32">'[1]7.7.6'!#REF!</definedName>
    <definedName name="Exceso2" localSheetId="27">'[1]7.7.6'!#REF!</definedName>
    <definedName name="Exceso2" localSheetId="41">'[1]7.7.6'!#REF!</definedName>
    <definedName name="Exceso2" localSheetId="34">'[1]7.7.6'!#REF!</definedName>
    <definedName name="Exceso2" localSheetId="87">'[1]7.7.6'!#REF!</definedName>
    <definedName name="Exceso2" localSheetId="145">'[1]7.7.6'!#REF!</definedName>
    <definedName name="Exceso2" localSheetId="101">'[1]7.7.6'!#REF!</definedName>
    <definedName name="Exceso2" localSheetId="28">'[1]7.7.6'!#REF!</definedName>
    <definedName name="Exceso2" localSheetId="35">'[1]7.7.6'!#REF!</definedName>
    <definedName name="Exceso2" localSheetId="20">'[1]7.7.6'!#REF!</definedName>
    <definedName name="Exceso2" localSheetId="60">'[1]7.7.6'!#REF!</definedName>
    <definedName name="Exceso2" localSheetId="16">'[1]7.7.6'!#REF!</definedName>
    <definedName name="Exceso2" localSheetId="44">'[1]7.7.6'!#REF!</definedName>
    <definedName name="Exceso2" localSheetId="8">'[1]7.7.6'!#REF!</definedName>
    <definedName name="Exceso2" localSheetId="68">'[1]7.7.6'!#REF!</definedName>
    <definedName name="Exceso2" localSheetId="72">'[1]7.7.6'!#REF!</definedName>
    <definedName name="Exceso2" localSheetId="96">'[1]7.7.6'!#REF!</definedName>
    <definedName name="Exceso2" localSheetId="33">'[1]7.7.6'!#REF!</definedName>
    <definedName name="Exceso2" localSheetId="26">'[1]7.7.6'!#REF!</definedName>
    <definedName name="Exceso2" localSheetId="66">'[1]7.7.6'!#REF!</definedName>
    <definedName name="Exceso2" localSheetId="67">'[1]7.7.6'!#REF!</definedName>
    <definedName name="Exceso2" localSheetId="59">'[1]7.7.6'!#REF!</definedName>
    <definedName name="Exceso2" localSheetId="43">'[1]7.7.6'!#REF!</definedName>
    <definedName name="Exceso2" localSheetId="12">'[1]7.7.6'!#REF!</definedName>
    <definedName name="Exceso2" localSheetId="143">'[1]7.7.6'!#REF!</definedName>
    <definedName name="Exceso2" localSheetId="65">'[1]7.7.6'!#REF!</definedName>
    <definedName name="Exceso2" localSheetId="2">'[1]7.7.6'!#REF!</definedName>
    <definedName name="Exceso2" localSheetId="83">'[1]7.7.6'!#REF!</definedName>
    <definedName name="Exceso2" localSheetId="107">'[1]7.7.6'!#REF!</definedName>
    <definedName name="Exceso2" localSheetId="112">'[1]7.7.6'!#REF!</definedName>
    <definedName name="Exceso2" localSheetId="102">'[1]7.7.6'!#REF!</definedName>
    <definedName name="Exceso2" localSheetId="103">'[1]7.7.6'!#REF!</definedName>
    <definedName name="Exceso2">'[1]7.7.6'!#REF!</definedName>
    <definedName name="h">'[1]7.7.6'!$A$1:$AQ$58</definedName>
    <definedName name="ocho" localSheetId="25">'[1]7.7.6'!#REF!</definedName>
    <definedName name="ocho" localSheetId="32">'[1]7.7.6'!#REF!</definedName>
    <definedName name="ocho" localSheetId="28">'[1]7.7.6'!#REF!</definedName>
    <definedName name="ocho" localSheetId="35">'[1]7.7.6'!#REF!</definedName>
    <definedName name="ocho" localSheetId="20">'[1]7.7.6'!#REF!</definedName>
    <definedName name="ocho" localSheetId="16">'[1]7.7.6'!#REF!</definedName>
    <definedName name="ocho" localSheetId="44">'[1]7.7.6'!#REF!</definedName>
    <definedName name="ocho" localSheetId="8">'[1]7.7.6'!#REF!</definedName>
    <definedName name="ocho" localSheetId="68">'[1]7.7.6'!#REF!</definedName>
    <definedName name="ocho" localSheetId="33">'[1]7.7.6'!#REF!</definedName>
    <definedName name="ocho" localSheetId="67">'[1]7.7.6'!#REF!</definedName>
    <definedName name="ocho" localSheetId="12">'[1]7.7.6'!#REF!</definedName>
    <definedName name="ocho" localSheetId="143">'[1]7.7.6'!#REF!</definedName>
    <definedName name="ocho" localSheetId="2">'[1]7.7.6'!#REF!</definedName>
    <definedName name="ocho" localSheetId="83">'[1]7.7.6'!#REF!</definedName>
    <definedName name="ocho" localSheetId="103">'[1]7.7.6'!#REF!</definedName>
    <definedName name="ocho">'[1]7.7.6'!#REF!</definedName>
    <definedName name="Print1">'[1]7.7.6'!$A$1:$AQ$58</definedName>
    <definedName name="Print2" localSheetId="25">'[1]7.7.6'!#REF!</definedName>
    <definedName name="Print2" localSheetId="32">'[1]7.7.6'!#REF!</definedName>
    <definedName name="Print2" localSheetId="27">'[1]7.7.6'!#REF!</definedName>
    <definedName name="Print2" localSheetId="41">'[1]7.7.6'!#REF!</definedName>
    <definedName name="Print2" localSheetId="34">'[1]7.7.6'!#REF!</definedName>
    <definedName name="Print2" localSheetId="87">'[1]7.7.6'!#REF!</definedName>
    <definedName name="Print2" localSheetId="145">'[1]7.7.6'!#REF!</definedName>
    <definedName name="Print2" localSheetId="101">'[1]7.7.6'!#REF!</definedName>
    <definedName name="Print2" localSheetId="28">'[1]7.7.6'!#REF!</definedName>
    <definedName name="Print2" localSheetId="35">'[1]7.7.6'!#REF!</definedName>
    <definedName name="Print2" localSheetId="20">'[1]7.7.6'!#REF!</definedName>
    <definedName name="Print2" localSheetId="60">'[1]7.7.6'!#REF!</definedName>
    <definedName name="Print2" localSheetId="100">'[1]7.7.6'!#REF!</definedName>
    <definedName name="Print2" localSheetId="16">'[1]7.7.6'!#REF!</definedName>
    <definedName name="Print2" localSheetId="44">'[1]7.7.6'!#REF!</definedName>
    <definedName name="Print2" localSheetId="8">'[1]7.7.6'!#REF!</definedName>
    <definedName name="Print2" localSheetId="68">'[1]7.7.6'!#REF!</definedName>
    <definedName name="Print2" localSheetId="72">'[1]7.7.6'!#REF!</definedName>
    <definedName name="Print2" localSheetId="96">'[1]7.7.6'!#REF!</definedName>
    <definedName name="Print2" localSheetId="33">'[1]7.7.6'!#REF!</definedName>
    <definedName name="Print2" localSheetId="26">'[1]7.7.6'!#REF!</definedName>
    <definedName name="Print2" localSheetId="66">'[1]7.7.6'!#REF!</definedName>
    <definedName name="Print2" localSheetId="67">'[1]7.7.6'!#REF!</definedName>
    <definedName name="Print2" localSheetId="59">'[1]7.7.6'!#REF!</definedName>
    <definedName name="Print2" localSheetId="43">'[1]7.7.6'!#REF!</definedName>
    <definedName name="Print2" localSheetId="12">'[1]7.7.6'!#REF!</definedName>
    <definedName name="Print2" localSheetId="143">'[1]7.7.6'!#REF!</definedName>
    <definedName name="Print2" localSheetId="65">'[1]7.7.6'!#REF!</definedName>
    <definedName name="Print2" localSheetId="2">'[1]7.7.6'!#REF!</definedName>
    <definedName name="Print2" localSheetId="83">'[1]7.7.6'!#REF!</definedName>
    <definedName name="Print2" localSheetId="107">'[1]7.7.6'!#REF!</definedName>
    <definedName name="Print2" localSheetId="112">'[1]7.7.6'!#REF!</definedName>
    <definedName name="Print2" localSheetId="102">'[1]7.7.6'!#REF!</definedName>
    <definedName name="Print2" localSheetId="103">'[1]7.7.6'!#REF!</definedName>
    <definedName name="Print2">'[1]7.7.6'!#REF!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8">'[1]7.7.6'!#REF!</definedName>
    <definedName name="srl" localSheetId="35">'[1]7.7.6'!#REF!</definedName>
    <definedName name="srl" localSheetId="20">'[1]7.7.6'!#REF!</definedName>
    <definedName name="srl" localSheetId="16">'[1]7.7.6'!#REF!</definedName>
    <definedName name="srl" localSheetId="44">'[1]7.7.6'!#REF!</definedName>
    <definedName name="srl" localSheetId="8">'[1]7.7.6'!#REF!</definedName>
    <definedName name="srl" localSheetId="68">'[1]7.7.6'!#REF!</definedName>
    <definedName name="srl" localSheetId="67">'[1]7.7.6'!#REF!</definedName>
    <definedName name="srl" localSheetId="12">'[1]7.7.6'!#REF!</definedName>
    <definedName name="srl" localSheetId="143">'[1]7.7.6'!#REF!</definedName>
    <definedName name="srl" localSheetId="2">'[1]7.7.6'!#REF!</definedName>
    <definedName name="srl" localSheetId="83">'[1]7.7.6'!#REF!</definedName>
    <definedName name="srl" localSheetId="103">'[1]7.7.6'!#REF!</definedName>
    <definedName name="srl">'[1]7.7.6'!#REF!</definedName>
    <definedName name="SVDS" localSheetId="28">'[1]7.7.6'!#REF!</definedName>
    <definedName name="SVDS" localSheetId="35">'[1]7.7.6'!#REF!</definedName>
    <definedName name="SVDS" localSheetId="20">'[1]7.7.6'!#REF!</definedName>
    <definedName name="SVDS" localSheetId="16">'[1]7.7.6'!#REF!</definedName>
    <definedName name="SVDS" localSheetId="44">'[1]7.7.6'!#REF!</definedName>
    <definedName name="SVDS" localSheetId="8">'[1]7.7.6'!#REF!</definedName>
    <definedName name="SVDS" localSheetId="68">'[1]7.7.6'!#REF!</definedName>
    <definedName name="SVDS" localSheetId="67">'[1]7.7.6'!#REF!</definedName>
    <definedName name="SVDS" localSheetId="12">'[1]7.7.6'!#REF!</definedName>
    <definedName name="SVDS" localSheetId="143">'[1]7.7.6'!#REF!</definedName>
    <definedName name="SVDS" localSheetId="2">'[1]7.7.6'!#REF!</definedName>
    <definedName name="SVDS" localSheetId="83">'[1]7.7.6'!#REF!</definedName>
    <definedName name="SVDS" localSheetId="112">'[1]7.7.6'!#REF!</definedName>
    <definedName name="SVDS" localSheetId="103">'[1]7.7.6'!#REF!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68eccc94-fe38-49bf-a46d-0590fcb82611" name="Rango" connection="WorksheetConnection_ Afil. SVDSxprov.!$A$3:$F$60"/>
        </x15:modelTables>
      </x15:dataModel>
    </ext>
  </extLst>
</workbook>
</file>

<file path=xl/calcChain.xml><?xml version="1.0" encoding="utf-8"?>
<calcChain xmlns="http://schemas.openxmlformats.org/spreadsheetml/2006/main">
  <c r="D14" i="74" l="1"/>
  <c r="D15" i="74"/>
  <c r="D13" i="74"/>
  <c r="B17" i="72"/>
  <c r="C17" i="72"/>
  <c r="D13" i="445"/>
  <c r="D5" i="445"/>
  <c r="D6" i="445"/>
  <c r="D7" i="445"/>
  <c r="D8" i="445"/>
  <c r="D9" i="445"/>
  <c r="D10" i="445"/>
  <c r="D11" i="445"/>
  <c r="D12" i="445"/>
  <c r="D14" i="445"/>
  <c r="U7" i="334" l="1"/>
  <c r="U8" i="334"/>
  <c r="U9" i="334"/>
  <c r="U10" i="334"/>
  <c r="U11" i="334"/>
  <c r="U12" i="334"/>
  <c r="H5" i="78"/>
  <c r="C5" i="78" s="1"/>
  <c r="H6" i="78"/>
  <c r="C6" i="78" s="1"/>
  <c r="H7" i="78"/>
  <c r="C7" i="78" s="1"/>
  <c r="H8" i="78"/>
  <c r="C8" i="78" s="1"/>
  <c r="H9" i="78"/>
  <c r="G9" i="78" s="1"/>
  <c r="H10" i="78"/>
  <c r="C10" i="78" s="1"/>
  <c r="H11" i="78"/>
  <c r="E11" i="78" s="1"/>
  <c r="H12" i="78"/>
  <c r="E12" i="78" s="1"/>
  <c r="H13" i="78"/>
  <c r="C13" i="78" s="1"/>
  <c r="H14" i="78"/>
  <c r="C14" i="78" s="1"/>
  <c r="H15" i="78"/>
  <c r="E6" i="445"/>
  <c r="E7" i="445"/>
  <c r="E8" i="445"/>
  <c r="E9" i="445"/>
  <c r="E10" i="445"/>
  <c r="E11" i="445"/>
  <c r="E12" i="445"/>
  <c r="E13" i="445"/>
  <c r="E14" i="445"/>
  <c r="E15" i="445"/>
  <c r="E5" i="445"/>
  <c r="B10" i="445"/>
  <c r="B11" i="445"/>
  <c r="B12" i="445"/>
  <c r="B13" i="445"/>
  <c r="B14" i="445"/>
  <c r="B15" i="445"/>
  <c r="B9" i="445"/>
  <c r="D15" i="445"/>
  <c r="G8" i="78" l="1"/>
  <c r="C12" i="78"/>
  <c r="E7" i="78"/>
  <c r="G7" i="78"/>
  <c r="G5" i="78"/>
  <c r="G12" i="78"/>
  <c r="G10" i="78"/>
  <c r="C9" i="78"/>
  <c r="E10" i="78"/>
  <c r="G13" i="78"/>
  <c r="E9" i="78"/>
  <c r="C11" i="78"/>
  <c r="G14" i="78"/>
  <c r="G6" i="78"/>
  <c r="E8" i="78"/>
  <c r="E14" i="78"/>
  <c r="E6" i="78"/>
  <c r="G11" i="78"/>
  <c r="E13" i="78"/>
  <c r="E5" i="78"/>
  <c r="K6" i="390"/>
  <c r="K7" i="390"/>
  <c r="K8" i="390"/>
  <c r="K9" i="390"/>
  <c r="K10" i="390"/>
  <c r="K11" i="390"/>
  <c r="K12" i="390"/>
  <c r="K13" i="390"/>
  <c r="K14" i="390"/>
  <c r="K15" i="390"/>
  <c r="K16" i="390"/>
  <c r="K17" i="390"/>
  <c r="L5" i="390"/>
  <c r="K5" i="390"/>
  <c r="G5" i="390"/>
  <c r="M5" i="390" l="1"/>
  <c r="B17" i="276"/>
  <c r="B12" i="29"/>
  <c r="C12" i="29"/>
  <c r="D12" i="29"/>
  <c r="E12" i="29"/>
  <c r="F12" i="29"/>
  <c r="G12" i="29"/>
  <c r="H12" i="29"/>
  <c r="I12" i="29"/>
  <c r="J12" i="29"/>
  <c r="K12" i="29"/>
  <c r="L12" i="29"/>
  <c r="M12" i="29"/>
  <c r="N12" i="29"/>
  <c r="C16" i="74"/>
  <c r="B16" i="74"/>
  <c r="E19" i="448" l="1"/>
  <c r="E8" i="448"/>
  <c r="E9" i="448"/>
  <c r="E10" i="448"/>
  <c r="E11" i="448"/>
  <c r="E12" i="448"/>
  <c r="E13" i="448"/>
  <c r="E14" i="448"/>
  <c r="E15" i="448"/>
  <c r="E16" i="448"/>
  <c r="E17" i="448"/>
  <c r="E18" i="448"/>
  <c r="E7" i="448"/>
  <c r="B13" i="447"/>
  <c r="E13" i="283" l="1"/>
  <c r="O4" i="29" l="1"/>
  <c r="O11" i="29"/>
  <c r="O5" i="29"/>
  <c r="O6" i="29"/>
  <c r="O7" i="29"/>
  <c r="O8" i="29"/>
  <c r="O9" i="29"/>
  <c r="O10" i="29"/>
  <c r="D4" i="72"/>
  <c r="D5" i="72"/>
  <c r="O12" i="29" l="1"/>
  <c r="C17" i="400"/>
  <c r="C18" i="390"/>
  <c r="D4" i="400" l="1"/>
  <c r="D5" i="400"/>
  <c r="B17" i="400"/>
  <c r="B19" i="400" s="1"/>
  <c r="B17" i="401"/>
  <c r="F18" i="390"/>
  <c r="B18" i="390"/>
  <c r="F61" i="446"/>
  <c r="E61" i="446"/>
  <c r="D61" i="446"/>
  <c r="C61" i="446"/>
  <c r="B61" i="446"/>
  <c r="G28" i="446"/>
  <c r="G29" i="446"/>
  <c r="G30" i="446"/>
  <c r="G31" i="446"/>
  <c r="G32" i="446"/>
  <c r="G33" i="446"/>
  <c r="G34" i="446"/>
  <c r="G35" i="446"/>
  <c r="G36" i="446"/>
  <c r="G37" i="446"/>
  <c r="G38" i="446"/>
  <c r="G39" i="446"/>
  <c r="G40" i="446"/>
  <c r="G41" i="446"/>
  <c r="G42" i="446"/>
  <c r="G43" i="446"/>
  <c r="G44" i="446"/>
  <c r="G45" i="446"/>
  <c r="G46" i="446"/>
  <c r="G47" i="446"/>
  <c r="G48" i="446"/>
  <c r="G49" i="446"/>
  <c r="G50" i="446"/>
  <c r="G51" i="446"/>
  <c r="G52" i="446"/>
  <c r="G53" i="446"/>
  <c r="G54" i="446"/>
  <c r="G55" i="446"/>
  <c r="G56" i="446"/>
  <c r="G57" i="446"/>
  <c r="G58" i="446"/>
  <c r="G59" i="446"/>
  <c r="G60" i="446"/>
  <c r="G61" i="446" l="1"/>
  <c r="H56" i="446" s="1"/>
  <c r="D27" i="446"/>
  <c r="D26" i="446"/>
  <c r="D25" i="446"/>
  <c r="D24" i="446"/>
  <c r="D23" i="446"/>
  <c r="D22" i="446"/>
  <c r="D21" i="446"/>
  <c r="D20" i="446"/>
  <c r="D19" i="446"/>
  <c r="D18" i="446"/>
  <c r="C17" i="446"/>
  <c r="B17" i="446"/>
  <c r="D16" i="446"/>
  <c r="D15" i="446"/>
  <c r="D14" i="446"/>
  <c r="D13" i="446"/>
  <c r="D12" i="446"/>
  <c r="D11" i="446"/>
  <c r="D10" i="446"/>
  <c r="D9" i="446"/>
  <c r="D8" i="446"/>
  <c r="D7" i="446"/>
  <c r="D6" i="446"/>
  <c r="D5" i="446"/>
  <c r="D4" i="446"/>
  <c r="H33" i="446" l="1"/>
  <c r="H48" i="446"/>
  <c r="H39" i="446"/>
  <c r="H34" i="446"/>
  <c r="H50" i="446"/>
  <c r="H35" i="446"/>
  <c r="H59" i="446"/>
  <c r="H44" i="446"/>
  <c r="H60" i="446"/>
  <c r="H37" i="446"/>
  <c r="H53" i="446"/>
  <c r="H30" i="446"/>
  <c r="H54" i="446"/>
  <c r="H31" i="446"/>
  <c r="H55" i="446"/>
  <c r="H41" i="446"/>
  <c r="H49" i="446"/>
  <c r="H57" i="446"/>
  <c r="H42" i="446"/>
  <c r="H58" i="446"/>
  <c r="H43" i="446"/>
  <c r="H51" i="446"/>
  <c r="H36" i="446"/>
  <c r="H52" i="446"/>
  <c r="H29" i="446"/>
  <c r="H45" i="446"/>
  <c r="H28" i="446"/>
  <c r="H38" i="446"/>
  <c r="H47" i="446"/>
  <c r="H46" i="446"/>
  <c r="H32" i="446"/>
  <c r="H40" i="446"/>
  <c r="D17" i="446"/>
  <c r="G6" i="390"/>
  <c r="M6" i="390" s="1"/>
  <c r="G7" i="390"/>
  <c r="M7" i="390" s="1"/>
  <c r="G8" i="390"/>
  <c r="M8" i="390" s="1"/>
  <c r="G9" i="390"/>
  <c r="M9" i="390" s="1"/>
  <c r="G10" i="390"/>
  <c r="M10" i="390" s="1"/>
  <c r="G11" i="390"/>
  <c r="M11" i="390" s="1"/>
  <c r="G12" i="390"/>
  <c r="M12" i="390" s="1"/>
  <c r="G13" i="390"/>
  <c r="M13" i="390" s="1"/>
  <c r="G14" i="390"/>
  <c r="M14" i="390" s="1"/>
  <c r="G15" i="390"/>
  <c r="M15" i="390" s="1"/>
  <c r="G16" i="390"/>
  <c r="M16" i="390" s="1"/>
  <c r="G17" i="390"/>
  <c r="M17" i="390" s="1"/>
  <c r="J18" i="390"/>
  <c r="I18" i="390"/>
  <c r="H18" i="390"/>
  <c r="E18" i="390"/>
  <c r="D18" i="390"/>
  <c r="H61" i="446" l="1"/>
  <c r="K18" i="390"/>
  <c r="G18" i="390"/>
  <c r="C16" i="445"/>
  <c r="D16" i="445"/>
  <c r="B16" i="445"/>
  <c r="F6" i="445"/>
  <c r="H6" i="445" s="1"/>
  <c r="F7" i="445"/>
  <c r="H7" i="445" s="1"/>
  <c r="F8" i="445"/>
  <c r="H8" i="445" s="1"/>
  <c r="F9" i="445"/>
  <c r="H9" i="445" s="1"/>
  <c r="F10" i="445"/>
  <c r="H10" i="445" s="1"/>
  <c r="F11" i="445"/>
  <c r="H11" i="445" s="1"/>
  <c r="F12" i="445"/>
  <c r="H12" i="445" s="1"/>
  <c r="F13" i="445"/>
  <c r="H13" i="445" s="1"/>
  <c r="F5" i="445"/>
  <c r="F14" i="445" l="1"/>
  <c r="H5" i="445"/>
  <c r="H14" i="445" l="1"/>
  <c r="B35" i="425"/>
  <c r="B37" i="425" l="1"/>
  <c r="H35" i="425"/>
  <c r="E35" i="425"/>
  <c r="M16" i="382"/>
  <c r="J17" i="444" l="1"/>
  <c r="I17" i="444"/>
  <c r="H17" i="444"/>
  <c r="G17" i="444"/>
  <c r="F17" i="444"/>
  <c r="E17" i="444"/>
  <c r="C17" i="444"/>
  <c r="B17" i="444"/>
  <c r="K16" i="444"/>
  <c r="K15" i="444"/>
  <c r="K14" i="444"/>
  <c r="K13" i="444"/>
  <c r="K12" i="444"/>
  <c r="K11" i="444"/>
  <c r="K10" i="444"/>
  <c r="K9" i="444"/>
  <c r="K8" i="444"/>
  <c r="K7" i="444"/>
  <c r="K6" i="444"/>
  <c r="K5" i="444"/>
  <c r="K4" i="444"/>
  <c r="D17" i="444" l="1"/>
  <c r="K17" i="444"/>
  <c r="H7" i="79"/>
  <c r="H8" i="79"/>
  <c r="H9" i="79"/>
  <c r="H10" i="79"/>
  <c r="H11" i="79"/>
  <c r="H12" i="79"/>
  <c r="H13" i="79"/>
  <c r="H14" i="79"/>
  <c r="H15" i="79"/>
  <c r="H16" i="79"/>
  <c r="H17" i="79"/>
  <c r="H6" i="79"/>
  <c r="I10" i="424" l="1"/>
  <c r="B13" i="423"/>
  <c r="C13" i="423"/>
  <c r="E6" i="423"/>
  <c r="E7" i="423"/>
  <c r="E8" i="423"/>
  <c r="E9" i="423"/>
  <c r="E10" i="423"/>
  <c r="E11" i="423"/>
  <c r="E12" i="423"/>
  <c r="E5" i="423"/>
  <c r="D11" i="422"/>
  <c r="E13" i="423" l="1"/>
  <c r="D18" i="282" l="1"/>
  <c r="B18" i="282"/>
  <c r="D17" i="54" l="1"/>
  <c r="E17" i="54"/>
  <c r="F17" i="54"/>
  <c r="C17" i="54"/>
  <c r="E7" i="431" l="1"/>
  <c r="I4" i="397" l="1"/>
  <c r="E19" i="386" l="1"/>
  <c r="D35" i="435" l="1"/>
  <c r="G28" i="435"/>
  <c r="G29" i="435"/>
  <c r="G30" i="435"/>
  <c r="G31" i="435"/>
  <c r="G32" i="435"/>
  <c r="G33" i="435"/>
  <c r="G34" i="435"/>
  <c r="G35" i="435"/>
  <c r="G27" i="435"/>
  <c r="D28" i="435"/>
  <c r="D29" i="435"/>
  <c r="D30" i="435"/>
  <c r="D31" i="435"/>
  <c r="D32" i="435"/>
  <c r="D33" i="435"/>
  <c r="D34"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E27" i="434"/>
  <c r="I27" i="434"/>
  <c r="E28" i="434"/>
  <c r="I28" i="434"/>
  <c r="E29" i="434"/>
  <c r="I29" i="434"/>
  <c r="E30" i="434"/>
  <c r="I30" i="434"/>
  <c r="E31" i="434"/>
  <c r="I31" i="434"/>
  <c r="E32" i="434"/>
  <c r="I32" i="434"/>
  <c r="E33" i="434"/>
  <c r="I33" i="434"/>
  <c r="E34" i="434"/>
  <c r="I34" i="434"/>
  <c r="E35" i="434"/>
  <c r="I35" i="434"/>
  <c r="J29" i="434" l="1"/>
  <c r="J28" i="434"/>
  <c r="J31" i="434"/>
  <c r="F11" i="434"/>
  <c r="G11" i="434" s="1"/>
  <c r="J33" i="434"/>
  <c r="J32" i="434"/>
  <c r="E11" i="435"/>
  <c r="F11" i="435" s="1"/>
  <c r="H27" i="435"/>
  <c r="H28" i="435"/>
  <c r="H29" i="435"/>
  <c r="H30" i="435"/>
  <c r="H31" i="435"/>
  <c r="H32" i="435"/>
  <c r="H33" i="435"/>
  <c r="H34" i="435"/>
  <c r="H35" i="435"/>
  <c r="J35" i="434"/>
  <c r="J27" i="434"/>
  <c r="J34" i="434"/>
  <c r="J30" i="434"/>
  <c r="E39" i="433"/>
  <c r="D39" i="433"/>
  <c r="B16" i="61" s="1"/>
  <c r="E38" i="433"/>
  <c r="D38" i="433"/>
  <c r="E37" i="433"/>
  <c r="D37" i="433"/>
  <c r="E36" i="433"/>
  <c r="D36" i="433"/>
  <c r="E35" i="433"/>
  <c r="D35" i="433"/>
  <c r="E34" i="433"/>
  <c r="D34" i="433"/>
  <c r="E33" i="433"/>
  <c r="D33" i="433"/>
  <c r="E32" i="433"/>
  <c r="D32" i="433"/>
  <c r="E31" i="433"/>
  <c r="D31" i="433"/>
  <c r="E30" i="433"/>
  <c r="D30" i="433"/>
  <c r="E29" i="433"/>
  <c r="D29" i="433"/>
  <c r="E28" i="433"/>
  <c r="D28" i="433"/>
  <c r="E27" i="433"/>
  <c r="D27" i="433"/>
  <c r="D26" i="433"/>
  <c r="D25" i="433"/>
  <c r="E25" i="433" s="1"/>
  <c r="D24" i="433"/>
  <c r="E24" i="433" s="1"/>
  <c r="D23" i="433"/>
  <c r="E23" i="433" s="1"/>
  <c r="D22" i="433"/>
  <c r="E22" i="433" s="1"/>
  <c r="D21" i="433"/>
  <c r="E21" i="433" s="1"/>
  <c r="D20" i="433"/>
  <c r="E20" i="433" s="1"/>
  <c r="D19" i="433"/>
  <c r="E19" i="433" s="1"/>
  <c r="D18" i="433"/>
  <c r="E18" i="433" s="1"/>
  <c r="D17" i="433"/>
  <c r="E17" i="433" s="1"/>
  <c r="D16" i="433"/>
  <c r="E16" i="433" s="1"/>
  <c r="D15" i="433"/>
  <c r="E15" i="433" s="1"/>
  <c r="D14" i="433"/>
  <c r="E14" i="433" s="1"/>
  <c r="D13" i="433"/>
  <c r="E13" i="433" s="1"/>
  <c r="D12" i="433"/>
  <c r="E12" i="433" s="1"/>
  <c r="D11" i="433"/>
  <c r="E11" i="433" s="1"/>
  <c r="D10" i="433"/>
  <c r="E10" i="433" s="1"/>
  <c r="D9" i="433"/>
  <c r="E9" i="433" s="1"/>
  <c r="D8" i="433"/>
  <c r="E8" i="433" s="1"/>
  <c r="D7" i="433"/>
  <c r="E7" i="433" s="1"/>
  <c r="C6" i="433"/>
  <c r="D6" i="433" s="1"/>
  <c r="E6" i="433" s="1"/>
  <c r="D5" i="433"/>
  <c r="E5" i="433" s="1"/>
  <c r="D4" i="433"/>
  <c r="E4" i="433" s="1"/>
  <c r="C35" i="432"/>
  <c r="G35" i="432" s="1"/>
  <c r="C34" i="432"/>
  <c r="G34" i="432" s="1"/>
  <c r="F33" i="432"/>
  <c r="C33" i="432"/>
  <c r="G33" i="432" s="1"/>
  <c r="F32" i="432"/>
  <c r="C32" i="432"/>
  <c r="G32" i="432" s="1"/>
  <c r="F31" i="432"/>
  <c r="C31" i="432"/>
  <c r="G31" i="432" s="1"/>
  <c r="F30" i="432"/>
  <c r="C30" i="432"/>
  <c r="G30" i="432" s="1"/>
  <c r="F29" i="432"/>
  <c r="C29" i="432"/>
  <c r="G29" i="432" s="1"/>
  <c r="F28" i="432"/>
  <c r="C28" i="432"/>
  <c r="G28" i="432" s="1"/>
  <c r="F27" i="432"/>
  <c r="C27" i="432"/>
  <c r="G27" i="432" s="1"/>
  <c r="F26" i="432"/>
  <c r="C26" i="432"/>
  <c r="G26" i="432" s="1"/>
  <c r="F25" i="432"/>
  <c r="C25" i="432"/>
  <c r="G25" i="432" s="1"/>
  <c r="F24" i="432"/>
  <c r="C24" i="432"/>
  <c r="G24" i="432" s="1"/>
  <c r="F23" i="432"/>
  <c r="C23" i="432"/>
  <c r="G23" i="432" s="1"/>
  <c r="F22" i="432"/>
  <c r="G22" i="432" s="1"/>
  <c r="C22" i="432"/>
  <c r="F21" i="432"/>
  <c r="G21" i="432" s="1"/>
  <c r="C21" i="432"/>
  <c r="F20" i="432"/>
  <c r="G20" i="432" s="1"/>
  <c r="C20" i="432"/>
  <c r="F19" i="432"/>
  <c r="G19" i="432" s="1"/>
  <c r="C19" i="432"/>
  <c r="F18" i="432"/>
  <c r="G18" i="432" s="1"/>
  <c r="C18" i="432"/>
  <c r="F17" i="432"/>
  <c r="G17" i="432" s="1"/>
  <c r="C17" i="432"/>
  <c r="F16" i="432"/>
  <c r="G16" i="432" s="1"/>
  <c r="C16" i="432"/>
  <c r="F15" i="432"/>
  <c r="G15" i="432" s="1"/>
  <c r="C15" i="432"/>
  <c r="C14" i="432"/>
  <c r="F14" i="432" s="1"/>
  <c r="G14" i="432" s="1"/>
  <c r="C13" i="432"/>
  <c r="F13" i="432" s="1"/>
  <c r="G13" i="432" s="1"/>
  <c r="C12" i="432"/>
  <c r="F12" i="432" s="1"/>
  <c r="G12" i="432" s="1"/>
  <c r="C11" i="432"/>
  <c r="F11" i="432" s="1"/>
  <c r="G11" i="432" s="1"/>
  <c r="C10" i="432"/>
  <c r="B10" i="432"/>
  <c r="C9" i="432"/>
  <c r="F9" i="432" s="1"/>
  <c r="G9" i="432" s="1"/>
  <c r="C8" i="432"/>
  <c r="F8" i="432" s="1"/>
  <c r="G8" i="432" s="1"/>
  <c r="C7" i="432"/>
  <c r="F7" i="432" s="1"/>
  <c r="G7" i="432" s="1"/>
  <c r="C6" i="432"/>
  <c r="F6" i="432" s="1"/>
  <c r="G6" i="432" s="1"/>
  <c r="C5" i="432"/>
  <c r="F5" i="432" s="1"/>
  <c r="G5" i="432" s="1"/>
  <c r="C4" i="432"/>
  <c r="F4" i="432" s="1"/>
  <c r="G4" i="432" s="1"/>
  <c r="D32" i="345"/>
  <c r="D33" i="345"/>
  <c r="D34" i="345"/>
  <c r="D35" i="345"/>
  <c r="D36" i="345"/>
  <c r="D37" i="345"/>
  <c r="D38" i="345"/>
  <c r="D39" i="345"/>
  <c r="D40" i="345"/>
  <c r="D41" i="345"/>
  <c r="D42" i="345"/>
  <c r="D31" i="345"/>
  <c r="D30" i="345"/>
  <c r="E15" i="431"/>
  <c r="D16" i="431"/>
  <c r="E14" i="431"/>
  <c r="D14" i="431"/>
  <c r="E13" i="431"/>
  <c r="D13" i="431"/>
  <c r="E12" i="431"/>
  <c r="D12" i="431"/>
  <c r="E11" i="431"/>
  <c r="D11" i="431"/>
  <c r="E10" i="431"/>
  <c r="D10" i="431"/>
  <c r="E9" i="431"/>
  <c r="D9" i="431"/>
  <c r="E8" i="431"/>
  <c r="D8" i="431"/>
  <c r="D7" i="431"/>
  <c r="F35" i="432" l="1"/>
  <c r="F10" i="432"/>
  <c r="G10" i="432" s="1"/>
  <c r="F34" i="432"/>
  <c r="D15" i="431"/>
  <c r="E16" i="431"/>
  <c r="H9" i="427" l="1"/>
  <c r="H10" i="427"/>
  <c r="H11" i="427"/>
  <c r="H12" i="427"/>
  <c r="H13" i="427"/>
  <c r="H14" i="427"/>
  <c r="H15" i="427"/>
  <c r="H16" i="427"/>
  <c r="H8" i="427"/>
  <c r="J7" i="427"/>
  <c r="J6" i="427"/>
  <c r="J10" i="427" l="1"/>
  <c r="I10" i="427"/>
  <c r="J9" i="427"/>
  <c r="I9" i="427"/>
  <c r="J16" i="427"/>
  <c r="I16" i="427"/>
  <c r="J12" i="427"/>
  <c r="I12" i="427"/>
  <c r="J11" i="427"/>
  <c r="I11" i="427"/>
  <c r="J8" i="427"/>
  <c r="I8" i="427"/>
  <c r="J15" i="427"/>
  <c r="I15" i="427"/>
  <c r="I13" i="427"/>
  <c r="J13" i="427"/>
  <c r="J14" i="427"/>
  <c r="I14" i="427"/>
  <c r="H19" i="426"/>
  <c r="D19" i="426" s="1"/>
  <c r="H18" i="426"/>
  <c r="G18" i="426" s="1"/>
  <c r="H17" i="426"/>
  <c r="D17" i="426" s="1"/>
  <c r="H16" i="426"/>
  <c r="G16" i="426" s="1"/>
  <c r="H15" i="426"/>
  <c r="D15" i="426" s="1"/>
  <c r="H14" i="426"/>
  <c r="G14" i="426" s="1"/>
  <c r="H13" i="426"/>
  <c r="D13" i="426" s="1"/>
  <c r="H12" i="426"/>
  <c r="G12" i="426" s="1"/>
  <c r="H11" i="426"/>
  <c r="D11" i="426" s="1"/>
  <c r="H10" i="426"/>
  <c r="G10" i="426" s="1"/>
  <c r="H9" i="426"/>
  <c r="D9" i="426" s="1"/>
  <c r="H8" i="426"/>
  <c r="G8" i="426" s="1"/>
  <c r="H7" i="426"/>
  <c r="D7" i="426" s="1"/>
  <c r="H6" i="426"/>
  <c r="G6" i="426" s="1"/>
  <c r="H5" i="426"/>
  <c r="G5" i="426" s="1"/>
  <c r="E20" i="426"/>
  <c r="B20" i="426"/>
  <c r="H20" i="426" l="1"/>
  <c r="D5" i="426"/>
  <c r="D18" i="426"/>
  <c r="D16" i="426"/>
  <c r="D14" i="426"/>
  <c r="D12" i="426"/>
  <c r="D10" i="426"/>
  <c r="D8" i="426"/>
  <c r="D6" i="426"/>
  <c r="G19" i="426"/>
  <c r="G17" i="426"/>
  <c r="G15" i="426"/>
  <c r="G13" i="426"/>
  <c r="G11" i="426"/>
  <c r="G9" i="426"/>
  <c r="G7" i="426"/>
  <c r="B34" i="425" l="1"/>
  <c r="H33" i="425"/>
  <c r="G33" i="425"/>
  <c r="E33" i="425"/>
  <c r="H32" i="425"/>
  <c r="G32" i="425"/>
  <c r="E32" i="425"/>
  <c r="H31" i="425"/>
  <c r="G31" i="425"/>
  <c r="E31" i="425"/>
  <c r="H30" i="425"/>
  <c r="G30" i="425"/>
  <c r="E30" i="425"/>
  <c r="H29" i="425"/>
  <c r="G29" i="425"/>
  <c r="E29" i="425"/>
  <c r="H28" i="425"/>
  <c r="G28" i="425"/>
  <c r="E28" i="425"/>
  <c r="H27" i="425"/>
  <c r="G27" i="425"/>
  <c r="E27" i="425"/>
  <c r="H26" i="425"/>
  <c r="G26" i="425"/>
  <c r="E26" i="425"/>
  <c r="H25" i="425"/>
  <c r="G25" i="425"/>
  <c r="E25" i="425"/>
  <c r="H24" i="425"/>
  <c r="G24" i="425"/>
  <c r="E24" i="425"/>
  <c r="H23" i="425"/>
  <c r="G23" i="425"/>
  <c r="E23" i="425"/>
  <c r="H22" i="425"/>
  <c r="G22" i="425"/>
  <c r="E22" i="425"/>
  <c r="H21" i="425"/>
  <c r="G21" i="425"/>
  <c r="E21" i="425"/>
  <c r="H20" i="425"/>
  <c r="G20" i="425"/>
  <c r="E20" i="425"/>
  <c r="H19" i="425"/>
  <c r="G19" i="425"/>
  <c r="E19" i="425"/>
  <c r="H18" i="425"/>
  <c r="G18" i="425"/>
  <c r="E18" i="425"/>
  <c r="H17" i="425"/>
  <c r="G17" i="425"/>
  <c r="E17" i="425"/>
  <c r="H16" i="425"/>
  <c r="G16" i="425"/>
  <c r="E16" i="425"/>
  <c r="H15" i="425"/>
  <c r="G15" i="425"/>
  <c r="E15" i="425"/>
  <c r="H14" i="425"/>
  <c r="G14" i="425"/>
  <c r="E14" i="425"/>
  <c r="H13" i="425"/>
  <c r="G13" i="425"/>
  <c r="E13" i="425"/>
  <c r="H12" i="425"/>
  <c r="G12" i="425"/>
  <c r="E12" i="425"/>
  <c r="H11" i="425"/>
  <c r="G11" i="425"/>
  <c r="E11" i="425"/>
  <c r="H10" i="425"/>
  <c r="G10" i="425"/>
  <c r="E10" i="425"/>
  <c r="H9" i="425"/>
  <c r="G9" i="425"/>
  <c r="E9" i="425"/>
  <c r="H8" i="425"/>
  <c r="G8" i="425"/>
  <c r="E8" i="425"/>
  <c r="H7" i="425"/>
  <c r="G7" i="425"/>
  <c r="E7" i="425"/>
  <c r="H6" i="425"/>
  <c r="G6" i="425"/>
  <c r="E6" i="425"/>
  <c r="H5" i="425"/>
  <c r="G5" i="425"/>
  <c r="E5" i="425"/>
  <c r="H4" i="425"/>
  <c r="G4" i="425"/>
  <c r="E4" i="425"/>
  <c r="E34" i="425" l="1"/>
  <c r="H34" i="425"/>
  <c r="G34" i="425"/>
  <c r="D13" i="423" l="1"/>
  <c r="C10" i="424" l="1"/>
  <c r="C12" i="422"/>
  <c r="B12" i="422"/>
  <c r="J10" i="424"/>
  <c r="H10" i="424"/>
  <c r="G10" i="424"/>
  <c r="F10" i="424"/>
  <c r="E10" i="424"/>
  <c r="D10" i="424"/>
  <c r="K9" i="424"/>
  <c r="K8" i="424"/>
  <c r="K7" i="424"/>
  <c r="K6" i="424"/>
  <c r="K5" i="424"/>
  <c r="K4" i="424"/>
  <c r="D10" i="422"/>
  <c r="D9" i="422"/>
  <c r="D8" i="422"/>
  <c r="D7" i="422"/>
  <c r="D6" i="422"/>
  <c r="D5" i="422"/>
  <c r="D4" i="422"/>
  <c r="K10" i="424" l="1"/>
  <c r="D12" i="422"/>
  <c r="B16" i="382" l="1"/>
  <c r="F38" i="341"/>
  <c r="B12" i="227" l="1"/>
  <c r="Q35" i="415"/>
  <c r="Q36" i="415" s="1"/>
  <c r="Q32" i="415"/>
  <c r="Q33" i="415" s="1"/>
  <c r="O31" i="415"/>
  <c r="O32" i="415" s="1"/>
  <c r="O35" i="415"/>
  <c r="C15" i="223"/>
  <c r="B15" i="223"/>
  <c r="E14" i="222"/>
  <c r="N28" i="218"/>
  <c r="B11" i="412" l="1"/>
  <c r="E16" i="29" l="1"/>
  <c r="F16" i="29"/>
  <c r="G16" i="29"/>
  <c r="H16" i="29"/>
  <c r="I16" i="29"/>
  <c r="J16" i="29"/>
  <c r="K16" i="29"/>
  <c r="L16" i="29"/>
  <c r="D16" i="29"/>
  <c r="G17" i="79"/>
  <c r="F18" i="79"/>
  <c r="D18" i="79"/>
  <c r="B18" i="79"/>
  <c r="C14" i="79"/>
  <c r="G15" i="79"/>
  <c r="G16" i="79"/>
  <c r="H5" i="79"/>
  <c r="E6" i="79"/>
  <c r="G7" i="79"/>
  <c r="G8" i="79"/>
  <c r="E9" i="79"/>
  <c r="G10" i="79"/>
  <c r="E11" i="79"/>
  <c r="G12" i="79"/>
  <c r="G13" i="79"/>
  <c r="G5" i="79" l="1"/>
  <c r="C6" i="79"/>
  <c r="N16" i="29"/>
  <c r="E16" i="79"/>
  <c r="E13" i="79"/>
  <c r="E5" i="79"/>
  <c r="E8" i="79"/>
  <c r="E7" i="79"/>
  <c r="E14" i="79"/>
  <c r="G14" i="79"/>
  <c r="H18" i="79"/>
  <c r="G18" i="79" s="1"/>
  <c r="E12" i="79"/>
  <c r="G6" i="79"/>
  <c r="E10" i="79"/>
  <c r="E17" i="79"/>
  <c r="C17" i="79"/>
  <c r="E15" i="79"/>
  <c r="G11" i="79"/>
  <c r="C9" i="79"/>
  <c r="G9" i="79"/>
  <c r="C11" i="79"/>
  <c r="C12" i="79"/>
  <c r="C7" i="79"/>
  <c r="C15" i="79"/>
  <c r="C10" i="79"/>
  <c r="C13" i="79"/>
  <c r="C8" i="79"/>
  <c r="C16" i="79"/>
  <c r="C13" i="283" l="1"/>
  <c r="C5" i="283"/>
  <c r="E15" i="29" l="1"/>
  <c r="L15" i="29"/>
  <c r="D15" i="29"/>
  <c r="B5" i="121"/>
  <c r="B6" i="121"/>
  <c r="B7" i="121"/>
  <c r="B8" i="121"/>
  <c r="B9" i="121"/>
  <c r="B10" i="121"/>
  <c r="B13" i="121"/>
  <c r="B12" i="121"/>
  <c r="B11" i="121"/>
  <c r="B15" i="121"/>
  <c r="B14" i="121"/>
  <c r="B17" i="121"/>
  <c r="B16" i="121"/>
  <c r="B19" i="121"/>
  <c r="B20" i="121"/>
  <c r="B18" i="121"/>
  <c r="B21" i="121"/>
  <c r="B22" i="121"/>
  <c r="B24" i="121"/>
  <c r="B23" i="121"/>
  <c r="B25" i="121"/>
  <c r="B26" i="121"/>
  <c r="B27" i="121"/>
  <c r="B28" i="121"/>
  <c r="B29" i="121"/>
  <c r="B30" i="121"/>
  <c r="B31" i="121"/>
  <c r="B32" i="121"/>
  <c r="B4" i="121"/>
  <c r="B33" i="121" l="1"/>
  <c r="D5" i="389"/>
  <c r="E5" i="389"/>
  <c r="D15" i="389"/>
  <c r="D15" i="407" l="1"/>
  <c r="D4" i="407"/>
  <c r="D5" i="407"/>
  <c r="D6" i="407"/>
  <c r="D7" i="407"/>
  <c r="D8" i="407"/>
  <c r="D9" i="407"/>
  <c r="D10" i="407"/>
  <c r="D11" i="407"/>
  <c r="D12" i="407"/>
  <c r="D13" i="407"/>
  <c r="D14" i="407"/>
  <c r="D16" i="407"/>
  <c r="O55" i="322" l="1"/>
  <c r="P57" i="322" s="1"/>
  <c r="E11" i="335"/>
  <c r="E14" i="336"/>
  <c r="B14" i="336"/>
  <c r="D16" i="400" l="1"/>
  <c r="F4" i="402" l="1"/>
  <c r="C12" i="402"/>
  <c r="I12" i="402" s="1"/>
  <c r="F12" i="402"/>
  <c r="G12" i="402" s="1"/>
  <c r="F11" i="402"/>
  <c r="G11" i="402" s="1"/>
  <c r="C11" i="402"/>
  <c r="F10" i="402"/>
  <c r="G10" i="402" s="1"/>
  <c r="C10" i="402"/>
  <c r="F9" i="402"/>
  <c r="G9" i="402" s="1"/>
  <c r="C9" i="402"/>
  <c r="F8" i="402"/>
  <c r="G8" i="402" s="1"/>
  <c r="C8" i="402"/>
  <c r="I8" i="402" s="1"/>
  <c r="F7" i="402"/>
  <c r="G7" i="402" s="1"/>
  <c r="C7" i="402"/>
  <c r="F6" i="402"/>
  <c r="G6" i="402" s="1"/>
  <c r="C6" i="402"/>
  <c r="F5" i="402"/>
  <c r="G5" i="402" s="1"/>
  <c r="C5" i="402"/>
  <c r="C4" i="402"/>
  <c r="I4" i="402" s="1"/>
  <c r="F15" i="401"/>
  <c r="F14" i="401"/>
  <c r="F13" i="401"/>
  <c r="F12" i="401"/>
  <c r="F11" i="401"/>
  <c r="F10" i="401"/>
  <c r="F9" i="401"/>
  <c r="F8" i="401"/>
  <c r="F7" i="401"/>
  <c r="F6" i="401"/>
  <c r="F5" i="401"/>
  <c r="F4" i="401"/>
  <c r="D15" i="400"/>
  <c r="D14" i="400"/>
  <c r="D13" i="400"/>
  <c r="D12" i="400"/>
  <c r="D11" i="400"/>
  <c r="D10" i="400"/>
  <c r="D9" i="400"/>
  <c r="D8" i="400"/>
  <c r="D7" i="400"/>
  <c r="D6" i="400"/>
  <c r="E15" i="398"/>
  <c r="E11" i="241"/>
  <c r="D11" i="241"/>
  <c r="C11" i="241"/>
  <c r="B11" i="241"/>
  <c r="B11" i="240"/>
  <c r="D17" i="400" l="1"/>
  <c r="C19" i="400" s="1"/>
  <c r="H6" i="402"/>
  <c r="H10" i="402"/>
  <c r="H5" i="402"/>
  <c r="H9" i="402"/>
  <c r="H7" i="402"/>
  <c r="H11" i="402"/>
  <c r="I11" i="402"/>
  <c r="I7" i="402"/>
  <c r="H8" i="402"/>
  <c r="H4" i="402"/>
  <c r="I10" i="402"/>
  <c r="I6" i="402"/>
  <c r="I9" i="402"/>
  <c r="I5" i="402"/>
  <c r="G4" i="402"/>
  <c r="H12" i="402"/>
  <c r="I6" i="235"/>
  <c r="I7" i="235"/>
  <c r="I8" i="235"/>
  <c r="I9" i="235"/>
  <c r="I10" i="235"/>
  <c r="I11" i="235"/>
  <c r="I5" i="235"/>
  <c r="I4" i="235"/>
  <c r="B11" i="230"/>
  <c r="B15" i="222"/>
  <c r="B15" i="219"/>
  <c r="B15" i="215"/>
  <c r="E8" i="283"/>
  <c r="I12" i="235" l="1"/>
  <c r="J4" i="235" s="1"/>
  <c r="B9" i="391"/>
  <c r="C9" i="391"/>
  <c r="D9" i="391"/>
  <c r="E9" i="391"/>
  <c r="F9" i="391"/>
  <c r="G9" i="391"/>
  <c r="I9" i="391"/>
  <c r="F6" i="385" l="1"/>
  <c r="F7" i="385"/>
  <c r="F8" i="385"/>
  <c r="F9" i="385"/>
  <c r="F10" i="385"/>
  <c r="F11" i="385"/>
  <c r="F5" i="385"/>
  <c r="F4" i="385"/>
  <c r="D16" i="383"/>
  <c r="E16" i="383"/>
  <c r="F16" i="383"/>
  <c r="G16" i="383"/>
  <c r="I16" i="383"/>
  <c r="J16" i="383"/>
  <c r="L16" i="383"/>
  <c r="N16" i="383"/>
  <c r="O16" i="383"/>
  <c r="C16" i="383"/>
  <c r="C5" i="384"/>
  <c r="C6" i="384"/>
  <c r="C7" i="384"/>
  <c r="C8" i="384"/>
  <c r="C9" i="384"/>
  <c r="C10" i="384"/>
  <c r="C11" i="384"/>
  <c r="C12" i="384"/>
  <c r="C13" i="384"/>
  <c r="C14" i="384"/>
  <c r="C15" i="384"/>
  <c r="E15" i="384"/>
  <c r="B5" i="384"/>
  <c r="D5" i="384"/>
  <c r="E5" i="384"/>
  <c r="F5" i="384"/>
  <c r="G5" i="384"/>
  <c r="H5" i="384"/>
  <c r="I5" i="384"/>
  <c r="J5" i="384"/>
  <c r="B6" i="384"/>
  <c r="D6" i="384"/>
  <c r="E6" i="384"/>
  <c r="F6" i="384"/>
  <c r="G6" i="384"/>
  <c r="H6" i="384"/>
  <c r="I6" i="384"/>
  <c r="J6" i="384"/>
  <c r="B7" i="384"/>
  <c r="D7" i="384"/>
  <c r="E7" i="384"/>
  <c r="F7" i="384"/>
  <c r="G7" i="384"/>
  <c r="H7" i="384"/>
  <c r="I7" i="384"/>
  <c r="J7" i="384"/>
  <c r="B8" i="384"/>
  <c r="D8" i="384"/>
  <c r="E8" i="384"/>
  <c r="F8" i="384"/>
  <c r="G8" i="384"/>
  <c r="H8" i="384"/>
  <c r="I8" i="384"/>
  <c r="J8" i="384"/>
  <c r="B9" i="384"/>
  <c r="D9" i="384"/>
  <c r="E9" i="384"/>
  <c r="F9" i="384"/>
  <c r="G9" i="384"/>
  <c r="H9" i="384"/>
  <c r="I9" i="384"/>
  <c r="J9" i="384"/>
  <c r="B10" i="384"/>
  <c r="D10" i="384"/>
  <c r="E10" i="384"/>
  <c r="F10" i="384"/>
  <c r="G10" i="384"/>
  <c r="H10" i="384"/>
  <c r="I10" i="384"/>
  <c r="J10" i="384"/>
  <c r="B11" i="384"/>
  <c r="D11" i="384"/>
  <c r="E11" i="384"/>
  <c r="F11" i="384"/>
  <c r="G11" i="384"/>
  <c r="H11" i="384"/>
  <c r="I11" i="384"/>
  <c r="J11" i="384"/>
  <c r="B12" i="384"/>
  <c r="D12" i="384"/>
  <c r="E12" i="384"/>
  <c r="F12" i="384"/>
  <c r="G12" i="384"/>
  <c r="H12" i="384"/>
  <c r="I12" i="384"/>
  <c r="J12" i="384"/>
  <c r="B13" i="384"/>
  <c r="D13" i="384"/>
  <c r="E13" i="384"/>
  <c r="F13" i="384"/>
  <c r="G13" i="384"/>
  <c r="H13" i="384"/>
  <c r="I13" i="384"/>
  <c r="J13" i="384"/>
  <c r="B14" i="384"/>
  <c r="D14" i="384"/>
  <c r="F14" i="384"/>
  <c r="B15" i="384"/>
  <c r="D15" i="384"/>
  <c r="F15" i="384"/>
  <c r="G15" i="384"/>
  <c r="H15" i="384"/>
  <c r="I15" i="384"/>
  <c r="J15" i="384"/>
  <c r="F16" i="61"/>
  <c r="F12" i="338"/>
  <c r="D16" i="384" l="1"/>
  <c r="F16" i="384"/>
  <c r="K15" i="384"/>
  <c r="C16" i="384"/>
  <c r="C15" i="226" l="1"/>
  <c r="D15" i="226"/>
  <c r="E15" i="226"/>
  <c r="F15" i="226"/>
  <c r="G15" i="226"/>
  <c r="B15" i="226"/>
  <c r="H5" i="233"/>
  <c r="H6" i="233"/>
  <c r="H7" i="233"/>
  <c r="H8" i="233"/>
  <c r="H9" i="233"/>
  <c r="H10" i="233"/>
  <c r="C12" i="235"/>
  <c r="D12" i="235"/>
  <c r="E12" i="235"/>
  <c r="F12" i="235"/>
  <c r="G12" i="235"/>
  <c r="H12" i="235"/>
  <c r="G57" i="399" l="1"/>
  <c r="H16" i="399"/>
  <c r="E16" i="399"/>
  <c r="B6" i="399"/>
  <c r="H5" i="399"/>
  <c r="E5" i="399"/>
  <c r="B5" i="399"/>
  <c r="H4" i="399"/>
  <c r="E4" i="399"/>
  <c r="N15" i="398"/>
  <c r="M15" i="398"/>
  <c r="L15" i="398"/>
  <c r="K15" i="398"/>
  <c r="J15" i="398"/>
  <c r="I15" i="398"/>
  <c r="H15" i="398"/>
  <c r="G15" i="398"/>
  <c r="F15" i="398"/>
  <c r="D15" i="398"/>
  <c r="C15" i="398"/>
  <c r="B15" i="398"/>
  <c r="D16" i="399" l="1"/>
  <c r="C16" i="399" s="1"/>
  <c r="D5" i="399"/>
  <c r="C5" i="399" s="1"/>
  <c r="D4" i="399"/>
  <c r="C4" i="399" s="1"/>
  <c r="B11" i="233"/>
  <c r="I12" i="236" l="1"/>
  <c r="I11" i="236"/>
  <c r="I10" i="236"/>
  <c r="I9" i="236"/>
  <c r="I8" i="236"/>
  <c r="I7" i="236"/>
  <c r="I6" i="236"/>
  <c r="I5" i="236"/>
  <c r="I4" i="236"/>
  <c r="F13" i="236"/>
  <c r="G13" i="236"/>
  <c r="H13" i="236"/>
  <c r="B12" i="235"/>
  <c r="C11" i="242"/>
  <c r="D11" i="242"/>
  <c r="E11" i="242"/>
  <c r="F11" i="242"/>
  <c r="G11" i="242"/>
  <c r="B11" i="242"/>
  <c r="H8" i="242"/>
  <c r="K8" i="242" s="1"/>
  <c r="H9" i="242"/>
  <c r="H10" i="242"/>
  <c r="I10" i="242" s="1"/>
  <c r="B11" i="238"/>
  <c r="C11" i="239"/>
  <c r="B11" i="239"/>
  <c r="C11" i="240"/>
  <c r="C11" i="214"/>
  <c r="D11" i="214"/>
  <c r="E11" i="214"/>
  <c r="B11" i="214"/>
  <c r="I13" i="236" l="1"/>
  <c r="L10" i="242"/>
  <c r="L9" i="242"/>
  <c r="N9" i="242"/>
  <c r="J9" i="242"/>
  <c r="K9" i="242"/>
  <c r="M9" i="242"/>
  <c r="I9" i="242"/>
  <c r="J8" i="242"/>
  <c r="N8" i="242"/>
  <c r="I8" i="242"/>
  <c r="M8" i="242"/>
  <c r="L8" i="242"/>
  <c r="K10" i="242"/>
  <c r="N10" i="242"/>
  <c r="J10" i="242"/>
  <c r="M10" i="242"/>
  <c r="F8" i="241"/>
  <c r="I8" i="241" s="1"/>
  <c r="F9" i="241"/>
  <c r="H9" i="241" s="1"/>
  <c r="F10" i="241"/>
  <c r="G10" i="241" s="1"/>
  <c r="F8" i="214"/>
  <c r="G8" i="214" s="1"/>
  <c r="F9" i="214"/>
  <c r="I9" i="214" s="1"/>
  <c r="F10" i="214"/>
  <c r="H10" i="214" s="1"/>
  <c r="D8" i="240"/>
  <c r="E8" i="240" s="1"/>
  <c r="D9" i="240"/>
  <c r="E9" i="240" s="1"/>
  <c r="D10" i="240"/>
  <c r="E10" i="240" s="1"/>
  <c r="G8" i="241" l="1"/>
  <c r="J10" i="241"/>
  <c r="J9" i="241"/>
  <c r="G9" i="241"/>
  <c r="J8" i="241"/>
  <c r="H8" i="241"/>
  <c r="I10" i="241"/>
  <c r="H10" i="241"/>
  <c r="I9" i="241"/>
  <c r="J10" i="214"/>
  <c r="G10" i="214"/>
  <c r="H9" i="214"/>
  <c r="G9" i="214"/>
  <c r="J9" i="214"/>
  <c r="I8" i="214"/>
  <c r="J8" i="214"/>
  <c r="H8" i="214"/>
  <c r="I10" i="214"/>
  <c r="F9" i="240"/>
  <c r="F8" i="240"/>
  <c r="F10" i="240"/>
  <c r="D8" i="239" l="1"/>
  <c r="F8" i="239" s="1"/>
  <c r="D9" i="239"/>
  <c r="E9" i="239" s="1"/>
  <c r="D10" i="239"/>
  <c r="E10" i="239" s="1"/>
  <c r="C10" i="238"/>
  <c r="F9" i="239" l="1"/>
  <c r="F10" i="239"/>
  <c r="E8" i="239"/>
  <c r="C9" i="238"/>
  <c r="C8" i="238"/>
  <c r="C11" i="233"/>
  <c r="D11" i="233"/>
  <c r="E11" i="233"/>
  <c r="F11" i="233"/>
  <c r="G11" i="233"/>
  <c r="I8" i="233"/>
  <c r="I9" i="233"/>
  <c r="J9" i="233"/>
  <c r="C11" i="231"/>
  <c r="D11" i="231"/>
  <c r="E11" i="231"/>
  <c r="C11" i="232"/>
  <c r="D11" i="232"/>
  <c r="E11" i="232"/>
  <c r="F11" i="232"/>
  <c r="G11" i="232"/>
  <c r="B11" i="232"/>
  <c r="H8" i="232"/>
  <c r="H9" i="232"/>
  <c r="H10" i="232"/>
  <c r="B11" i="231"/>
  <c r="F8" i="231"/>
  <c r="I8" i="231" s="1"/>
  <c r="F9" i="231"/>
  <c r="I9" i="231" s="1"/>
  <c r="F10" i="231"/>
  <c r="H10" i="231" s="1"/>
  <c r="C15" i="215"/>
  <c r="B15" i="217"/>
  <c r="C15" i="219"/>
  <c r="D15" i="219"/>
  <c r="D7" i="229"/>
  <c r="B11" i="229"/>
  <c r="D10" i="229"/>
  <c r="E10" i="229" s="1"/>
  <c r="D8" i="229"/>
  <c r="F8" i="229" s="1"/>
  <c r="D9" i="229"/>
  <c r="F9" i="229" s="1"/>
  <c r="C11" i="229"/>
  <c r="P11" i="227"/>
  <c r="Q11" i="227"/>
  <c r="R11" i="227"/>
  <c r="S11" i="227"/>
  <c r="T11" i="227"/>
  <c r="U11" i="227"/>
  <c r="S5" i="227"/>
  <c r="R5" i="227"/>
  <c r="Q5" i="227"/>
  <c r="C10" i="227"/>
  <c r="D10" i="227"/>
  <c r="D12" i="227" s="1"/>
  <c r="E10" i="227"/>
  <c r="F10" i="227"/>
  <c r="G10" i="227"/>
  <c r="U10" i="227" s="1"/>
  <c r="G9" i="227"/>
  <c r="H9" i="227" s="1"/>
  <c r="G8" i="227"/>
  <c r="H8" i="227" s="1"/>
  <c r="G7" i="227"/>
  <c r="H7" i="227" s="1"/>
  <c r="G6" i="227"/>
  <c r="H6" i="227" s="1"/>
  <c r="G5" i="227"/>
  <c r="U5" i="227" s="1"/>
  <c r="G4" i="227"/>
  <c r="H11" i="227"/>
  <c r="P9" i="227"/>
  <c r="Q9" i="227"/>
  <c r="R9" i="227"/>
  <c r="S9" i="227"/>
  <c r="T9" i="227"/>
  <c r="P10" i="227"/>
  <c r="P5" i="227"/>
  <c r="T5" i="227"/>
  <c r="B9" i="225"/>
  <c r="B12" i="225" s="1"/>
  <c r="C12" i="225"/>
  <c r="J8" i="225"/>
  <c r="K11" i="225"/>
  <c r="J11" i="225"/>
  <c r="K10" i="225"/>
  <c r="J10" i="225"/>
  <c r="I5" i="225"/>
  <c r="I6" i="225"/>
  <c r="I7" i="225"/>
  <c r="I8" i="225"/>
  <c r="I9" i="225"/>
  <c r="I10" i="225"/>
  <c r="I11" i="225"/>
  <c r="I4" i="225"/>
  <c r="D10" i="225"/>
  <c r="E10" i="225" s="1"/>
  <c r="D11" i="225"/>
  <c r="E11" i="225" s="1"/>
  <c r="D5" i="225"/>
  <c r="J5" i="225"/>
  <c r="K5" i="225"/>
  <c r="K7" i="223"/>
  <c r="G14" i="223"/>
  <c r="I14" i="223" s="1"/>
  <c r="G13" i="223"/>
  <c r="I13" i="223" s="1"/>
  <c r="G12" i="223"/>
  <c r="I12" i="223" s="1"/>
  <c r="G11" i="223"/>
  <c r="G7" i="223"/>
  <c r="I7" i="223" s="1"/>
  <c r="D4" i="223"/>
  <c r="D5" i="223"/>
  <c r="E5" i="223" s="1"/>
  <c r="D6" i="223"/>
  <c r="F6" i="223" s="1"/>
  <c r="D7" i="223"/>
  <c r="D9" i="225" l="1"/>
  <c r="F9" i="225" s="1"/>
  <c r="R10" i="227"/>
  <c r="H5" i="227"/>
  <c r="E7" i="223"/>
  <c r="J14" i="223"/>
  <c r="Q10" i="227"/>
  <c r="C12" i="227"/>
  <c r="H4" i="227"/>
  <c r="G12" i="227"/>
  <c r="S10" i="227"/>
  <c r="E12" i="227"/>
  <c r="T10" i="227"/>
  <c r="F12" i="227"/>
  <c r="E6" i="223"/>
  <c r="F4" i="223"/>
  <c r="J7" i="223"/>
  <c r="E4" i="223"/>
  <c r="L10" i="232"/>
  <c r="K8" i="232"/>
  <c r="U9" i="227"/>
  <c r="N9" i="233"/>
  <c r="M9" i="233"/>
  <c r="L9" i="233"/>
  <c r="K9" i="233"/>
  <c r="M8" i="233"/>
  <c r="N8" i="233"/>
  <c r="K8" i="233"/>
  <c r="L8" i="233"/>
  <c r="J8" i="233"/>
  <c r="I7" i="233"/>
  <c r="L7" i="233"/>
  <c r="K7" i="233"/>
  <c r="N7" i="233"/>
  <c r="J7" i="233"/>
  <c r="M7" i="233"/>
  <c r="L9" i="232"/>
  <c r="M9" i="232"/>
  <c r="I9" i="232"/>
  <c r="K9" i="232"/>
  <c r="N9" i="232"/>
  <c r="J9" i="232"/>
  <c r="M8" i="232"/>
  <c r="J8" i="232"/>
  <c r="L8" i="232"/>
  <c r="N8" i="232"/>
  <c r="I8" i="232"/>
  <c r="K10" i="232"/>
  <c r="N10" i="232"/>
  <c r="J10" i="232"/>
  <c r="M10" i="232"/>
  <c r="I10" i="232"/>
  <c r="J10" i="231"/>
  <c r="G10" i="231"/>
  <c r="G9" i="231"/>
  <c r="J9" i="231"/>
  <c r="H9" i="231"/>
  <c r="J8" i="231"/>
  <c r="H8" i="231"/>
  <c r="G8" i="231"/>
  <c r="I10" i="231"/>
  <c r="F10" i="229"/>
  <c r="E9" i="229"/>
  <c r="E8" i="229"/>
  <c r="H10" i="227"/>
  <c r="F5" i="225"/>
  <c r="E5" i="225"/>
  <c r="F11" i="225"/>
  <c r="F10" i="225"/>
  <c r="F5" i="223"/>
  <c r="F7" i="223"/>
  <c r="E9" i="225" l="1"/>
  <c r="H12" i="227"/>
  <c r="D12" i="223"/>
  <c r="D13" i="223"/>
  <c r="D14" i="223"/>
  <c r="F14" i="223" l="1"/>
  <c r="E13" i="223"/>
  <c r="E12" i="223"/>
  <c r="E14" i="223"/>
  <c r="F12" i="223"/>
  <c r="F13" i="223"/>
  <c r="J13" i="223"/>
  <c r="K13" i="223"/>
  <c r="K14" i="223"/>
  <c r="J12" i="223"/>
  <c r="G12" i="228"/>
  <c r="L12" i="228" s="1"/>
  <c r="G13" i="228"/>
  <c r="J13" i="228" s="1"/>
  <c r="G14" i="228"/>
  <c r="I14" i="228" s="1"/>
  <c r="B15" i="228"/>
  <c r="C15" i="228"/>
  <c r="D15" i="228"/>
  <c r="E15" i="228"/>
  <c r="F15" i="228"/>
  <c r="H12" i="226"/>
  <c r="H13" i="226"/>
  <c r="H14" i="226"/>
  <c r="C15" i="224"/>
  <c r="B15" i="224"/>
  <c r="D11" i="224"/>
  <c r="E11" i="224" s="1"/>
  <c r="D12" i="224"/>
  <c r="F12" i="224" s="1"/>
  <c r="D13" i="224"/>
  <c r="F13" i="224" s="1"/>
  <c r="D14" i="224"/>
  <c r="E14" i="224" s="1"/>
  <c r="E12" i="222"/>
  <c r="G12" i="222" s="1"/>
  <c r="E13" i="222"/>
  <c r="F13" i="222" s="1"/>
  <c r="G14" i="222"/>
  <c r="E11" i="222"/>
  <c r="C15" i="222"/>
  <c r="D15" i="222"/>
  <c r="D12" i="215"/>
  <c r="D13" i="215"/>
  <c r="D14" i="215"/>
  <c r="E12" i="219"/>
  <c r="F12" i="219" s="1"/>
  <c r="E13" i="219"/>
  <c r="F13" i="219" s="1"/>
  <c r="E14" i="219"/>
  <c r="G14" i="219" s="1"/>
  <c r="C36" i="218"/>
  <c r="D36" i="218"/>
  <c r="E36" i="218"/>
  <c r="F36" i="218"/>
  <c r="G36" i="218"/>
  <c r="H36" i="218"/>
  <c r="I36" i="218"/>
  <c r="J36" i="218"/>
  <c r="K36" i="218"/>
  <c r="L36" i="218"/>
  <c r="N5" i="218"/>
  <c r="N6" i="218"/>
  <c r="N7" i="218"/>
  <c r="N8" i="218"/>
  <c r="N9" i="218"/>
  <c r="N10" i="218"/>
  <c r="N11" i="218"/>
  <c r="N12" i="218"/>
  <c r="N13" i="218"/>
  <c r="N14" i="218"/>
  <c r="N15" i="218"/>
  <c r="N16" i="218"/>
  <c r="N17" i="218"/>
  <c r="N18" i="218"/>
  <c r="N19" i="218"/>
  <c r="N20" i="218"/>
  <c r="N21" i="218"/>
  <c r="N22" i="218"/>
  <c r="N23" i="218"/>
  <c r="N24" i="218"/>
  <c r="N25" i="218"/>
  <c r="N26" i="218"/>
  <c r="N27" i="218"/>
  <c r="N29" i="218"/>
  <c r="N30" i="218"/>
  <c r="N31" i="218"/>
  <c r="N32" i="218"/>
  <c r="N33" i="218"/>
  <c r="N34" i="218"/>
  <c r="N35" i="218"/>
  <c r="N4" i="218"/>
  <c r="C15" i="217"/>
  <c r="D15" i="217"/>
  <c r="E15" i="217"/>
  <c r="F15" i="217"/>
  <c r="G15" i="217"/>
  <c r="H15" i="217"/>
  <c r="I15" i="217"/>
  <c r="J15" i="217"/>
  <c r="K12" i="217"/>
  <c r="K13" i="217"/>
  <c r="K14" i="217"/>
  <c r="M14" i="217" s="1"/>
  <c r="D4" i="215"/>
  <c r="D5" i="215"/>
  <c r="D6" i="215"/>
  <c r="D7" i="215"/>
  <c r="D8" i="215"/>
  <c r="C4" i="230" s="1"/>
  <c r="D9" i="215"/>
  <c r="C5" i="230" s="1"/>
  <c r="D5" i="230" s="1"/>
  <c r="D10" i="215"/>
  <c r="C6" i="230" s="1"/>
  <c r="D6" i="230" s="1"/>
  <c r="D11" i="215"/>
  <c r="C7" i="230" s="1"/>
  <c r="D7" i="230" s="1"/>
  <c r="E12" i="224" l="1"/>
  <c r="I13" i="228"/>
  <c r="G13" i="222"/>
  <c r="J12" i="228"/>
  <c r="J14" i="226"/>
  <c r="L13" i="226"/>
  <c r="F12" i="222"/>
  <c r="L13" i="228"/>
  <c r="N13" i="217"/>
  <c r="K25" i="217"/>
  <c r="J12" i="226"/>
  <c r="N36" i="218"/>
  <c r="K13" i="226"/>
  <c r="I12" i="228"/>
  <c r="H12" i="228"/>
  <c r="D15" i="215"/>
  <c r="H13" i="228"/>
  <c r="F14" i="222"/>
  <c r="D4" i="230"/>
  <c r="E13" i="215"/>
  <c r="C9" i="230"/>
  <c r="D9" i="230" s="1"/>
  <c r="F12" i="215"/>
  <c r="C8" i="230"/>
  <c r="D8" i="230" s="1"/>
  <c r="E14" i="215"/>
  <c r="C10" i="230"/>
  <c r="T14" i="217"/>
  <c r="P14" i="217"/>
  <c r="L14" i="217"/>
  <c r="Q13" i="217"/>
  <c r="M13" i="217"/>
  <c r="S14" i="217"/>
  <c r="O14" i="217"/>
  <c r="T13" i="217"/>
  <c r="P13" i="217"/>
  <c r="L13" i="217"/>
  <c r="R14" i="217"/>
  <c r="N14" i="217"/>
  <c r="S13" i="217"/>
  <c r="O13" i="217"/>
  <c r="Q14" i="217"/>
  <c r="R13" i="217"/>
  <c r="H13" i="219"/>
  <c r="H12" i="219"/>
  <c r="H14" i="219"/>
  <c r="G13" i="219"/>
  <c r="G12" i="219"/>
  <c r="F14" i="219"/>
  <c r="M12" i="226"/>
  <c r="I12" i="226"/>
  <c r="L14" i="228"/>
  <c r="H14" i="228"/>
  <c r="K14" i="228"/>
  <c r="J14" i="228"/>
  <c r="K13" i="228"/>
  <c r="K12" i="228"/>
  <c r="M14" i="226"/>
  <c r="L14" i="226"/>
  <c r="N13" i="226"/>
  <c r="J13" i="226"/>
  <c r="L12" i="226"/>
  <c r="I14" i="226"/>
  <c r="K14" i="226"/>
  <c r="M13" i="226"/>
  <c r="I13" i="226"/>
  <c r="K12" i="226"/>
  <c r="N14" i="226"/>
  <c r="N12" i="226"/>
  <c r="F14" i="224"/>
  <c r="E13" i="224"/>
  <c r="F11" i="224"/>
  <c r="E12" i="215"/>
  <c r="F14" i="215"/>
  <c r="F13" i="215"/>
  <c r="E9" i="282"/>
  <c r="E10" i="282"/>
  <c r="E11" i="282"/>
  <c r="E12" i="282"/>
  <c r="E13" i="282"/>
  <c r="E14" i="282"/>
  <c r="E15" i="282"/>
  <c r="E16" i="282"/>
  <c r="F16" i="282" s="1"/>
  <c r="E17" i="282"/>
  <c r="F17" i="282" s="1"/>
  <c r="E7" i="282"/>
  <c r="E5" i="282"/>
  <c r="C5" i="307"/>
  <c r="C6" i="307"/>
  <c r="C7" i="307"/>
  <c r="C8" i="307"/>
  <c r="C9" i="307"/>
  <c r="C10" i="307"/>
  <c r="C11" i="307"/>
  <c r="C4" i="307"/>
  <c r="H7" i="397"/>
  <c r="G7" i="397"/>
  <c r="F7" i="397"/>
  <c r="E7" i="397"/>
  <c r="D7" i="397"/>
  <c r="C7" i="397"/>
  <c r="B7" i="397"/>
  <c r="I6" i="397"/>
  <c r="I5" i="397"/>
  <c r="G8" i="396"/>
  <c r="F8" i="396"/>
  <c r="E8" i="396"/>
  <c r="D8" i="396"/>
  <c r="C8" i="396"/>
  <c r="H7" i="396"/>
  <c r="I7" i="396" s="1"/>
  <c r="H6" i="396"/>
  <c r="B6" i="396"/>
  <c r="H5" i="396"/>
  <c r="B5" i="396"/>
  <c r="G16" i="282" l="1"/>
  <c r="I7" i="397"/>
  <c r="C5" i="79"/>
  <c r="H8" i="396"/>
  <c r="I6" i="396"/>
  <c r="I5" i="396"/>
  <c r="C11" i="230"/>
  <c r="G17" i="282"/>
  <c r="B8" i="396"/>
  <c r="I8" i="396" l="1"/>
  <c r="C18" i="79"/>
  <c r="E18" i="79"/>
  <c r="C15" i="78"/>
  <c r="D17" i="395"/>
  <c r="G15" i="78" l="1"/>
  <c r="E15" i="78"/>
  <c r="D16" i="395"/>
  <c r="B15" i="395"/>
  <c r="D15" i="395" s="1"/>
  <c r="D14" i="395"/>
  <c r="D13" i="395"/>
  <c r="D12" i="395"/>
  <c r="D11" i="395"/>
  <c r="D10" i="395"/>
  <c r="D9" i="395"/>
  <c r="D8" i="395"/>
  <c r="D7" i="395"/>
  <c r="D6" i="395"/>
  <c r="D5" i="395"/>
  <c r="B13" i="393"/>
  <c r="C12" i="393" s="1"/>
  <c r="B12" i="392"/>
  <c r="C10" i="392" s="1"/>
  <c r="B14" i="283"/>
  <c r="E12" i="283"/>
  <c r="D4" i="74"/>
  <c r="D5" i="74"/>
  <c r="D6" i="74"/>
  <c r="D7" i="74"/>
  <c r="D8" i="74"/>
  <c r="D9" i="74"/>
  <c r="D10" i="74"/>
  <c r="D11" i="74"/>
  <c r="D12" i="74"/>
  <c r="D3" i="74"/>
  <c r="D15" i="72"/>
  <c r="D16" i="72"/>
  <c r="D16" i="74" l="1"/>
  <c r="E14" i="283"/>
  <c r="C5" i="393"/>
  <c r="C4" i="392"/>
  <c r="C11" i="392"/>
  <c r="C9" i="393"/>
  <c r="C7" i="392"/>
  <c r="C8" i="392"/>
  <c r="C6" i="393"/>
  <c r="C10" i="393"/>
  <c r="C7" i="393"/>
  <c r="C11" i="393"/>
  <c r="C4" i="393"/>
  <c r="C8" i="393"/>
  <c r="C5" i="392"/>
  <c r="C9" i="392"/>
  <c r="C6" i="392"/>
  <c r="C12" i="392" l="1"/>
  <c r="C13" i="393"/>
  <c r="F15" i="29" l="1"/>
  <c r="H15" i="29"/>
  <c r="I15" i="29"/>
  <c r="G5" i="54"/>
  <c r="G6" i="54"/>
  <c r="G7" i="54"/>
  <c r="G8" i="54"/>
  <c r="G9" i="54"/>
  <c r="G10" i="54"/>
  <c r="G11" i="54"/>
  <c r="G12" i="54"/>
  <c r="G13" i="54"/>
  <c r="G14" i="54"/>
  <c r="G15" i="54"/>
  <c r="G4" i="54"/>
  <c r="B16" i="54"/>
  <c r="B17" i="54" s="1"/>
  <c r="C33" i="121"/>
  <c r="D33" i="121"/>
  <c r="E33" i="121"/>
  <c r="F33" i="121"/>
  <c r="G33" i="121"/>
  <c r="H33" i="121"/>
  <c r="I33" i="121"/>
  <c r="J33" i="121"/>
  <c r="K33" i="121"/>
  <c r="K5" i="391"/>
  <c r="K6" i="391"/>
  <c r="K7" i="391"/>
  <c r="K8" i="391"/>
  <c r="J4" i="391"/>
  <c r="J9" i="391" s="1"/>
  <c r="G15" i="29" l="1"/>
  <c r="K15" i="29"/>
  <c r="J15" i="29"/>
  <c r="K4" i="391"/>
  <c r="K9" i="391" s="1"/>
  <c r="H9" i="391"/>
  <c r="G16" i="54"/>
  <c r="G17" i="54" l="1"/>
  <c r="N15" i="29"/>
  <c r="L17" i="390" l="1"/>
  <c r="N17" i="390"/>
  <c r="N16" i="390"/>
  <c r="L16" i="390"/>
  <c r="N15" i="390"/>
  <c r="L15" i="390"/>
  <c r="N14" i="390"/>
  <c r="L14" i="390"/>
  <c r="N13" i="390"/>
  <c r="L13" i="390"/>
  <c r="N12" i="390"/>
  <c r="L12" i="390"/>
  <c r="N11" i="390"/>
  <c r="L11" i="390"/>
  <c r="N10" i="390"/>
  <c r="L10" i="390"/>
  <c r="N9" i="390"/>
  <c r="L9" i="390"/>
  <c r="N8" i="390"/>
  <c r="L8" i="390"/>
  <c r="N7" i="390"/>
  <c r="L7" i="390"/>
  <c r="N6" i="390"/>
  <c r="L6" i="390"/>
  <c r="N5" i="390"/>
  <c r="E15" i="389"/>
  <c r="F43" i="387"/>
  <c r="B14" i="389"/>
  <c r="E13" i="389"/>
  <c r="D13" i="389"/>
  <c r="E11" i="389"/>
  <c r="D11" i="389"/>
  <c r="E10" i="389"/>
  <c r="D10" i="389"/>
  <c r="E9" i="389"/>
  <c r="D9" i="389"/>
  <c r="E8" i="389"/>
  <c r="D8" i="389"/>
  <c r="E7" i="389"/>
  <c r="D7" i="389"/>
  <c r="E6" i="389"/>
  <c r="D6" i="389"/>
  <c r="E4" i="389"/>
  <c r="D4" i="389"/>
  <c r="F32" i="387"/>
  <c r="P20" i="387" s="1"/>
  <c r="F33" i="387"/>
  <c r="F34" i="387"/>
  <c r="F35" i="387"/>
  <c r="F36" i="387"/>
  <c r="F37" i="387"/>
  <c r="F38" i="387"/>
  <c r="F39" i="387"/>
  <c r="F40" i="387"/>
  <c r="F41" i="387"/>
  <c r="F42" i="387"/>
  <c r="F31" i="387"/>
  <c r="F30" i="387"/>
  <c r="F29" i="387"/>
  <c r="E28" i="387"/>
  <c r="D28" i="387"/>
  <c r="C28" i="387"/>
  <c r="F27" i="387"/>
  <c r="P15" i="387" s="1"/>
  <c r="F26" i="387"/>
  <c r="F25" i="387"/>
  <c r="F24" i="387"/>
  <c r="F23" i="387"/>
  <c r="F22" i="387"/>
  <c r="F21" i="387"/>
  <c r="Q9" i="387" s="1"/>
  <c r="F20" i="387"/>
  <c r="P19" i="387"/>
  <c r="F19" i="387"/>
  <c r="F18" i="387"/>
  <c r="F17" i="387"/>
  <c r="F16" i="387"/>
  <c r="F15" i="387"/>
  <c r="P14" i="387"/>
  <c r="F14" i="387"/>
  <c r="F13" i="387"/>
  <c r="F12" i="387"/>
  <c r="F11" i="387"/>
  <c r="F10" i="387"/>
  <c r="F9" i="387"/>
  <c r="F8" i="387"/>
  <c r="O7" i="387"/>
  <c r="F7" i="387"/>
  <c r="F6" i="387"/>
  <c r="F5" i="387"/>
  <c r="BK21" i="386"/>
  <c r="BM20" i="386"/>
  <c r="BM19" i="386"/>
  <c r="BG19" i="386"/>
  <c r="BF19" i="386"/>
  <c r="C19" i="386"/>
  <c r="BM18" i="386"/>
  <c r="BG18" i="386"/>
  <c r="BF18" i="386"/>
  <c r="B18" i="386"/>
  <c r="BM17" i="386"/>
  <c r="BG17" i="386"/>
  <c r="BF17" i="386"/>
  <c r="B17" i="386"/>
  <c r="BM16" i="386"/>
  <c r="BG16" i="386"/>
  <c r="BF16" i="386"/>
  <c r="B16" i="386"/>
  <c r="BM15" i="386"/>
  <c r="BG15" i="386"/>
  <c r="BF15" i="386"/>
  <c r="B15" i="386"/>
  <c r="BM14" i="386"/>
  <c r="BG14" i="386"/>
  <c r="BF14" i="386"/>
  <c r="B14" i="386"/>
  <c r="BM13" i="386"/>
  <c r="BG13" i="386"/>
  <c r="BF13" i="386"/>
  <c r="B13" i="386"/>
  <c r="BM12" i="386"/>
  <c r="BG12" i="386"/>
  <c r="BF12" i="386"/>
  <c r="B12" i="386"/>
  <c r="BM11" i="386"/>
  <c r="BG11" i="386"/>
  <c r="BF11" i="386"/>
  <c r="B11" i="386"/>
  <c r="BM10" i="386"/>
  <c r="BG10" i="386"/>
  <c r="BF10" i="386"/>
  <c r="B10" i="386"/>
  <c r="BM9" i="386"/>
  <c r="BG9" i="386"/>
  <c r="BF9" i="386"/>
  <c r="B9" i="386"/>
  <c r="BM8" i="386"/>
  <c r="BG8" i="386"/>
  <c r="BF8" i="386"/>
  <c r="B8" i="386"/>
  <c r="BL7" i="386"/>
  <c r="BG7" i="386"/>
  <c r="BF7" i="386"/>
  <c r="B7" i="386"/>
  <c r="BL6" i="386"/>
  <c r="BG6" i="386"/>
  <c r="BF6" i="386"/>
  <c r="B6" i="386"/>
  <c r="BG5" i="386"/>
  <c r="BF5" i="386"/>
  <c r="B5" i="386"/>
  <c r="B4" i="386"/>
  <c r="E11" i="385"/>
  <c r="E9" i="385"/>
  <c r="C9" i="385"/>
  <c r="E8" i="385"/>
  <c r="C8" i="385"/>
  <c r="E7" i="385"/>
  <c r="C7" i="385"/>
  <c r="E6" i="385"/>
  <c r="C6" i="385"/>
  <c r="E5" i="385"/>
  <c r="C5" i="385"/>
  <c r="B16" i="383"/>
  <c r="C16" i="382"/>
  <c r="D16" i="382"/>
  <c r="F16" i="382"/>
  <c r="L16" i="382"/>
  <c r="O16" i="382"/>
  <c r="O15" i="384"/>
  <c r="K15" i="383"/>
  <c r="P5" i="383"/>
  <c r="P6" i="383"/>
  <c r="P7" i="383"/>
  <c r="P8" i="383"/>
  <c r="P9" i="383"/>
  <c r="P10" i="383"/>
  <c r="P11" i="383"/>
  <c r="P12" i="383"/>
  <c r="P13" i="383"/>
  <c r="P15" i="383"/>
  <c r="K6" i="383"/>
  <c r="K7" i="383"/>
  <c r="K8" i="383"/>
  <c r="K9" i="383"/>
  <c r="K10" i="383"/>
  <c r="K11" i="383"/>
  <c r="K12" i="383"/>
  <c r="K13" i="383"/>
  <c r="L14" i="384"/>
  <c r="O14" i="384"/>
  <c r="L15" i="384"/>
  <c r="M15" i="384"/>
  <c r="L13" i="384"/>
  <c r="M13" i="384"/>
  <c r="N13" i="384"/>
  <c r="O13" i="384"/>
  <c r="L6" i="384"/>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M5" i="384"/>
  <c r="N5" i="384"/>
  <c r="O5" i="384"/>
  <c r="L5" i="384"/>
  <c r="K6" i="384"/>
  <c r="K7" i="384"/>
  <c r="K8" i="384"/>
  <c r="K9" i="384"/>
  <c r="K10" i="384"/>
  <c r="K11" i="384"/>
  <c r="K12" i="384"/>
  <c r="K13" i="384"/>
  <c r="P15" i="382"/>
  <c r="K15" i="382"/>
  <c r="L18" i="390" l="1"/>
  <c r="N18" i="390"/>
  <c r="O16" i="384"/>
  <c r="P12" i="384"/>
  <c r="P11" i="384"/>
  <c r="P10" i="384"/>
  <c r="P8" i="384"/>
  <c r="P7" i="384"/>
  <c r="P13" i="384"/>
  <c r="P15" i="384"/>
  <c r="P9" i="384"/>
  <c r="P6" i="384"/>
  <c r="L16" i="384"/>
  <c r="Q9" i="383"/>
  <c r="Q6" i="383"/>
  <c r="BL21" i="386"/>
  <c r="Q11" i="383"/>
  <c r="Q12" i="383"/>
  <c r="Q10" i="383"/>
  <c r="D6" i="386"/>
  <c r="F6" i="386"/>
  <c r="F8" i="386"/>
  <c r="D8" i="386"/>
  <c r="F10" i="386"/>
  <c r="D10" i="386"/>
  <c r="F12" i="386"/>
  <c r="D12" i="386"/>
  <c r="F14" i="386"/>
  <c r="D14" i="386"/>
  <c r="F16" i="386"/>
  <c r="D16" i="386"/>
  <c r="F18" i="386"/>
  <c r="D18" i="386"/>
  <c r="Q8" i="383"/>
  <c r="F4" i="386"/>
  <c r="D4" i="386"/>
  <c r="D5" i="386"/>
  <c r="F5" i="386"/>
  <c r="Q13" i="383"/>
  <c r="Q15" i="383"/>
  <c r="D7" i="386"/>
  <c r="F7" i="386"/>
  <c r="F9" i="386"/>
  <c r="D9" i="386"/>
  <c r="F11" i="386"/>
  <c r="D11" i="386"/>
  <c r="F13" i="386"/>
  <c r="D13" i="386"/>
  <c r="D15" i="386"/>
  <c r="F15" i="386"/>
  <c r="F17" i="386"/>
  <c r="D17" i="386"/>
  <c r="B16" i="384"/>
  <c r="F28" i="387"/>
  <c r="B19" i="386"/>
  <c r="F19" i="386" s="1"/>
  <c r="Q7" i="383"/>
  <c r="Q15" i="382"/>
  <c r="M18" i="390" l="1"/>
  <c r="D19" i="386"/>
  <c r="B16" i="381"/>
  <c r="P5" i="384" l="1"/>
  <c r="K5" i="384"/>
  <c r="M14" i="383"/>
  <c r="M16" i="383" s="1"/>
  <c r="H14" i="383"/>
  <c r="H16" i="383" s="1"/>
  <c r="A14" i="383"/>
  <c r="K5" i="383"/>
  <c r="Q5" i="383" s="1"/>
  <c r="N14" i="382"/>
  <c r="P14" i="382" s="1"/>
  <c r="J14" i="382"/>
  <c r="J14" i="384" s="1"/>
  <c r="I14" i="382"/>
  <c r="I14" i="384" s="1"/>
  <c r="I16" i="384" s="1"/>
  <c r="H14" i="382"/>
  <c r="G14" i="382"/>
  <c r="G14" i="384" s="1"/>
  <c r="G16" i="384" s="1"/>
  <c r="E14" i="382"/>
  <c r="E14" i="384" s="1"/>
  <c r="E16" i="384" s="1"/>
  <c r="P13" i="382"/>
  <c r="K13" i="382"/>
  <c r="P12" i="382"/>
  <c r="K12" i="382"/>
  <c r="P11" i="382"/>
  <c r="K11" i="382"/>
  <c r="P10" i="382"/>
  <c r="K10" i="382"/>
  <c r="P9" i="382"/>
  <c r="K9" i="382"/>
  <c r="P8" i="382"/>
  <c r="K8" i="382"/>
  <c r="P7" i="382"/>
  <c r="K7" i="382"/>
  <c r="P6" i="382"/>
  <c r="K6" i="382"/>
  <c r="P5" i="382"/>
  <c r="K5" i="382"/>
  <c r="AX19" i="380"/>
  <c r="AY19" i="380"/>
  <c r="D18" i="380"/>
  <c r="E18" i="380"/>
  <c r="I18" i="380"/>
  <c r="AY18" i="380"/>
  <c r="AX18" i="380"/>
  <c r="AY17" i="380"/>
  <c r="AX17" i="380"/>
  <c r="I17" i="380"/>
  <c r="E17" i="380"/>
  <c r="D17" i="380"/>
  <c r="AY16" i="380"/>
  <c r="AX16" i="380"/>
  <c r="I16" i="380"/>
  <c r="E16" i="380"/>
  <c r="D16" i="380"/>
  <c r="AY15" i="380"/>
  <c r="AX15" i="380"/>
  <c r="I15" i="380"/>
  <c r="E15" i="380"/>
  <c r="D15" i="380"/>
  <c r="AY14" i="380"/>
  <c r="AX14" i="380"/>
  <c r="I14" i="380"/>
  <c r="E14" i="380"/>
  <c r="D14" i="380"/>
  <c r="AY13" i="380"/>
  <c r="AX13" i="380"/>
  <c r="I13" i="380"/>
  <c r="E13" i="380"/>
  <c r="D13" i="380"/>
  <c r="AY12" i="380"/>
  <c r="AX12" i="380"/>
  <c r="I12" i="380"/>
  <c r="E12" i="380"/>
  <c r="D12" i="380"/>
  <c r="AY11" i="380"/>
  <c r="AX11" i="380"/>
  <c r="I11" i="380"/>
  <c r="E11" i="380"/>
  <c r="D11" i="380"/>
  <c r="AY10" i="380"/>
  <c r="AX10" i="380"/>
  <c r="I10" i="380"/>
  <c r="E10" i="380"/>
  <c r="D10" i="380"/>
  <c r="AY9" i="380"/>
  <c r="AX9" i="380"/>
  <c r="I9" i="380"/>
  <c r="E9" i="380"/>
  <c r="D9" i="380"/>
  <c r="AY8" i="380"/>
  <c r="AX8" i="380"/>
  <c r="I8" i="380"/>
  <c r="E8" i="380"/>
  <c r="AY7" i="380"/>
  <c r="AX7" i="380"/>
  <c r="I7" i="380"/>
  <c r="E7" i="380"/>
  <c r="I6" i="380"/>
  <c r="E6" i="380"/>
  <c r="AY4" i="380"/>
  <c r="AZ17" i="380" s="1"/>
  <c r="M16" i="379"/>
  <c r="L16" i="379"/>
  <c r="G16" i="379"/>
  <c r="K16" i="379" s="1"/>
  <c r="B16" i="379"/>
  <c r="E16" i="379" s="1"/>
  <c r="M14" i="379"/>
  <c r="L14" i="379"/>
  <c r="G14" i="379"/>
  <c r="J14" i="379" s="1"/>
  <c r="B14" i="379"/>
  <c r="E14" i="379" s="1"/>
  <c r="M13" i="379"/>
  <c r="L13" i="379"/>
  <c r="G13" i="379"/>
  <c r="J13" i="379" s="1"/>
  <c r="B13" i="379"/>
  <c r="E13" i="379" s="1"/>
  <c r="M12" i="379"/>
  <c r="L12" i="379"/>
  <c r="G12" i="379"/>
  <c r="K12" i="379" s="1"/>
  <c r="B12" i="379"/>
  <c r="E12" i="379" s="1"/>
  <c r="M11" i="379"/>
  <c r="L11" i="379"/>
  <c r="K11" i="379"/>
  <c r="J11" i="379"/>
  <c r="B11" i="379"/>
  <c r="F11" i="379" s="1"/>
  <c r="M10" i="379"/>
  <c r="L10" i="379"/>
  <c r="K10" i="379"/>
  <c r="J10" i="379"/>
  <c r="B10" i="379"/>
  <c r="E10" i="379" s="1"/>
  <c r="M9" i="379"/>
  <c r="L9" i="379"/>
  <c r="K9" i="379"/>
  <c r="J9" i="379"/>
  <c r="B9" i="379"/>
  <c r="E9" i="379" s="1"/>
  <c r="M8" i="379"/>
  <c r="L8" i="379"/>
  <c r="K8" i="379"/>
  <c r="J8" i="379"/>
  <c r="B8" i="379"/>
  <c r="E8" i="379" s="1"/>
  <c r="M7" i="379"/>
  <c r="L7" i="379"/>
  <c r="K7" i="379"/>
  <c r="J7" i="379"/>
  <c r="B7" i="379"/>
  <c r="E7" i="379" s="1"/>
  <c r="M6" i="379"/>
  <c r="L6" i="379"/>
  <c r="K6" i="379"/>
  <c r="J6" i="379"/>
  <c r="B6" i="379"/>
  <c r="F6" i="379" s="1"/>
  <c r="M5" i="379"/>
  <c r="L5" i="379"/>
  <c r="K5" i="379"/>
  <c r="J5" i="379"/>
  <c r="B5" i="379"/>
  <c r="F5" i="379" s="1"/>
  <c r="M4" i="379"/>
  <c r="L4" i="379"/>
  <c r="K4" i="379"/>
  <c r="J4" i="379"/>
  <c r="B4" i="379"/>
  <c r="E4" i="379" s="1"/>
  <c r="B14" i="273"/>
  <c r="Q9" i="382" l="1"/>
  <c r="Q13" i="382"/>
  <c r="Q10" i="382"/>
  <c r="F12" i="379"/>
  <c r="F4" i="379"/>
  <c r="E6" i="379"/>
  <c r="BA19" i="380"/>
  <c r="AZ19" i="380"/>
  <c r="F8" i="379"/>
  <c r="E11" i="379"/>
  <c r="F14" i="379"/>
  <c r="F7" i="379"/>
  <c r="Q7" i="382"/>
  <c r="F13" i="379"/>
  <c r="Q8" i="382"/>
  <c r="Q12" i="382"/>
  <c r="J16" i="384"/>
  <c r="F16" i="379"/>
  <c r="H14" i="384"/>
  <c r="H16" i="384" s="1"/>
  <c r="K14" i="383"/>
  <c r="K16" i="383" s="1"/>
  <c r="M14" i="384"/>
  <c r="P14" i="383"/>
  <c r="P16" i="383" s="1"/>
  <c r="H16" i="382"/>
  <c r="I16" i="382"/>
  <c r="E16" i="382"/>
  <c r="J16" i="382"/>
  <c r="P16" i="382"/>
  <c r="Q11" i="382"/>
  <c r="G16" i="382"/>
  <c r="N16" i="382"/>
  <c r="N14" i="384"/>
  <c r="N16" i="384" s="1"/>
  <c r="Q6" i="382"/>
  <c r="Q5" i="382"/>
  <c r="K14" i="382"/>
  <c r="Q14" i="382" s="1"/>
  <c r="BA7" i="380"/>
  <c r="AZ7" i="380"/>
  <c r="AZ12" i="380"/>
  <c r="BA13" i="380"/>
  <c r="AZ16" i="380"/>
  <c r="BA17" i="380"/>
  <c r="AZ18" i="380"/>
  <c r="BA12" i="380"/>
  <c r="AZ8" i="380"/>
  <c r="AZ9" i="380"/>
  <c r="AZ10" i="380"/>
  <c r="BA11" i="380"/>
  <c r="AZ14" i="380"/>
  <c r="BA15" i="380"/>
  <c r="AZ11" i="380"/>
  <c r="AZ15" i="380"/>
  <c r="BA16" i="380"/>
  <c r="BA18" i="380"/>
  <c r="BA8" i="380"/>
  <c r="BA9" i="380"/>
  <c r="BA10" i="380"/>
  <c r="AZ13" i="380"/>
  <c r="BA14" i="380"/>
  <c r="E5" i="379"/>
  <c r="F10" i="379"/>
  <c r="J12" i="379"/>
  <c r="J16" i="379"/>
  <c r="F9" i="379"/>
  <c r="K13" i="379"/>
  <c r="K14" i="379"/>
  <c r="M16" i="384" l="1"/>
  <c r="P14" i="384"/>
  <c r="P16" i="384" s="1"/>
  <c r="B25" i="379"/>
  <c r="K14" i="384"/>
  <c r="K16" i="384" s="1"/>
  <c r="Q14" i="383"/>
  <c r="Q16" i="383" s="1"/>
  <c r="K16" i="382"/>
  <c r="Q16" i="382"/>
  <c r="B15" i="381"/>
  <c r="B17" i="381" s="1"/>
  <c r="E15" i="374"/>
  <c r="E16" i="374"/>
  <c r="D16" i="342"/>
  <c r="E16" i="332"/>
  <c r="E8" i="332"/>
  <c r="E9" i="332"/>
  <c r="E10" i="332"/>
  <c r="E11" i="332"/>
  <c r="E12" i="332"/>
  <c r="P12" i="332" s="1"/>
  <c r="E13" i="332"/>
  <c r="E14" i="332"/>
  <c r="E15" i="332"/>
  <c r="E7" i="332"/>
  <c r="E6" i="332"/>
  <c r="I11" i="335"/>
  <c r="I10" i="335"/>
  <c r="I5" i="335"/>
  <c r="I6" i="335"/>
  <c r="I7" i="335"/>
  <c r="I8" i="335"/>
  <c r="I9" i="335"/>
  <c r="I4" i="335"/>
  <c r="J11" i="335" l="1"/>
  <c r="C16" i="287"/>
  <c r="C38" i="349"/>
  <c r="B30" i="348"/>
  <c r="B31" i="348"/>
  <c r="B32" i="348"/>
  <c r="B33" i="348"/>
  <c r="B34" i="348"/>
  <c r="B35" i="348"/>
  <c r="B36" i="348"/>
  <c r="B37" i="348"/>
  <c r="B39" i="348"/>
  <c r="B40" i="348"/>
  <c r="B41" i="348"/>
  <c r="B42" i="348"/>
  <c r="B5" i="325" l="1"/>
  <c r="B6" i="325"/>
  <c r="B7" i="325"/>
  <c r="B8" i="325"/>
  <c r="B9" i="325"/>
  <c r="B10" i="325"/>
  <c r="B4" i="325"/>
  <c r="E39" i="345"/>
  <c r="E40" i="345"/>
  <c r="E41" i="345"/>
  <c r="E42" i="345"/>
  <c r="E38" i="345"/>
  <c r="D6" i="61"/>
  <c r="D7" i="61" l="1"/>
  <c r="D8" i="61"/>
  <c r="D9" i="61"/>
  <c r="D10" i="61"/>
  <c r="D11" i="61"/>
  <c r="D12" i="61"/>
  <c r="D13" i="61"/>
  <c r="D14" i="61"/>
  <c r="D15" i="61"/>
  <c r="D16" i="61"/>
  <c r="E16" i="61" s="1"/>
  <c r="D6" i="342"/>
  <c r="C6" i="287" s="1"/>
  <c r="B6" i="61" l="1"/>
  <c r="E6" i="61" s="1"/>
  <c r="E32" i="345"/>
  <c r="E33" i="345"/>
  <c r="E34" i="345"/>
  <c r="E35" i="345"/>
  <c r="E36" i="345"/>
  <c r="E37" i="345"/>
  <c r="G14" i="342"/>
  <c r="G15" i="342"/>
  <c r="E16" i="342"/>
  <c r="F16" i="342"/>
  <c r="G16" i="342"/>
  <c r="D14" i="342"/>
  <c r="D15" i="342"/>
  <c r="F15" i="342" s="1"/>
  <c r="C27" i="341"/>
  <c r="G27" i="341" s="1"/>
  <c r="C28" i="341"/>
  <c r="G28" i="341" s="1"/>
  <c r="C29" i="341"/>
  <c r="G29" i="341" s="1"/>
  <c r="C30" i="341"/>
  <c r="G30" i="341" s="1"/>
  <c r="C31" i="341"/>
  <c r="G31" i="341" s="1"/>
  <c r="C32" i="341"/>
  <c r="G32" i="341" s="1"/>
  <c r="C33" i="341"/>
  <c r="G33" i="341" s="1"/>
  <c r="C34" i="341"/>
  <c r="G34" i="341" s="1"/>
  <c r="C35" i="341"/>
  <c r="G35" i="341" s="1"/>
  <c r="C36" i="341"/>
  <c r="G36" i="341" s="1"/>
  <c r="C37" i="341"/>
  <c r="G37" i="341" s="1"/>
  <c r="C38" i="341"/>
  <c r="G38" i="341" s="1"/>
  <c r="F27" i="341"/>
  <c r="F28" i="341"/>
  <c r="F29" i="341"/>
  <c r="F30" i="341"/>
  <c r="F31" i="341"/>
  <c r="F32" i="341"/>
  <c r="F33" i="341"/>
  <c r="F34" i="341"/>
  <c r="F35" i="341"/>
  <c r="F36" i="341"/>
  <c r="F37" i="341"/>
  <c r="F9" i="338"/>
  <c r="F10" i="338"/>
  <c r="F11" i="338"/>
  <c r="E15" i="342" l="1"/>
  <c r="C15" i="287"/>
  <c r="B15" i="61"/>
  <c r="E15" i="61" s="1"/>
  <c r="E14" i="342"/>
  <c r="C14" i="287"/>
  <c r="B14" i="61"/>
  <c r="E14" i="61" s="1"/>
  <c r="F14" i="342"/>
  <c r="D4" i="334"/>
  <c r="D5" i="334"/>
  <c r="C16" i="334"/>
  <c r="E14" i="287" l="1"/>
  <c r="B14" i="333" s="1"/>
  <c r="E15" i="287"/>
  <c r="B15" i="333" s="1"/>
  <c r="E16" i="287"/>
  <c r="B16" i="333" s="1"/>
  <c r="E6" i="287"/>
  <c r="B6" i="333" s="1"/>
  <c r="D6" i="333" s="1"/>
  <c r="D7" i="336"/>
  <c r="E5" i="335"/>
  <c r="E6" i="335"/>
  <c r="E7" i="335"/>
  <c r="E8" i="335"/>
  <c r="J8" i="335" s="1"/>
  <c r="E9" i="335"/>
  <c r="E10" i="335"/>
  <c r="H16" i="287" l="1"/>
  <c r="D5" i="336"/>
  <c r="D10" i="336"/>
  <c r="D6" i="336"/>
  <c r="D13" i="336"/>
  <c r="D9" i="336"/>
  <c r="D12" i="336"/>
  <c r="D8" i="336"/>
  <c r="D11" i="336"/>
  <c r="J10" i="335"/>
  <c r="J6" i="335"/>
  <c r="J7" i="335"/>
  <c r="C17" i="334"/>
  <c r="J9" i="335"/>
  <c r="J5" i="335"/>
  <c r="C18" i="334" l="1"/>
  <c r="C19" i="334" s="1"/>
  <c r="C20" i="334" l="1"/>
  <c r="D19" i="334"/>
  <c r="D20" i="334" l="1"/>
  <c r="C21" i="334"/>
  <c r="D21" i="334" l="1"/>
  <c r="C22" i="334"/>
  <c r="D22" i="334" s="1"/>
  <c r="D41" i="375" l="1"/>
  <c r="D4" i="375"/>
  <c r="D5" i="375"/>
  <c r="D6" i="375"/>
  <c r="D7" i="375"/>
  <c r="D8" i="375"/>
  <c r="D9" i="375"/>
  <c r="D10" i="375"/>
  <c r="D11" i="375"/>
  <c r="D12" i="375"/>
  <c r="D13" i="375"/>
  <c r="D14" i="375"/>
  <c r="D15" i="375"/>
  <c r="D16" i="375"/>
  <c r="B17" i="375"/>
  <c r="C17" i="375"/>
  <c r="D18" i="375"/>
  <c r="D19" i="375"/>
  <c r="D20" i="375"/>
  <c r="D21" i="375"/>
  <c r="D22" i="375"/>
  <c r="D23" i="375"/>
  <c r="D24" i="375"/>
  <c r="D25" i="375"/>
  <c r="D26" i="375"/>
  <c r="D27" i="375"/>
  <c r="D28" i="375"/>
  <c r="D29" i="375"/>
  <c r="D30" i="375"/>
  <c r="D31" i="375"/>
  <c r="D32" i="375"/>
  <c r="D33" i="375"/>
  <c r="D34" i="375"/>
  <c r="D35" i="375"/>
  <c r="D36" i="375"/>
  <c r="D37" i="375"/>
  <c r="D38" i="375"/>
  <c r="D39" i="375"/>
  <c r="D40" i="375"/>
  <c r="E4" i="374"/>
  <c r="E5" i="374"/>
  <c r="E6" i="374"/>
  <c r="E7" i="374"/>
  <c r="E8" i="374"/>
  <c r="E9" i="374"/>
  <c r="E10" i="374"/>
  <c r="E11" i="374"/>
  <c r="E12" i="374"/>
  <c r="E13" i="374"/>
  <c r="E14" i="374"/>
  <c r="D17" i="375" l="1"/>
  <c r="C39" i="349" l="1"/>
  <c r="C40" i="349"/>
  <c r="C41" i="349"/>
  <c r="C42" i="349"/>
  <c r="G5" i="325"/>
  <c r="G6" i="325"/>
  <c r="G7" i="325"/>
  <c r="G8" i="325"/>
  <c r="G9" i="325"/>
  <c r="G10" i="325"/>
  <c r="C10" i="338" l="1"/>
  <c r="G10" i="338" s="1"/>
  <c r="C11" i="338"/>
  <c r="G11" i="338" s="1"/>
  <c r="C12" i="338"/>
  <c r="G12" i="338" s="1"/>
  <c r="H15" i="332"/>
  <c r="H16" i="332"/>
  <c r="H13" i="332"/>
  <c r="H14" i="332"/>
  <c r="G16" i="332" l="1"/>
  <c r="F16" i="332"/>
  <c r="F14" i="332"/>
  <c r="G13" i="332"/>
  <c r="G14" i="332"/>
  <c r="F13" i="332"/>
  <c r="G15" i="332"/>
  <c r="F15" i="332"/>
  <c r="F14" i="287"/>
  <c r="F15" i="287"/>
  <c r="F16" i="287"/>
  <c r="D14" i="333"/>
  <c r="D15" i="333"/>
  <c r="D16" i="333"/>
  <c r="H15" i="287" l="1"/>
  <c r="H14" i="287"/>
  <c r="G16" i="287"/>
  <c r="G15" i="287"/>
  <c r="G14" i="287"/>
  <c r="P16" i="287"/>
  <c r="C37" i="349"/>
  <c r="C36" i="349"/>
  <c r="C35" i="349"/>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C11" i="349"/>
  <c r="C10" i="349"/>
  <c r="C9" i="349"/>
  <c r="C8" i="349"/>
  <c r="C7" i="349"/>
  <c r="C6" i="349"/>
  <c r="C5" i="349"/>
  <c r="B38" i="348"/>
  <c r="B29" i="348"/>
  <c r="B28" i="348"/>
  <c r="B27" i="348"/>
  <c r="B26" i="348"/>
  <c r="B25" i="348"/>
  <c r="B24" i="348"/>
  <c r="B23" i="348"/>
  <c r="B22" i="348"/>
  <c r="B21" i="348"/>
  <c r="B20" i="348"/>
  <c r="B19" i="348"/>
  <c r="B18" i="348"/>
  <c r="B17" i="348"/>
  <c r="B16" i="348"/>
  <c r="B15" i="348"/>
  <c r="B14" i="348"/>
  <c r="B13" i="348"/>
  <c r="B12" i="348"/>
  <c r="B11" i="348"/>
  <c r="B10" i="348"/>
  <c r="B9" i="348"/>
  <c r="B8" i="348"/>
  <c r="B7" i="348"/>
  <c r="B6" i="348"/>
  <c r="B5" i="348"/>
  <c r="B4" i="348"/>
  <c r="E28" i="345"/>
  <c r="E29" i="345"/>
  <c r="E30" i="345"/>
  <c r="E31" i="345"/>
  <c r="E27" i="345"/>
  <c r="G5" i="342"/>
  <c r="G6" i="342"/>
  <c r="G7" i="342"/>
  <c r="G8" i="342"/>
  <c r="G9" i="342"/>
  <c r="G10" i="342"/>
  <c r="G11" i="342"/>
  <c r="G12" i="342"/>
  <c r="G13" i="342"/>
  <c r="G4" i="342"/>
  <c r="D29" i="345"/>
  <c r="D28" i="345"/>
  <c r="D27" i="345"/>
  <c r="D26" i="345"/>
  <c r="D25" i="345"/>
  <c r="E25" i="345" s="1"/>
  <c r="D24" i="345"/>
  <c r="E24" i="345" s="1"/>
  <c r="D23" i="345"/>
  <c r="E23" i="345" s="1"/>
  <c r="D22" i="345"/>
  <c r="E22" i="345" s="1"/>
  <c r="D21" i="345"/>
  <c r="E21" i="345" s="1"/>
  <c r="D20" i="345"/>
  <c r="E20" i="345" s="1"/>
  <c r="D19" i="345"/>
  <c r="E19" i="345" s="1"/>
  <c r="D18" i="345"/>
  <c r="E18" i="345" s="1"/>
  <c r="D17" i="345"/>
  <c r="E17" i="345" s="1"/>
  <c r="D16" i="345"/>
  <c r="E16" i="345" s="1"/>
  <c r="D15" i="345"/>
  <c r="E15" i="345" s="1"/>
  <c r="D14" i="345"/>
  <c r="E14" i="345" s="1"/>
  <c r="D13" i="345"/>
  <c r="E13" i="345" s="1"/>
  <c r="D12" i="345"/>
  <c r="E12" i="345" s="1"/>
  <c r="D11" i="345"/>
  <c r="E11" i="345" s="1"/>
  <c r="D10" i="345"/>
  <c r="E10" i="345" s="1"/>
  <c r="D9" i="345"/>
  <c r="E9" i="345" s="1"/>
  <c r="D8" i="345"/>
  <c r="E8" i="345" s="1"/>
  <c r="D7" i="345"/>
  <c r="E7" i="345" s="1"/>
  <c r="C6" i="345"/>
  <c r="D6" i="345" s="1"/>
  <c r="E6" i="345" s="1"/>
  <c r="D5" i="345"/>
  <c r="E5" i="345" s="1"/>
  <c r="D4" i="345"/>
  <c r="E4" i="345" s="1"/>
  <c r="D13" i="342"/>
  <c r="D12" i="342"/>
  <c r="D11" i="342"/>
  <c r="D10" i="342"/>
  <c r="D9" i="342"/>
  <c r="D8" i="342"/>
  <c r="C8" i="287" s="1"/>
  <c r="D7" i="342"/>
  <c r="F6" i="342"/>
  <c r="E6" i="342"/>
  <c r="D5" i="342"/>
  <c r="F5" i="342" s="1"/>
  <c r="D4" i="342"/>
  <c r="F4" i="342" s="1"/>
  <c r="C26" i="341"/>
  <c r="G26" i="341" s="1"/>
  <c r="F26" i="341"/>
  <c r="C25" i="341"/>
  <c r="G25" i="341" s="1"/>
  <c r="F25" i="341"/>
  <c r="C24" i="341"/>
  <c r="G24" i="341" s="1"/>
  <c r="F24" i="341"/>
  <c r="C23" i="341"/>
  <c r="G23" i="341" s="1"/>
  <c r="F23" i="341"/>
  <c r="C22" i="341"/>
  <c r="F22" i="341"/>
  <c r="G22" i="341" s="1"/>
  <c r="C21" i="341"/>
  <c r="F21" i="341"/>
  <c r="G21" i="341" s="1"/>
  <c r="C20" i="341"/>
  <c r="F20" i="341"/>
  <c r="G20" i="341" s="1"/>
  <c r="C19" i="341"/>
  <c r="F19" i="341"/>
  <c r="G19" i="341" s="1"/>
  <c r="C18" i="341"/>
  <c r="F18" i="341"/>
  <c r="G18" i="341" s="1"/>
  <c r="C17" i="341"/>
  <c r="F17" i="341"/>
  <c r="G17" i="341" s="1"/>
  <c r="C16" i="341"/>
  <c r="F16" i="341"/>
  <c r="G16" i="341" s="1"/>
  <c r="C15" i="341"/>
  <c r="F15" i="341"/>
  <c r="G15" i="341" s="1"/>
  <c r="C14" i="341"/>
  <c r="F14" i="341" s="1"/>
  <c r="G14" i="341" s="1"/>
  <c r="C13" i="341"/>
  <c r="F13" i="341" s="1"/>
  <c r="G13" i="341" s="1"/>
  <c r="C12" i="341"/>
  <c r="F12" i="341" s="1"/>
  <c r="G12" i="341" s="1"/>
  <c r="C11" i="341"/>
  <c r="F11" i="341" s="1"/>
  <c r="G11" i="341" s="1"/>
  <c r="C10" i="341"/>
  <c r="B10" i="341"/>
  <c r="C9" i="341"/>
  <c r="F9" i="341" s="1"/>
  <c r="G9" i="341" s="1"/>
  <c r="C8" i="341"/>
  <c r="F8" i="341" s="1"/>
  <c r="G8" i="341" s="1"/>
  <c r="C7" i="341"/>
  <c r="F7" i="341" s="1"/>
  <c r="G7" i="341" s="1"/>
  <c r="C6" i="341"/>
  <c r="F6" i="341" s="1"/>
  <c r="G6" i="341" s="1"/>
  <c r="C5" i="341"/>
  <c r="F5" i="341" s="1"/>
  <c r="G5" i="341" s="1"/>
  <c r="C4" i="341"/>
  <c r="F4" i="341" s="1"/>
  <c r="G4" i="341" s="1"/>
  <c r="C5" i="338"/>
  <c r="G5" i="338" s="1"/>
  <c r="C6" i="338"/>
  <c r="G6" i="338" s="1"/>
  <c r="C7" i="338"/>
  <c r="G7" i="338" s="1"/>
  <c r="C8" i="338"/>
  <c r="G8" i="338" s="1"/>
  <c r="C9" i="338"/>
  <c r="G9" i="338" s="1"/>
  <c r="C4" i="338"/>
  <c r="G4" i="338" s="1"/>
  <c r="F8" i="338"/>
  <c r="F7" i="338"/>
  <c r="F6" i="338"/>
  <c r="F5" i="338"/>
  <c r="F4" i="338"/>
  <c r="F14" i="336"/>
  <c r="G6" i="336" s="1"/>
  <c r="C14" i="336"/>
  <c r="E4" i="335"/>
  <c r="J4" i="335" s="1"/>
  <c r="D15" i="334"/>
  <c r="D14" i="334"/>
  <c r="D13" i="334"/>
  <c r="D12" i="334"/>
  <c r="D11" i="334"/>
  <c r="D10" i="334"/>
  <c r="D9" i="334"/>
  <c r="D8" i="334"/>
  <c r="D7" i="334"/>
  <c r="D6" i="334"/>
  <c r="C5" i="333"/>
  <c r="D5" i="333" s="1"/>
  <c r="C4" i="333"/>
  <c r="D4" i="333" s="1"/>
  <c r="P13" i="332"/>
  <c r="P11" i="332"/>
  <c r="G10" i="332"/>
  <c r="P10" i="332"/>
  <c r="F10" i="332"/>
  <c r="G9" i="332"/>
  <c r="G8" i="332"/>
  <c r="G7" i="332"/>
  <c r="G6" i="332"/>
  <c r="P6" i="332"/>
  <c r="E5" i="332"/>
  <c r="P5" i="332" s="1"/>
  <c r="E4" i="332"/>
  <c r="G4" i="332" s="1"/>
  <c r="G4" i="325"/>
  <c r="C12" i="283"/>
  <c r="G15" i="282"/>
  <c r="D14" i="72"/>
  <c r="B7" i="179"/>
  <c r="C4" i="179" s="1"/>
  <c r="B14" i="272"/>
  <c r="C6" i="272" s="1"/>
  <c r="C5" i="273"/>
  <c r="C6" i="282"/>
  <c r="C7" i="282"/>
  <c r="C8" i="282"/>
  <c r="C9" i="282"/>
  <c r="C10" i="282"/>
  <c r="C11" i="282"/>
  <c r="C12" i="282"/>
  <c r="C13" i="282"/>
  <c r="C5" i="282"/>
  <c r="E6" i="282"/>
  <c r="E8" i="282"/>
  <c r="F8" i="282" s="1"/>
  <c r="G14" i="282"/>
  <c r="F14" i="282"/>
  <c r="G13" i="282"/>
  <c r="F13" i="282"/>
  <c r="G12" i="282"/>
  <c r="F12" i="282"/>
  <c r="G11" i="282"/>
  <c r="F11" i="282"/>
  <c r="G10" i="282"/>
  <c r="F10" i="282"/>
  <c r="G9" i="282"/>
  <c r="F9" i="282"/>
  <c r="G7" i="282"/>
  <c r="F7" i="282"/>
  <c r="G5" i="282"/>
  <c r="F5" i="282"/>
  <c r="J9" i="225"/>
  <c r="K9" i="225"/>
  <c r="I11" i="223"/>
  <c r="K12" i="223"/>
  <c r="L12" i="217"/>
  <c r="M12" i="217"/>
  <c r="N12" i="217"/>
  <c r="O12" i="217"/>
  <c r="P12" i="217"/>
  <c r="Q12" i="217"/>
  <c r="R12" i="217"/>
  <c r="S12" i="217"/>
  <c r="T12" i="217"/>
  <c r="C6" i="273"/>
  <c r="C7" i="273"/>
  <c r="C8" i="273"/>
  <c r="C9" i="273"/>
  <c r="C10" i="273"/>
  <c r="C11" i="273"/>
  <c r="C12" i="273"/>
  <c r="C13" i="273"/>
  <c r="J7" i="225"/>
  <c r="K7" i="225"/>
  <c r="J4" i="274"/>
  <c r="K11" i="217"/>
  <c r="M11" i="217" s="1"/>
  <c r="H7" i="242"/>
  <c r="H6" i="242"/>
  <c r="H5" i="242"/>
  <c r="H4" i="242"/>
  <c r="M4" i="242" s="1"/>
  <c r="F7" i="241"/>
  <c r="I7" i="241" s="1"/>
  <c r="F6" i="241"/>
  <c r="G6" i="241" s="1"/>
  <c r="F5" i="241"/>
  <c r="F4" i="241"/>
  <c r="J4" i="241" s="1"/>
  <c r="F7" i="214"/>
  <c r="F6" i="214"/>
  <c r="F5" i="214"/>
  <c r="F4" i="214"/>
  <c r="D7" i="240"/>
  <c r="E7" i="240" s="1"/>
  <c r="D6" i="240"/>
  <c r="F6" i="240" s="1"/>
  <c r="D5" i="240"/>
  <c r="F5" i="240" s="1"/>
  <c r="D4" i="240"/>
  <c r="D7" i="239"/>
  <c r="E7" i="239" s="1"/>
  <c r="D6" i="239"/>
  <c r="F6" i="239" s="1"/>
  <c r="D5" i="239"/>
  <c r="E5" i="239" s="1"/>
  <c r="D4" i="239"/>
  <c r="E4" i="239" s="1"/>
  <c r="C7" i="238"/>
  <c r="E13" i="236"/>
  <c r="D13" i="236"/>
  <c r="C13" i="236"/>
  <c r="B13" i="236"/>
  <c r="N6" i="233"/>
  <c r="M5" i="233"/>
  <c r="H4" i="233"/>
  <c r="M4" i="233" s="1"/>
  <c r="H7" i="232"/>
  <c r="K7" i="232" s="1"/>
  <c r="H6" i="232"/>
  <c r="J6" i="232" s="1"/>
  <c r="H5" i="232"/>
  <c r="M5" i="232" s="1"/>
  <c r="H4" i="232"/>
  <c r="M4" i="232" s="1"/>
  <c r="F7" i="231"/>
  <c r="I7" i="231" s="1"/>
  <c r="F6" i="231"/>
  <c r="G6" i="231" s="1"/>
  <c r="F5" i="231"/>
  <c r="J5" i="231" s="1"/>
  <c r="F4" i="231"/>
  <c r="G4" i="231" s="1"/>
  <c r="D6" i="229"/>
  <c r="D5" i="229"/>
  <c r="D4" i="229"/>
  <c r="G11" i="228"/>
  <c r="K11" i="228" s="1"/>
  <c r="G10" i="228"/>
  <c r="J10" i="228" s="1"/>
  <c r="G9" i="228"/>
  <c r="G8" i="228"/>
  <c r="J8" i="228" s="1"/>
  <c r="G7" i="228"/>
  <c r="L7" i="228" s="1"/>
  <c r="G6" i="228"/>
  <c r="J6" i="228" s="1"/>
  <c r="G5" i="228"/>
  <c r="L5" i="228" s="1"/>
  <c r="G4" i="228"/>
  <c r="L4" i="228" s="1"/>
  <c r="U7" i="227"/>
  <c r="T7" i="227"/>
  <c r="S7" i="227"/>
  <c r="R7" i="227"/>
  <c r="Q7" i="227"/>
  <c r="P7" i="227"/>
  <c r="U6" i="227"/>
  <c r="T6" i="227"/>
  <c r="S6" i="227"/>
  <c r="R6" i="227"/>
  <c r="Q6" i="227"/>
  <c r="P6" i="227"/>
  <c r="U4" i="227"/>
  <c r="T4" i="227"/>
  <c r="S4" i="227"/>
  <c r="R4" i="227"/>
  <c r="Q4" i="227"/>
  <c r="P4" i="227"/>
  <c r="H11" i="226"/>
  <c r="H10" i="226"/>
  <c r="N10" i="226" s="1"/>
  <c r="H9" i="226"/>
  <c r="J9" i="226" s="1"/>
  <c r="H8" i="226"/>
  <c r="I8" i="226" s="1"/>
  <c r="H7" i="226"/>
  <c r="K7" i="226" s="1"/>
  <c r="H6" i="226"/>
  <c r="K6" i="226" s="1"/>
  <c r="H5" i="226"/>
  <c r="N5" i="226" s="1"/>
  <c r="H4" i="226"/>
  <c r="K8" i="225"/>
  <c r="D7" i="225"/>
  <c r="K6" i="225"/>
  <c r="J6" i="225"/>
  <c r="D6" i="225"/>
  <c r="K4" i="225"/>
  <c r="J4" i="225"/>
  <c r="D4" i="225"/>
  <c r="K11" i="223"/>
  <c r="K10" i="223"/>
  <c r="J10" i="223"/>
  <c r="I10" i="223"/>
  <c r="D10" i="223"/>
  <c r="E10" i="223" s="1"/>
  <c r="K9" i="223"/>
  <c r="J9" i="223"/>
  <c r="I9" i="223"/>
  <c r="D9" i="223"/>
  <c r="E9" i="223" s="1"/>
  <c r="K8" i="223"/>
  <c r="J8" i="223"/>
  <c r="I8" i="223"/>
  <c r="D8" i="223"/>
  <c r="D10" i="224"/>
  <c r="E10" i="224" s="1"/>
  <c r="D9" i="224"/>
  <c r="F9" i="224" s="1"/>
  <c r="D8" i="224"/>
  <c r="F8" i="224" s="1"/>
  <c r="D7" i="224"/>
  <c r="F7" i="224" s="1"/>
  <c r="D6" i="224"/>
  <c r="E6" i="224" s="1"/>
  <c r="D5" i="224"/>
  <c r="F5" i="224" s="1"/>
  <c r="D4" i="224"/>
  <c r="E4" i="224" s="1"/>
  <c r="F11" i="222"/>
  <c r="E10" i="222"/>
  <c r="G10" i="222" s="1"/>
  <c r="E9" i="222"/>
  <c r="F9" i="222" s="1"/>
  <c r="E8" i="222"/>
  <c r="G8" i="222" s="1"/>
  <c r="E7" i="222"/>
  <c r="F7" i="222" s="1"/>
  <c r="E6" i="222"/>
  <c r="G6" i="222" s="1"/>
  <c r="E5" i="222"/>
  <c r="G5" i="222" s="1"/>
  <c r="E4" i="222"/>
  <c r="F4" i="222" s="1"/>
  <c r="E10" i="219"/>
  <c r="H10" i="219" s="1"/>
  <c r="E9" i="219"/>
  <c r="G9" i="219" s="1"/>
  <c r="E8" i="219"/>
  <c r="H8" i="219" s="1"/>
  <c r="E7" i="219"/>
  <c r="H7" i="219" s="1"/>
  <c r="E6" i="219"/>
  <c r="H6" i="219" s="1"/>
  <c r="E5" i="219"/>
  <c r="H5" i="219" s="1"/>
  <c r="E4" i="219"/>
  <c r="B36" i="218"/>
  <c r="K10" i="217"/>
  <c r="N10" i="217" s="1"/>
  <c r="K9" i="217"/>
  <c r="R9" i="217" s="1"/>
  <c r="K8" i="217"/>
  <c r="N8" i="217" s="1"/>
  <c r="K7" i="217"/>
  <c r="Q7" i="217" s="1"/>
  <c r="K6" i="217"/>
  <c r="T6" i="217" s="1"/>
  <c r="K5" i="217"/>
  <c r="R5" i="217" s="1"/>
  <c r="K4" i="217"/>
  <c r="S4" i="217" s="1"/>
  <c r="F10" i="215"/>
  <c r="E10" i="215"/>
  <c r="F9" i="215"/>
  <c r="E9" i="215"/>
  <c r="F8" i="215"/>
  <c r="E8" i="215"/>
  <c r="F7" i="215"/>
  <c r="E7" i="215"/>
  <c r="F6" i="215"/>
  <c r="E6" i="215"/>
  <c r="F5" i="215"/>
  <c r="E5" i="215"/>
  <c r="F4" i="215"/>
  <c r="E4" i="215"/>
  <c r="F16" i="78"/>
  <c r="D16" i="78"/>
  <c r="B16" i="78"/>
  <c r="E11" i="283"/>
  <c r="C11" i="283"/>
  <c r="E10" i="283"/>
  <c r="C10" i="283"/>
  <c r="E9" i="283"/>
  <c r="C9" i="283"/>
  <c r="C8" i="283"/>
  <c r="E7" i="283"/>
  <c r="C7" i="283"/>
  <c r="E6" i="283"/>
  <c r="C6" i="283"/>
  <c r="E5" i="283"/>
  <c r="E4" i="283"/>
  <c r="D13" i="72"/>
  <c r="D12" i="72"/>
  <c r="D11" i="72"/>
  <c r="D10" i="72"/>
  <c r="D9" i="72"/>
  <c r="D8" i="72"/>
  <c r="D7" i="72"/>
  <c r="D6" i="72"/>
  <c r="D5" i="61"/>
  <c r="E5" i="61" s="1"/>
  <c r="B12" i="177"/>
  <c r="C11" i="177" s="1"/>
  <c r="J26" i="55"/>
  <c r="F58" i="121"/>
  <c r="G6" i="287"/>
  <c r="E5" i="287"/>
  <c r="P5" i="287" s="1"/>
  <c r="E4" i="287"/>
  <c r="P4" i="287" s="1"/>
  <c r="D11" i="230"/>
  <c r="C4" i="238"/>
  <c r="C5" i="238"/>
  <c r="G11" i="222"/>
  <c r="F11" i="215"/>
  <c r="C6" i="238"/>
  <c r="J5" i="236"/>
  <c r="J6" i="235"/>
  <c r="N10" i="233"/>
  <c r="J5" i="233"/>
  <c r="N5" i="233"/>
  <c r="K6" i="233"/>
  <c r="K10" i="233"/>
  <c r="K5" i="233"/>
  <c r="L6" i="233"/>
  <c r="L10" i="233"/>
  <c r="L5" i="233"/>
  <c r="I6" i="233"/>
  <c r="M6" i="233"/>
  <c r="I10" i="233"/>
  <c r="M10" i="233"/>
  <c r="I5" i="233"/>
  <c r="J6" i="233"/>
  <c r="E7" i="229"/>
  <c r="F7" i="229"/>
  <c r="D8" i="225"/>
  <c r="D11" i="223"/>
  <c r="J11" i="223"/>
  <c r="E11" i="219"/>
  <c r="G11" i="219" s="1"/>
  <c r="E11" i="215"/>
  <c r="J11" i="236"/>
  <c r="J7" i="236"/>
  <c r="J12" i="236"/>
  <c r="J9" i="236"/>
  <c r="J4" i="236"/>
  <c r="J6" i="236"/>
  <c r="J8" i="236"/>
  <c r="J10" i="236"/>
  <c r="J7" i="235"/>
  <c r="J11" i="235"/>
  <c r="J8" i="235"/>
  <c r="D17" i="72" l="1"/>
  <c r="F6" i="282"/>
  <c r="E18" i="282"/>
  <c r="L6" i="226"/>
  <c r="I4" i="228"/>
  <c r="F6" i="222"/>
  <c r="K4" i="232"/>
  <c r="P11" i="217"/>
  <c r="N4" i="232"/>
  <c r="S11" i="217"/>
  <c r="J6" i="226"/>
  <c r="J4" i="232"/>
  <c r="N11" i="217"/>
  <c r="O11" i="217"/>
  <c r="I4" i="232"/>
  <c r="L4" i="232"/>
  <c r="H7" i="241"/>
  <c r="K7" i="242"/>
  <c r="S9" i="217"/>
  <c r="J5" i="228"/>
  <c r="J4" i="233"/>
  <c r="F7" i="219"/>
  <c r="H6" i="231"/>
  <c r="N6" i="232"/>
  <c r="O7" i="217"/>
  <c r="S10" i="217"/>
  <c r="L4" i="226"/>
  <c r="I6" i="232"/>
  <c r="O9" i="217"/>
  <c r="C12" i="272"/>
  <c r="M9" i="217"/>
  <c r="S8" i="217"/>
  <c r="K7" i="228"/>
  <c r="N4" i="233"/>
  <c r="N8" i="226"/>
  <c r="K6" i="228"/>
  <c r="F5" i="222"/>
  <c r="K9" i="226"/>
  <c r="P9" i="217"/>
  <c r="L9" i="217"/>
  <c r="N9" i="217"/>
  <c r="J4" i="226"/>
  <c r="H6" i="228"/>
  <c r="Q9" i="217"/>
  <c r="T8" i="217"/>
  <c r="M8" i="226"/>
  <c r="L6" i="228"/>
  <c r="C13" i="272"/>
  <c r="P8" i="217"/>
  <c r="I9" i="226"/>
  <c r="K22" i="217"/>
  <c r="F10" i="224"/>
  <c r="G6" i="219"/>
  <c r="C10" i="272"/>
  <c r="I6" i="226"/>
  <c r="M9" i="226"/>
  <c r="I7" i="228"/>
  <c r="M7" i="217"/>
  <c r="G5" i="231"/>
  <c r="I6" i="231"/>
  <c r="R7" i="217"/>
  <c r="N6" i="226"/>
  <c r="J7" i="228"/>
  <c r="H5" i="231"/>
  <c r="E4" i="229"/>
  <c r="F6" i="224"/>
  <c r="C8" i="272"/>
  <c r="J6" i="231"/>
  <c r="G8" i="282"/>
  <c r="K5" i="242"/>
  <c r="T10" i="217"/>
  <c r="O6" i="217"/>
  <c r="N9" i="226"/>
  <c r="H11" i="228"/>
  <c r="H7" i="228"/>
  <c r="C11" i="272"/>
  <c r="N5" i="232"/>
  <c r="E5" i="240"/>
  <c r="S6" i="217"/>
  <c r="C5" i="272"/>
  <c r="I4" i="226"/>
  <c r="H5" i="228"/>
  <c r="I7" i="242"/>
  <c r="C7" i="272"/>
  <c r="C4" i="272"/>
  <c r="F4" i="229"/>
  <c r="G5" i="219"/>
  <c r="O8" i="217"/>
  <c r="K10" i="228"/>
  <c r="M7" i="232"/>
  <c r="N7" i="217"/>
  <c r="K4" i="242"/>
  <c r="B5" i="274"/>
  <c r="M8" i="217"/>
  <c r="I5" i="226"/>
  <c r="H4" i="228"/>
  <c r="F5" i="239"/>
  <c r="I5" i="274"/>
  <c r="L5" i="217"/>
  <c r="S7" i="217"/>
  <c r="O10" i="217"/>
  <c r="G7" i="219"/>
  <c r="J8" i="226"/>
  <c r="J11" i="228"/>
  <c r="K4" i="228"/>
  <c r="K4" i="233"/>
  <c r="I4" i="242"/>
  <c r="H5" i="274"/>
  <c r="T11" i="217"/>
  <c r="D5" i="274"/>
  <c r="M4" i="217"/>
  <c r="I7" i="232"/>
  <c r="E5" i="274"/>
  <c r="L11" i="217"/>
  <c r="Q10" i="217"/>
  <c r="R11" i="217"/>
  <c r="L8" i="217"/>
  <c r="L8" i="226"/>
  <c r="I6" i="228"/>
  <c r="E5" i="224"/>
  <c r="J5" i="242"/>
  <c r="E4" i="342"/>
  <c r="I10" i="226"/>
  <c r="Q11" i="217"/>
  <c r="N7" i="232"/>
  <c r="F5" i="274"/>
  <c r="Q8" i="217"/>
  <c r="L10" i="217"/>
  <c r="N5" i="217"/>
  <c r="I4" i="233"/>
  <c r="N4" i="242"/>
  <c r="N5" i="242"/>
  <c r="G5" i="274"/>
  <c r="C5" i="274"/>
  <c r="L5" i="242"/>
  <c r="F8" i="222"/>
  <c r="N4" i="217"/>
  <c r="G7" i="222"/>
  <c r="P4" i="217"/>
  <c r="C5" i="179"/>
  <c r="L4" i="217"/>
  <c r="I5" i="231"/>
  <c r="H4" i="241"/>
  <c r="P5" i="217"/>
  <c r="Q4" i="217"/>
  <c r="N4" i="226"/>
  <c r="M4" i="226"/>
  <c r="I11" i="228"/>
  <c r="L8" i="228"/>
  <c r="L5" i="232"/>
  <c r="J7" i="232"/>
  <c r="I5" i="232"/>
  <c r="E6" i="239"/>
  <c r="J7" i="241"/>
  <c r="C11" i="238"/>
  <c r="L9" i="226"/>
  <c r="E6" i="240"/>
  <c r="T4" i="217"/>
  <c r="K8" i="228"/>
  <c r="J10" i="226"/>
  <c r="L6" i="232"/>
  <c r="P7" i="217"/>
  <c r="M6" i="217"/>
  <c r="F5" i="219"/>
  <c r="E7" i="224"/>
  <c r="J5" i="232"/>
  <c r="K5" i="232"/>
  <c r="F7" i="240"/>
  <c r="R8" i="217"/>
  <c r="K20" i="217"/>
  <c r="M6" i="226"/>
  <c r="J6" i="242"/>
  <c r="I4" i="231"/>
  <c r="T5" i="217"/>
  <c r="K17" i="217"/>
  <c r="R6" i="217"/>
  <c r="K18" i="217"/>
  <c r="Q6" i="217"/>
  <c r="O4" i="217"/>
  <c r="M6" i="232"/>
  <c r="L7" i="217"/>
  <c r="S5" i="217"/>
  <c r="P6" i="217"/>
  <c r="F6" i="219"/>
  <c r="E8" i="224"/>
  <c r="L11" i="228"/>
  <c r="L10" i="228"/>
  <c r="I10" i="228"/>
  <c r="T9" i="217"/>
  <c r="K21" i="217"/>
  <c r="D15" i="223"/>
  <c r="G6" i="214"/>
  <c r="K6" i="242"/>
  <c r="E5" i="342"/>
  <c r="M10" i="226"/>
  <c r="K10" i="226"/>
  <c r="L10" i="226"/>
  <c r="I8" i="228"/>
  <c r="T7" i="217"/>
  <c r="K19" i="217"/>
  <c r="N6" i="217"/>
  <c r="O5" i="217"/>
  <c r="L6" i="217"/>
  <c r="H10" i="228"/>
  <c r="H8" i="228"/>
  <c r="G7" i="241"/>
  <c r="Q5" i="217"/>
  <c r="I6" i="214"/>
  <c r="I5" i="242"/>
  <c r="M6" i="242"/>
  <c r="K23" i="217"/>
  <c r="K24" i="217"/>
  <c r="N11" i="226"/>
  <c r="J11" i="226"/>
  <c r="M11" i="226"/>
  <c r="I11" i="226"/>
  <c r="L11" i="226"/>
  <c r="K11" i="226"/>
  <c r="M5" i="226"/>
  <c r="L7" i="226"/>
  <c r="K8" i="226"/>
  <c r="N7" i="226"/>
  <c r="J7" i="226"/>
  <c r="M7" i="226"/>
  <c r="I7" i="226"/>
  <c r="L5" i="226"/>
  <c r="K5" i="226"/>
  <c r="J5" i="226"/>
  <c r="D11" i="240"/>
  <c r="F4" i="240"/>
  <c r="F15" i="215"/>
  <c r="H5" i="214"/>
  <c r="G5" i="214"/>
  <c r="J5" i="214"/>
  <c r="I5" i="214"/>
  <c r="E5" i="229"/>
  <c r="D11" i="229"/>
  <c r="E11" i="229" s="1"/>
  <c r="F5" i="229"/>
  <c r="O32" i="218"/>
  <c r="F11" i="223"/>
  <c r="E11" i="223"/>
  <c r="H5" i="241"/>
  <c r="G5" i="241"/>
  <c r="E8" i="225"/>
  <c r="E7" i="342"/>
  <c r="B7" i="61"/>
  <c r="E7" i="61" s="1"/>
  <c r="C7" i="287"/>
  <c r="F7" i="342"/>
  <c r="F8" i="225"/>
  <c r="E4" i="240"/>
  <c r="I5" i="241"/>
  <c r="H4" i="219"/>
  <c r="E15" i="219"/>
  <c r="G15" i="219" s="1"/>
  <c r="L7" i="232"/>
  <c r="C9" i="272"/>
  <c r="E9" i="342"/>
  <c r="B9" i="61"/>
  <c r="E9" i="61" s="1"/>
  <c r="C9" i="287"/>
  <c r="E9" i="287" s="1"/>
  <c r="O29" i="218"/>
  <c r="F6" i="229"/>
  <c r="E6" i="229"/>
  <c r="M5" i="217"/>
  <c r="R10" i="217"/>
  <c r="P10" i="217"/>
  <c r="M10" i="217"/>
  <c r="H9" i="219"/>
  <c r="F9" i="219"/>
  <c r="F9" i="223"/>
  <c r="F11" i="231"/>
  <c r="H4" i="231"/>
  <c r="G6" i="282"/>
  <c r="E15" i="215"/>
  <c r="J4" i="231"/>
  <c r="K6" i="232"/>
  <c r="L4" i="233"/>
  <c r="F11" i="241"/>
  <c r="E11" i="342"/>
  <c r="C11" i="287"/>
  <c r="E11" i="287" s="1"/>
  <c r="B11" i="61"/>
  <c r="E11" i="61" s="1"/>
  <c r="F7" i="225"/>
  <c r="L6" i="242"/>
  <c r="F8" i="342"/>
  <c r="B8" i="61"/>
  <c r="E8" i="61" s="1"/>
  <c r="K4" i="226"/>
  <c r="H15" i="226"/>
  <c r="N15" i="226" s="1"/>
  <c r="F11" i="214"/>
  <c r="G11" i="214" s="1"/>
  <c r="H6" i="214"/>
  <c r="M5" i="242"/>
  <c r="N6" i="242"/>
  <c r="O16" i="218"/>
  <c r="F10" i="342"/>
  <c r="B10" i="61"/>
  <c r="E10" i="61" s="1"/>
  <c r="C10" i="287"/>
  <c r="E10" i="287" s="1"/>
  <c r="J6" i="214"/>
  <c r="H11" i="242"/>
  <c r="M11" i="242" s="1"/>
  <c r="C18" i="282"/>
  <c r="F12" i="342"/>
  <c r="C12" i="287"/>
  <c r="B12" i="61"/>
  <c r="E12" i="61" s="1"/>
  <c r="F4" i="224"/>
  <c r="D15" i="224"/>
  <c r="F10" i="223"/>
  <c r="F6" i="225"/>
  <c r="F4" i="239"/>
  <c r="D11" i="239"/>
  <c r="H7" i="214"/>
  <c r="I6" i="242"/>
  <c r="F13" i="342"/>
  <c r="C13" i="287"/>
  <c r="B13" i="61"/>
  <c r="E13" i="61" s="1"/>
  <c r="F9" i="342"/>
  <c r="C10" i="177"/>
  <c r="C3" i="177"/>
  <c r="J13" i="236"/>
  <c r="J10" i="235"/>
  <c r="J5" i="235"/>
  <c r="J9" i="235"/>
  <c r="L4" i="242"/>
  <c r="J4" i="242"/>
  <c r="J7" i="242"/>
  <c r="M7" i="242"/>
  <c r="L7" i="242"/>
  <c r="N7" i="242"/>
  <c r="G4" i="241"/>
  <c r="I4" i="241"/>
  <c r="H6" i="241"/>
  <c r="J5" i="241"/>
  <c r="I6" i="241"/>
  <c r="J6" i="241"/>
  <c r="I4" i="214"/>
  <c r="J4" i="214"/>
  <c r="G4" i="214"/>
  <c r="H4" i="214"/>
  <c r="I7" i="214"/>
  <c r="J7" i="214"/>
  <c r="G7" i="214"/>
  <c r="F7" i="239"/>
  <c r="J10" i="233"/>
  <c r="H11" i="233"/>
  <c r="H11" i="232"/>
  <c r="J7" i="231"/>
  <c r="G7" i="231"/>
  <c r="H7" i="231"/>
  <c r="R4" i="217"/>
  <c r="K15" i="217"/>
  <c r="L15" i="217" s="1"/>
  <c r="G4" i="219"/>
  <c r="S8" i="227"/>
  <c r="P8" i="227"/>
  <c r="T8" i="227"/>
  <c r="Q8" i="227"/>
  <c r="F8" i="223"/>
  <c r="E7" i="225"/>
  <c r="E6" i="225"/>
  <c r="F4" i="225"/>
  <c r="D12" i="225"/>
  <c r="E4" i="225"/>
  <c r="E8" i="223"/>
  <c r="L9" i="228"/>
  <c r="G15" i="228"/>
  <c r="L15" i="228" s="1"/>
  <c r="K9" i="228"/>
  <c r="J9" i="228"/>
  <c r="H9" i="228"/>
  <c r="I9" i="228"/>
  <c r="I5" i="228"/>
  <c r="K5" i="228"/>
  <c r="J4" i="228"/>
  <c r="R8" i="227"/>
  <c r="E9" i="224"/>
  <c r="G9" i="222"/>
  <c r="E15" i="222"/>
  <c r="F10" i="222"/>
  <c r="G4" i="222"/>
  <c r="F11" i="219"/>
  <c r="H11" i="219"/>
  <c r="G8" i="219"/>
  <c r="F10" i="219"/>
  <c r="F8" i="219"/>
  <c r="G10" i="219"/>
  <c r="F4" i="219"/>
  <c r="F15" i="282"/>
  <c r="C6" i="179"/>
  <c r="K8" i="55"/>
  <c r="K12" i="55"/>
  <c r="K16" i="55"/>
  <c r="K20" i="55"/>
  <c r="K24" i="55"/>
  <c r="K5" i="55"/>
  <c r="K9" i="55"/>
  <c r="K13" i="55"/>
  <c r="K17" i="55"/>
  <c r="K21" i="55"/>
  <c r="K25" i="55"/>
  <c r="K10" i="55"/>
  <c r="K14" i="55"/>
  <c r="K18" i="55"/>
  <c r="K22" i="55"/>
  <c r="K4" i="55"/>
  <c r="K7" i="55"/>
  <c r="K11" i="55"/>
  <c r="K15" i="55"/>
  <c r="K19" i="55"/>
  <c r="K23" i="55"/>
  <c r="K6" i="55"/>
  <c r="C14" i="273"/>
  <c r="E10" i="342"/>
  <c r="F11" i="342"/>
  <c r="F11" i="332"/>
  <c r="P4" i="332"/>
  <c r="G11" i="332"/>
  <c r="H11" i="332"/>
  <c r="F12" i="332"/>
  <c r="G12" i="332"/>
  <c r="G5" i="332"/>
  <c r="P7" i="332"/>
  <c r="P8" i="332"/>
  <c r="P9" i="332"/>
  <c r="H10" i="332"/>
  <c r="F8" i="332"/>
  <c r="F9" i="332"/>
  <c r="H12" i="332"/>
  <c r="G5" i="287"/>
  <c r="E13" i="342"/>
  <c r="E8" i="342"/>
  <c r="E12" i="342"/>
  <c r="F10" i="341"/>
  <c r="G10" i="341" s="1"/>
  <c r="G4" i="287"/>
  <c r="P6" i="287"/>
  <c r="G12" i="336"/>
  <c r="G8" i="336"/>
  <c r="G13" i="336"/>
  <c r="G9" i="336"/>
  <c r="G5" i="336"/>
  <c r="G11" i="336"/>
  <c r="G7" i="336"/>
  <c r="G10" i="336"/>
  <c r="F9" i="287" l="1"/>
  <c r="B9" i="333"/>
  <c r="D9" i="333" s="1"/>
  <c r="F15" i="224"/>
  <c r="P10" i="287"/>
  <c r="B10" i="333"/>
  <c r="D10" i="333" s="1"/>
  <c r="F11" i="287"/>
  <c r="B11" i="333"/>
  <c r="D11" i="333" s="1"/>
  <c r="J5" i="274"/>
  <c r="C14" i="272"/>
  <c r="C12" i="177"/>
  <c r="G11" i="287"/>
  <c r="P11" i="287"/>
  <c r="F10" i="287"/>
  <c r="K27" i="217"/>
  <c r="G10" i="287"/>
  <c r="E15" i="224"/>
  <c r="F11" i="229"/>
  <c r="C7" i="179"/>
  <c r="G9" i="287"/>
  <c r="E15" i="223"/>
  <c r="F15" i="223"/>
  <c r="K15" i="226"/>
  <c r="M15" i="226"/>
  <c r="L15" i="226"/>
  <c r="I15" i="226"/>
  <c r="J15" i="226"/>
  <c r="H11" i="231"/>
  <c r="G11" i="231"/>
  <c r="I11" i="231"/>
  <c r="J11" i="231"/>
  <c r="H10" i="287"/>
  <c r="E8" i="287"/>
  <c r="F8" i="287" s="1"/>
  <c r="P9" i="287"/>
  <c r="F11" i="240"/>
  <c r="E11" i="240"/>
  <c r="E13" i="287"/>
  <c r="B13" i="333" s="1"/>
  <c r="I11" i="214"/>
  <c r="E12" i="287"/>
  <c r="B12" i="333" s="1"/>
  <c r="H11" i="214"/>
  <c r="J11" i="214"/>
  <c r="H11" i="287"/>
  <c r="O13" i="218"/>
  <c r="O27" i="218"/>
  <c r="O25" i="218"/>
  <c r="O7" i="218"/>
  <c r="O11" i="218"/>
  <c r="O6" i="218"/>
  <c r="O23" i="218"/>
  <c r="O9" i="218"/>
  <c r="O35" i="218"/>
  <c r="O34" i="218"/>
  <c r="O22" i="218"/>
  <c r="O31" i="218"/>
  <c r="O30" i="218"/>
  <c r="O14" i="218"/>
  <c r="O12" i="218"/>
  <c r="O4" i="218"/>
  <c r="P5" i="218" s="1"/>
  <c r="O15" i="218"/>
  <c r="O10" i="218"/>
  <c r="O26" i="218"/>
  <c r="O20" i="218"/>
  <c r="O5" i="218"/>
  <c r="O17" i="218"/>
  <c r="O19" i="218"/>
  <c r="O18" i="218"/>
  <c r="O28" i="218"/>
  <c r="O33" i="218"/>
  <c r="O8" i="218"/>
  <c r="O21" i="218"/>
  <c r="E7" i="287"/>
  <c r="O24" i="218"/>
  <c r="J12" i="235"/>
  <c r="I11" i="242"/>
  <c r="N11" i="242"/>
  <c r="K11" i="242"/>
  <c r="J11" i="242"/>
  <c r="L11" i="242"/>
  <c r="J11" i="241"/>
  <c r="I11" i="241"/>
  <c r="H11" i="241"/>
  <c r="G11" i="241"/>
  <c r="E11" i="239"/>
  <c r="F11" i="239"/>
  <c r="J11" i="233"/>
  <c r="K11" i="233"/>
  <c r="I11" i="233"/>
  <c r="L11" i="233"/>
  <c r="N11" i="233"/>
  <c r="M11" i="233"/>
  <c r="J11" i="232"/>
  <c r="M11" i="232"/>
  <c r="K11" i="232"/>
  <c r="I11" i="232"/>
  <c r="L11" i="232"/>
  <c r="N11" i="232"/>
  <c r="U8" i="227"/>
  <c r="I15" i="228"/>
  <c r="K15" i="228"/>
  <c r="J15" i="228"/>
  <c r="F15" i="222"/>
  <c r="G15" i="222"/>
  <c r="H15" i="219"/>
  <c r="F15" i="219"/>
  <c r="R15" i="217"/>
  <c r="T15" i="217"/>
  <c r="N15" i="217"/>
  <c r="O15" i="217"/>
  <c r="S15" i="217"/>
  <c r="M15" i="217"/>
  <c r="P15" i="217"/>
  <c r="Q15" i="217"/>
  <c r="H16" i="78"/>
  <c r="C16" i="78" s="1"/>
  <c r="K26" i="55"/>
  <c r="D14" i="336"/>
  <c r="G14" i="336"/>
  <c r="G12" i="287" l="1"/>
  <c r="G13" i="287"/>
  <c r="G8" i="287"/>
  <c r="B8" i="333"/>
  <c r="D8" i="333" s="1"/>
  <c r="G7" i="287"/>
  <c r="B7" i="333"/>
  <c r="D7" i="333" s="1"/>
  <c r="D13" i="333"/>
  <c r="F13" i="287"/>
  <c r="H13" i="287"/>
  <c r="P8" i="287"/>
  <c r="D12" i="333"/>
  <c r="H12" i="287"/>
  <c r="F12" i="287"/>
  <c r="P12" i="287"/>
  <c r="P7" i="287"/>
  <c r="O36" i="218"/>
  <c r="G16" i="78"/>
  <c r="E16" i="78"/>
  <c r="D16" i="334"/>
  <c r="D17" i="334"/>
  <c r="D18" i="334" l="1"/>
  <c r="H15" i="228" l="1"/>
  <c r="A14" i="384" l="1"/>
  <c r="C14" i="389" l="1"/>
  <c r="C12" i="389" l="1"/>
  <c r="C16" i="389" s="1"/>
  <c r="D14" i="389"/>
  <c r="E14" i="389"/>
  <c r="D12" i="389" l="1"/>
  <c r="E12" i="389"/>
  <c r="E16" i="389" s="1"/>
  <c r="C17" i="401" l="1"/>
  <c r="D17" i="401"/>
  <c r="E16" i="445" l="1"/>
  <c r="F15" i="445"/>
  <c r="H15" i="445" l="1"/>
  <c r="F16" i="445"/>
  <c r="E17" i="401"/>
  <c r="F16" i="401"/>
  <c r="F17" i="401" l="1"/>
</calcChain>
</file>

<file path=xl/comments1.xml><?xml version="1.0" encoding="utf-8"?>
<comments xmlns="http://schemas.openxmlformats.org/spreadsheetml/2006/main">
  <authors>
    <author>Gilma Gisselle Santana</author>
  </authors>
  <commentList>
    <comment ref="B14" authorId="0" shapeId="0">
      <text>
        <r>
          <rPr>
            <b/>
            <sz val="9"/>
            <color indexed="81"/>
            <rFont val="Tahoma"/>
            <family val="2"/>
          </rPr>
          <t>Gilma Gisselle Santana:</t>
        </r>
        <r>
          <rPr>
            <sz val="9"/>
            <color indexed="81"/>
            <rFont val="Tahoma"/>
            <family val="2"/>
          </rPr>
          <t xml:space="preserve">
Este dato esta a octubre 2013</t>
        </r>
      </text>
    </comment>
  </commentList>
</comments>
</file>

<file path=xl/comments2.xml><?xml version="1.0" encoding="utf-8"?>
<comments xmlns="http://schemas.openxmlformats.org/spreadsheetml/2006/main">
  <authors>
    <author>Gilma Gisselle Santana</author>
  </authors>
  <commentList>
    <comment ref="B9" authorId="0" shapeId="0">
      <text>
        <r>
          <rPr>
            <b/>
            <sz val="9"/>
            <color indexed="81"/>
            <rFont val="Tahoma"/>
            <family val="2"/>
          </rPr>
          <t>Gilma Gisselle Santana:</t>
        </r>
        <r>
          <rPr>
            <sz val="9"/>
            <color indexed="81"/>
            <rFont val="Tahoma"/>
            <family val="2"/>
          </rPr>
          <t xml:space="preserve">
Dato del Banco Central octubre 2013</t>
        </r>
      </text>
    </comment>
  </commentList>
</comments>
</file>

<file path=xl/comments3.xml><?xml version="1.0" encoding="utf-8"?>
<comments xmlns="http://schemas.openxmlformats.org/spreadsheetml/2006/main">
  <authors>
    <author>beliza.rivas</author>
  </authors>
  <commentList>
    <comment ref="F8"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4.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5.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6.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7.xml><?xml version="1.0" encoding="utf-8"?>
<comments xmlns="http://schemas.openxmlformats.org/spreadsheetml/2006/main">
  <authors>
    <author>beliza.rivas</author>
  </authors>
  <commentList>
    <comment ref="B9"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 Afil. SVDSxprov.!$A$3:$F$60" type="102" refreshedVersion="5" minRefreshableVersion="5">
    <extLst>
      <ext xmlns:x15="http://schemas.microsoft.com/office/spreadsheetml/2010/11/main" uri="{DE250136-89BD-433C-8126-D09CA5730AF9}">
        <x15:connection id="Rango-68eccc94-fe38-49bf-a46d-0590fcb82611">
          <x15:rangePr sourceName="_xlcn.WorksheetConnection_Afil.SVDSxprov.A3F60"/>
        </x15:connection>
      </ext>
    </extLst>
  </connection>
</connections>
</file>

<file path=xl/sharedStrings.xml><?xml version="1.0" encoding="utf-8"?>
<sst xmlns="http://schemas.openxmlformats.org/spreadsheetml/2006/main" count="2278" uniqueCount="976">
  <si>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</si>
  <si>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</si>
  <si>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</si>
  <si>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</si>
  <si>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</si>
  <si>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</si>
  <si>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</si>
  <si>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</si>
  <si>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</si>
  <si>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</si>
  <si>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</si>
  <si>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</si>
  <si>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</si>
  <si>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</si>
  <si>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</si>
  <si>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</si>
  <si>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</si>
  <si>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</si>
  <si>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</si>
  <si>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</si>
  <si>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</si>
  <si>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</si>
  <si>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</si>
  <si>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</si>
  <si>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</si>
  <si>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</si>
  <si>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</si>
  <si>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</si>
  <si>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</si>
  <si>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</si>
  <si>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</si>
  <si>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</si>
  <si>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</si>
  <si>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</si>
  <si>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</si>
  <si>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</si>
  <si>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</si>
  <si>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</si>
  <si>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</si>
  <si>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</si>
  <si>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</si>
  <si>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</si>
  <si>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</si>
  <si>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</si>
  <si>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</si>
  <si>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</si>
  <si>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</si>
  <si>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</si>
  <si>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</si>
  <si>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</si>
  <si>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</si>
  <si>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</si>
  <si>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</si>
  <si>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</si>
  <si>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</si>
  <si>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</si>
  <si>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</si>
  <si>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</si>
  <si>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</si>
  <si>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</si>
  <si>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</si>
  <si>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</si>
  <si>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</si>
  <si>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</si>
  <si>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</si>
  <si>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</si>
  <si>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</si>
  <si>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</si>
  <si>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</si>
  <si>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</si>
  <si>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</si>
  <si>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</si>
  <si>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</si>
  <si>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</si>
  <si>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</si>
  <si>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</si>
  <si>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</si>
  <si>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</si>
  <si>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</si>
  <si>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</si>
  <si>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</si>
  <si>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</si>
  <si>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</si>
  <si>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</si>
  <si>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</si>
  <si>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</si>
  <si>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</si>
  <si>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</si>
  <si>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</si>
  <si>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</si>
  <si>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</si>
  <si>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</si>
  <si>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</si>
  <si>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</si>
  <si>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</si>
  <si>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</si>
  <si>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</si>
  <si>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</si>
  <si>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</si>
  <si>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</si>
  <si>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</si>
  <si>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</si>
  <si>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</si>
  <si>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</si>
  <si>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</si>
  <si>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</si>
  <si>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</si>
  <si>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</si>
  <si>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</si>
  <si>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</si>
  <si>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</si>
  <si>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</si>
  <si>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</si>
  <si>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</si>
  <si>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</si>
  <si>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</si>
  <si>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</si>
  <si>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</si>
  <si>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</si>
  <si>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</si>
  <si>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</si>
  <si>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</si>
  <si>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</si>
  <si>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</si>
  <si>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</si>
  <si>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</si>
  <si>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</si>
  <si>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</si>
  <si>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</si>
  <si>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</si>
  <si>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</si>
  <si>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</si>
  <si>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</si>
  <si>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</si>
  <si>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</si>
  <si>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</si>
  <si>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</si>
  <si>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</si>
  <si>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</si>
  <si>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</si>
  <si>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</si>
  <si>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</si>
  <si>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</si>
  <si>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</si>
  <si>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</si>
  <si>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</si>
  <si>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</si>
  <si>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</si>
  <si>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</si>
  <si>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</si>
  <si>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</si>
  <si>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</si>
  <si>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</si>
  <si>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</si>
  <si>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</si>
  <si>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</si>
  <si>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</si>
  <si>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</si>
  <si>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</si>
  <si>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</si>
  <si>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</si>
  <si>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</si>
  <si>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</si>
  <si>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</si>
  <si>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</si>
  <si>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Período de Facturación</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</si>
  <si>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</si>
  <si>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</si>
  <si>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</si>
  <si>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</si>
  <si>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</si>
  <si>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</si>
  <si>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</si>
  <si>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</si>
  <si>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</si>
  <si>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 xml:space="preserve">Patrimonio Fondos de Pensiones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</si>
  <si>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</si>
  <si>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</si>
  <si>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</si>
  <si>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</si>
  <si>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</si>
  <si>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</si>
  <si>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</si>
  <si>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</si>
  <si>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</si>
  <si>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</si>
  <si>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</si>
  <si>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</si>
  <si>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</si>
  <si>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</si>
  <si>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</si>
  <si>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</si>
  <si>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</si>
  <si>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</si>
  <si>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</si>
  <si>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</si>
  <si>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</si>
  <si>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</si>
  <si>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</si>
  <si>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</si>
  <si>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</si>
  <si>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</si>
  <si>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</si>
  <si>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</si>
  <si>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</si>
  <si>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</si>
  <si>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</si>
  <si>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</si>
  <si>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</si>
  <si>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</si>
  <si>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</si>
  <si>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</si>
  <si>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</si>
  <si>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</si>
  <si>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</si>
  <si>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</si>
  <si>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</si>
  <si>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</si>
  <si>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</si>
  <si>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</si>
  <si>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</si>
  <si>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xml:space="preserve">          </t>
  </si>
  <si>
    <t>% crecimiento</t>
  </si>
  <si>
    <t>Asoc. de Profesionales de la Salud</t>
  </si>
  <si>
    <t xml:space="preserve">Menor de 19 </t>
  </si>
  <si>
    <t>Traspasos Recibidos en AFP y Reparto</t>
  </si>
  <si>
    <t>PIB Corriente</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</si>
  <si>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</si>
  <si>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</si>
  <si>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</si>
  <si>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</si>
  <si>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</si>
  <si>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</si>
  <si>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</si>
  <si>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</si>
  <si>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</si>
  <si>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</si>
  <si>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</si>
  <si>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</si>
  <si>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</si>
  <si>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</si>
  <si>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</si>
  <si>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</si>
  <si>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</si>
  <si>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</si>
  <si>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</si>
  <si>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</si>
  <si>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</si>
  <si>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</si>
  <si>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</si>
  <si>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</si>
  <si>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</si>
  <si>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</si>
  <si>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</si>
  <si>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</si>
  <si>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</si>
  <si>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</si>
  <si>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</si>
  <si>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</si>
  <si>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</si>
  <si>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</si>
  <si>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</si>
  <si>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</si>
  <si>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</si>
  <si>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</si>
  <si>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</si>
  <si>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</si>
  <si>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</si>
  <si>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Accidentabilidad Afiliados (No. de accidentes por cada 100,000 afiliados)</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</si>
  <si>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</si>
  <si>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</si>
  <si>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</si>
  <si>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</si>
  <si>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</si>
  <si>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</si>
  <si>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</si>
  <si>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</si>
  <si>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</si>
  <si>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</si>
  <si>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</si>
  <si>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</si>
  <si>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</si>
  <si>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</si>
  <si>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</si>
  <si>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</si>
  <si>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</si>
  <si>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</si>
  <si>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</si>
  <si>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</si>
  <si>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</si>
  <si>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</si>
  <si>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</si>
  <si>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</si>
  <si>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</si>
  <si>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</si>
  <si>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</si>
  <si>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</si>
  <si>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</si>
  <si>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</si>
  <si>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</si>
  <si>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</si>
  <si>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</si>
  <si>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</si>
  <si>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</si>
  <si>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</si>
  <si>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</si>
  <si>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</si>
  <si>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</si>
  <si>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</si>
  <si>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</si>
  <si>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</si>
  <si>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</si>
  <si>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</si>
  <si>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</si>
  <si>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</si>
  <si>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</si>
  <si>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</si>
  <si>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</si>
  <si>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</si>
  <si>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</si>
  <si>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</si>
  <si>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</si>
  <si>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</si>
  <si>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</si>
  <si>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</si>
  <si>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</si>
  <si>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</si>
  <si>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</si>
  <si>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</si>
  <si>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</si>
  <si>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</si>
  <si>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</si>
  <si>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</si>
  <si>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</si>
  <si>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</si>
  <si>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</si>
  <si>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</si>
  <si>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</si>
  <si>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</si>
  <si>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</si>
  <si>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</si>
  <si>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</si>
  <si>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</si>
  <si>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</si>
  <si>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</si>
  <si>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</si>
  <si>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</si>
  <si>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</si>
  <si>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</si>
  <si>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</si>
  <si>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</si>
  <si>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</si>
  <si>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</si>
  <si>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</si>
  <si>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</si>
  <si>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</si>
  <si>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</si>
  <si>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</si>
  <si>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</si>
  <si>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</si>
  <si>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</si>
  <si>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</si>
  <si>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</si>
  <si>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</si>
  <si>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</si>
  <si>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</si>
  <si>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</si>
  <si>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</si>
  <si>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</si>
  <si>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</si>
  <si>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</si>
  <si>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</si>
  <si>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</si>
  <si>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</si>
  <si>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</si>
  <si>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</si>
  <si>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</si>
  <si>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</si>
  <si>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</si>
  <si>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</si>
  <si>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</si>
  <si>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</si>
  <si>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</si>
  <si>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</si>
  <si>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</si>
  <si>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</si>
  <si>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</si>
  <si>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</si>
  <si>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</si>
  <si>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</si>
  <si>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</si>
  <si>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</si>
  <si>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</si>
  <si>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</si>
  <si>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</si>
  <si>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</si>
  <si>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</si>
  <si>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</si>
  <si>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</si>
  <si>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</si>
  <si>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</si>
  <si>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</si>
  <si>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</si>
  <si>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</si>
  <si>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</si>
  <si>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</si>
  <si>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</si>
  <si>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</si>
  <si>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</si>
  <si>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</si>
  <si>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</si>
  <si>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</si>
  <si>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</si>
  <si>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</si>
  <si>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</si>
  <si>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 Año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</si>
  <si>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</si>
  <si>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</si>
  <si>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</si>
  <si>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</si>
  <si>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</si>
  <si>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</si>
  <si>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</si>
  <si>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</si>
  <si>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</si>
  <si>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</si>
  <si>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</si>
  <si>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</si>
  <si>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</si>
  <si>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</si>
  <si>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</si>
  <si>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</si>
  <si>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</si>
  <si>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</si>
  <si>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</si>
  <si>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t>% Afiliación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</si>
  <si>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</si>
  <si>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</si>
  <si>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</si>
  <si>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</si>
  <si>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</si>
  <si>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</si>
  <si>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</si>
  <si>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</si>
  <si>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</si>
  <si>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</si>
  <si>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Bonos Ordinarios</t>
  </si>
  <si>
    <t>Otras Inversiones</t>
  </si>
  <si>
    <t>Total Inversiones</t>
  </si>
  <si>
    <t>Abr.12</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</si>
  <si>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</si>
  <si>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</si>
  <si>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</si>
  <si>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</si>
  <si>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</si>
  <si>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</si>
  <si>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</si>
  <si>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</si>
  <si>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</si>
  <si>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</si>
  <si>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</si>
  <si>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</si>
  <si>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</si>
  <si>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</si>
  <si>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</si>
  <si>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</si>
  <si>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</si>
  <si>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</si>
  <si>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</si>
  <si>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 xml:space="preserve">Letras Hipotecarias </t>
  </si>
  <si>
    <t>Afiliados  SRL</t>
  </si>
  <si>
    <t>Altagracia</t>
  </si>
  <si>
    <t>%  Accidentado /Afiliado Sector Público</t>
  </si>
  <si>
    <t xml:space="preserve">    % Accidentado /Afiliado Sector Privado</t>
  </si>
  <si>
    <t>Ago.12</t>
  </si>
  <si>
    <t xml:space="preserve"> FSS</t>
  </si>
  <si>
    <t>Pensionados de Hacienda</t>
  </si>
  <si>
    <t>Saldo  (Ingresos - Egresos SDSS)</t>
  </si>
  <si>
    <t>Nov.11</t>
  </si>
  <si>
    <t>Ene.12</t>
  </si>
  <si>
    <t>Feb.12</t>
  </si>
  <si>
    <t>May.12</t>
  </si>
  <si>
    <t>Jun.12</t>
  </si>
  <si>
    <t>Jul.12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</si>
  <si>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</si>
  <si>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</si>
  <si>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</si>
  <si>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</si>
  <si>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</si>
  <si>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</si>
  <si>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</si>
  <si>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</si>
  <si>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</si>
  <si>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</si>
  <si>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</si>
  <si>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</si>
  <si>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</si>
  <si>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Población Económicamente Activa (PEA) Total</t>
  </si>
  <si>
    <t>Dic. 2012</t>
  </si>
  <si>
    <t>2012</t>
  </si>
  <si>
    <t>Dic.08</t>
  </si>
  <si>
    <t>Dic.12</t>
  </si>
  <si>
    <t>Dic.2007</t>
  </si>
  <si>
    <t>Dic.2008</t>
  </si>
  <si>
    <t>Dic.2011</t>
  </si>
  <si>
    <t>Dic.2012</t>
  </si>
  <si>
    <t xml:space="preserve"> 2012</t>
  </si>
  <si>
    <t>Dic. 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</si>
  <si>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</si>
  <si>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Ene.13</t>
  </si>
  <si>
    <t>Ene. 13</t>
  </si>
  <si>
    <t>Pensiones Sobrevivencia</t>
  </si>
  <si>
    <t>Beneficiarios  por pensiones de Sobrevivencia</t>
  </si>
  <si>
    <t>Plan Sustitutivo - Banco Central</t>
  </si>
  <si>
    <t>Plan Sustitutivo - Banco de Reservas</t>
  </si>
  <si>
    <t>Instituto Dominicano de Seguridad Social (IDSS)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</si>
  <si>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</si>
  <si>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</si>
  <si>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</si>
  <si>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</si>
  <si>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</si>
  <si>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</si>
  <si>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</si>
  <si>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</si>
  <si>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</si>
  <si>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</si>
  <si>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</si>
  <si>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</si>
  <si>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</si>
  <si>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</si>
  <si>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</si>
  <si>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</si>
  <si>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</si>
  <si>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</si>
  <si>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</si>
  <si>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</si>
  <si>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</si>
  <si>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</si>
  <si>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</si>
  <si>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</si>
  <si>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</si>
  <si>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</si>
  <si>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</si>
  <si>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</si>
  <si>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 xml:space="preserve">Cotizantes </t>
  </si>
  <si>
    <t>Dic.03</t>
  </si>
  <si>
    <t>Dic.04</t>
  </si>
  <si>
    <t>Dic.05</t>
  </si>
  <si>
    <t>Afiliados Masculinos</t>
  </si>
  <si>
    <t>Cotizantes Femeninos</t>
  </si>
  <si>
    <t>Cotizantes Masculinos</t>
  </si>
  <si>
    <t>Afiliados Femeninos</t>
  </si>
  <si>
    <t xml:space="preserve">Afiliados </t>
  </si>
  <si>
    <t xml:space="preserve">Cotizantes     </t>
  </si>
  <si>
    <t>Nota: La dispersión a la cuenta de EI en el mes de septiembre 2011 incluye RD$ 59,135,579.85 que fue transferido a la cuenta Proyecto XII para la adquisición  de los módulos
 3 y 7 y remodelaciones de las EI, conforme lo establecido  en la Resolución No. 264-06 del CNSS de fecha 07/04/11</t>
  </si>
  <si>
    <t>Afiliación   RET</t>
  </si>
  <si>
    <t xml:space="preserve">Cápitas pagadas/  Afiliación </t>
  </si>
  <si>
    <t xml:space="preserve">Afiliados Titulares </t>
  </si>
  <si>
    <t xml:space="preserve">Afiliados Dependientes </t>
  </si>
  <si>
    <t>Afiliación        SFS RS</t>
  </si>
  <si>
    <t>%  Afiliación  / Población Pobre</t>
  </si>
  <si>
    <t>Afiliación Total</t>
  </si>
  <si>
    <t>Población Objetivo</t>
  </si>
  <si>
    <t>% Ejecución</t>
  </si>
  <si>
    <t xml:space="preserve">Afiliación  ARS Salud Segura </t>
  </si>
  <si>
    <t xml:space="preserve">Afiliación ARS SENASA </t>
  </si>
  <si>
    <t>Afiliación ARS SEMMA</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</si>
  <si>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</si>
  <si>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</si>
  <si>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</si>
  <si>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</si>
  <si>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</si>
  <si>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</si>
  <si>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</si>
  <si>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</si>
  <si>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</si>
  <si>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</si>
  <si>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</si>
  <si>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</si>
  <si>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</si>
  <si>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</si>
  <si>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</si>
  <si>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</si>
  <si>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</si>
  <si>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</si>
  <si>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</si>
  <si>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</si>
  <si>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</si>
  <si>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</si>
  <si>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</si>
  <si>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Feb.13</t>
  </si>
  <si>
    <t>Mar.13</t>
  </si>
  <si>
    <t>Abr.13</t>
  </si>
  <si>
    <t>May.13</t>
  </si>
  <si>
    <t>Jun.13</t>
  </si>
  <si>
    <t>Jul.13</t>
  </si>
  <si>
    <t>Ago.13</t>
  </si>
  <si>
    <t>Sep.13</t>
  </si>
  <si>
    <t>Oct.13</t>
  </si>
  <si>
    <t>Nov.13</t>
  </si>
  <si>
    <t>Ene.14</t>
  </si>
  <si>
    <t>Feb.14</t>
  </si>
  <si>
    <t>Mar.14</t>
  </si>
  <si>
    <t>Abr.14</t>
  </si>
  <si>
    <t>May.14</t>
  </si>
  <si>
    <t>Jun.14</t>
  </si>
  <si>
    <t>Jul.14</t>
  </si>
  <si>
    <t>Ago.14</t>
  </si>
  <si>
    <t>Sep.14</t>
  </si>
  <si>
    <t>Indice de Dependencia</t>
  </si>
  <si>
    <t>May.09</t>
  </si>
  <si>
    <t>May.10</t>
  </si>
  <si>
    <t>May.11</t>
  </si>
  <si>
    <t>Feb. 14</t>
  </si>
  <si>
    <t xml:space="preserve">Abr.14 </t>
  </si>
  <si>
    <t xml:space="preserve"> Cobertura de Afiliación Salud Pensionados</t>
  </si>
  <si>
    <t xml:space="preserve">             </t>
  </si>
  <si>
    <t xml:space="preserve">                                                                                                                                                                                                                                                                                                                                                                                                                                                                                                                                                                                                                                                                                                                                                                                                                                                                                                                                                                                                                                                                                                                                                                                                                                                                                                                                                                                                                                                                                                                                                                                                                                                                                                                                                                                                                                                                                                                                                                                                                                                                                                                                                                                                                                                                                                                                                                                                                                                                                                                    </t>
  </si>
  <si>
    <t>Población Ocupada Formal</t>
  </si>
  <si>
    <t>2013</t>
  </si>
  <si>
    <t>%  Afil./Ocup.</t>
  </si>
  <si>
    <t>Ene. 14</t>
  </si>
  <si>
    <t xml:space="preserve">Rentabilidad  Promedio de los Fondos de Pensiones </t>
  </si>
  <si>
    <t>Rentabilidad Nominal</t>
  </si>
  <si>
    <t xml:space="preserve">Inflación Acumulada </t>
  </si>
  <si>
    <t>Rentabilidad Real</t>
  </si>
  <si>
    <t>La Altagracia</t>
  </si>
  <si>
    <t>Total Empleados</t>
  </si>
  <si>
    <t>2014</t>
  </si>
  <si>
    <t>Ene-15</t>
  </si>
  <si>
    <t>Dic. 2014</t>
  </si>
  <si>
    <t>Afiliación RS</t>
  </si>
  <si>
    <t>Ene.2015</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</si>
  <si>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</si>
  <si>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</si>
  <si>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</si>
  <si>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</si>
  <si>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</si>
  <si>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</si>
  <si>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</si>
  <si>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</si>
  <si>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</si>
  <si>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</si>
  <si>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</si>
  <si>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</si>
  <si>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</si>
  <si>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</si>
  <si>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</si>
  <si>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</si>
  <si>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Ene. 2015</t>
  </si>
  <si>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</si>
  <si>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</si>
  <si>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r>
      <t xml:space="preserve">Régimen Especial Transitorio para la Salud de Pensionados Ley 1896-379
Cobertura de Afiliación Anual de Pensionados al SFS
</t>
    </r>
    <r>
      <rPr>
        <b/>
        <sz val="14"/>
        <color theme="0"/>
        <rFont val="Calibri"/>
        <family val="2"/>
      </rPr>
      <t>Período:  Diciembre 2009 -  Enero 2015</t>
    </r>
  </si>
  <si>
    <t>Hombres Cotiz. / PEA</t>
  </si>
  <si>
    <t>Mujeres Cotiz. / PEA</t>
  </si>
  <si>
    <t>Ene. 15</t>
  </si>
  <si>
    <t>Traspasos Totales</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</si>
  <si>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</si>
  <si>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</si>
  <si>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</si>
  <si>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</si>
  <si>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</si>
  <si>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</si>
  <si>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</si>
  <si>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</si>
  <si>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</si>
  <si>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</si>
  <si>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Sep. 2007 - Enero 2015</t>
  </si>
  <si>
    <t>Total 
Sep.07 - Ene.2015</t>
  </si>
  <si>
    <t>Enero 2015</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</si>
  <si>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</si>
  <si>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</si>
  <si>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</si>
  <si>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</si>
  <si>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</si>
  <si>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</si>
  <si>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</si>
  <si>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</si>
  <si>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</si>
  <si>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</si>
  <si>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r>
      <rPr>
        <b/>
        <sz val="11"/>
        <color theme="1"/>
        <rFont val="Calibri"/>
        <family val="2"/>
        <scheme val="minor"/>
      </rPr>
      <t xml:space="preserve">Fuente: </t>
    </r>
    <r>
      <rPr>
        <sz val="11"/>
        <color theme="1"/>
        <rFont val="Calibri"/>
        <family val="2"/>
        <scheme val="minor"/>
      </rPr>
      <t>Boletín No.46 Sipen</t>
    </r>
  </si>
  <si>
    <r>
      <rPr>
        <b/>
        <sz val="11"/>
        <color theme="1"/>
        <rFont val="Calibri"/>
        <family val="2"/>
        <scheme val="minor"/>
      </rPr>
      <t>Fuente:</t>
    </r>
    <r>
      <rPr>
        <sz val="11"/>
        <color theme="1"/>
        <rFont val="Calibri"/>
        <family val="2"/>
        <scheme val="minor"/>
      </rPr>
      <t xml:space="preserve"> Boletín No.46 Sipen</t>
    </r>
  </si>
  <si>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</si>
  <si>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</si>
  <si>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</si>
  <si>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</si>
  <si>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</si>
  <si>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</si>
  <si>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</si>
  <si>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</si>
  <si>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</si>
  <si>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</si>
  <si>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</si>
  <si>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</si>
  <si>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</si>
  <si>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</si>
  <si>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</si>
  <si>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</si>
  <si>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</si>
  <si>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</si>
  <si>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III.4 Afiliación del Régimen Especial Transitorio (RET) Salud de Pensionados.  Ley 1896-379</t>
  </si>
  <si>
    <t>III.6 Estadísticas Afiliación al Seguro de Vejez, Discapacidad y Sobrevivencia (SVDS)</t>
  </si>
  <si>
    <t>III.5 Estadísticas Afiliación del Régimen Especial Transitorio (RET) Salud de Pensionados.  Ley 1896-379</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</si>
  <si>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</si>
  <si>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</si>
  <si>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</si>
  <si>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</si>
  <si>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III.7  Estadísticas de Afiliación al Seguro de Riesgos Laborales</t>
  </si>
  <si>
    <t>III.1.1 Definiciones y Análisis</t>
  </si>
  <si>
    <t>III.1.6 Comportamiento Real y Proyectado de la Cobertura del SFS a la Población Total</t>
  </si>
  <si>
    <t>III.2.1 Definiciones y Análisis</t>
  </si>
  <si>
    <t>III.3.1 Definiciones y Análisis</t>
  </si>
  <si>
    <t>III.4.1 Definiciones y Análisis</t>
  </si>
  <si>
    <t>III.4.2 Afiliación Anual de Pensionados al SFS</t>
  </si>
  <si>
    <t>III.4.3 Afiliación Mensual de Pensionados al SFS</t>
  </si>
  <si>
    <t>III.4.4 Cobertura Afiliación de Pensionados al SFS</t>
  </si>
  <si>
    <t>III.5.1 Definiciones y Análisis</t>
  </si>
  <si>
    <t>III.5.2 Afiliación Anual de Pensionados al SFS</t>
  </si>
  <si>
    <t>III.5.3 Afiliación Mensual de Pensionados al SFS</t>
  </si>
  <si>
    <t>III.5.4 Cobertura Afiliación de Pensionados al SFS</t>
  </si>
  <si>
    <t>III.6.2   Cantidad de Afiliados y Cotizantes Anual del RC</t>
  </si>
  <si>
    <t>III.6.1  Definiciones y Análisis</t>
  </si>
  <si>
    <t>I.1 Ley 87-01</t>
  </si>
  <si>
    <t>I.2 Organización del Sistema</t>
  </si>
  <si>
    <t>I.3 Regímenes y Seguros del SDSS</t>
  </si>
  <si>
    <t>I.4 Seguros y Beneficios del SDSS</t>
  </si>
  <si>
    <t>II.1 Definiciones y Análisis</t>
  </si>
  <si>
    <t>II.2 Empresas y Empleados Afiliados Activos al SDSS por Sector</t>
  </si>
  <si>
    <t>II.3 Empresas Afiliadas al SDSS, por Cantidad de Empleados Registrados en TSS</t>
  </si>
  <si>
    <t>II.4 Salario Promedio Mensual de los Empleados Afiliados Activos al SDSS, por Sector</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</si>
  <si>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</si>
  <si>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</si>
  <si>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</si>
  <si>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 1.1  Definiciones y Análisis</t>
  </si>
  <si>
    <t>V.2 Beneficiarios y Beneficios de Subsidios del SFS</t>
  </si>
  <si>
    <t>V. 1.2 Niños Beneficiarios Anual de las Estancias Infantiles</t>
  </si>
  <si>
    <t>V. 1.3 Niños Beneficiarios  Mensualmente de las Estancias Infantiles</t>
  </si>
  <si>
    <t>V. 1.4 Estancias Infantiles Habilitadas para la Afiliación de Hijos de Trabajadores al RC</t>
  </si>
  <si>
    <t>V.2.1 Afiliados Beneficiarios por Subsidios de Maternidad, Lactancia y Enfermedad Común</t>
  </si>
  <si>
    <t>V.2.2 Montos Aprobados en Millones de RD$ por Concepto de Subsidios por Maternidad, Lactancia y Enfermedad Común</t>
  </si>
  <si>
    <t>V.3 Beneficiarios y Beneficios de Subsidios del SVDS</t>
  </si>
  <si>
    <t>V.3.1 Pensión Promedio por Tipo de Discapacidad Según AFP</t>
  </si>
  <si>
    <t>V.3.2 Pensión Promedio de Sobrevivencia y Discapacidad (RD$) del SVDS</t>
  </si>
  <si>
    <t>V.3.3 Pensiones Otorgadas por Año del SVDS</t>
  </si>
  <si>
    <t>V.4.1 Cantidad de Expedientes Calificados por la ARL por Tipo de Accidente</t>
  </si>
  <si>
    <t>V.4.2 Cantidad de Expedientes Calificados por la ARL por Grado de Lesión</t>
  </si>
  <si>
    <t>V.4.3 Cantidad de Expedientes Calificados por la ARL  Según Circunstancia del Suceso</t>
  </si>
  <si>
    <t>V.4.4 Cantidad de Expedientes Calificados por la ARL Según Agente Dañino</t>
  </si>
  <si>
    <t>V.4.5 Cantidad de Expedientes Calificados por la ARL Según Lugar de Accidente</t>
  </si>
  <si>
    <t>V.4.6 Cantidad de Expedientes Calificados por la ARL con Accidentes Laborales con Lesiones Discapacitantes</t>
  </si>
  <si>
    <t>V.4.8 Cantidad de Expedientes de Accidentes Laborales Calificados en Proceso de Reinvestigación</t>
  </si>
  <si>
    <t>V.4.9 Cantidad de Expedientes Calificados por la ARL vs. Casos Reportados</t>
  </si>
  <si>
    <t>V.4.10  Cantidad de Expedientes de Accidentes Laborales Calificados por la ARL</t>
  </si>
  <si>
    <t>V.4.12  Reporte de Accidente Laborales y Enfermedades Profesionales por Región</t>
  </si>
  <si>
    <t>V.4.13 Reporte de Accidentes Laborales y Enfermedades Profesionales por Provincia</t>
  </si>
  <si>
    <t>V.4.15 Reporte de Accidente Laborales y Enfermedades Profesionales por Tipo de Empresa</t>
  </si>
  <si>
    <t>V.4.16  Reporte de Accidentes Laborales y Enfermedades Profesionales por Sexo</t>
  </si>
  <si>
    <t>V.4.17 Reporte de Accidentes Laborales y Enfermedades Profesionales por Rango de Edad</t>
  </si>
  <si>
    <t>V.4.18 Reporte de Accidentes Laborales y Enfermedades Profesionales por Nivel de Escolaridad</t>
  </si>
  <si>
    <t>V.4.19 Comparación Reporte de Accidentes Laborales y Enfermedades Profesionales y Afiliación al SRL por Sector</t>
  </si>
  <si>
    <t>V.4.20 Comparación Reporte de Accidentes laborales y Enfermedades Profesionales y Afiliación al SRL por Sexo</t>
  </si>
  <si>
    <t>V.4.21 Comparación  Reporte de Accidentes Laborales y Enfermedades Profesionales y Afiliación al SRL por Edad</t>
  </si>
  <si>
    <t>V.4.22 Casos Aprobados en Proceso de Reinvestigación por Tipo de Accidente</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</si>
  <si>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</si>
  <si>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</si>
  <si>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</si>
  <si>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</si>
  <si>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</si>
  <si>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V.4.7 Cantidad de Expedientes de Enfermedades Profesionales Calificados en Proceso de Investigación</t>
  </si>
  <si>
    <t>V.4.11 Reporte de Accidentes Laborales y Enfermedades Profesionales</t>
  </si>
  <si>
    <t>V.4.14 Reporte de Accidentes Laborales y Enfermedades Profesionales por Zona de Procedencia</t>
  </si>
  <si>
    <t>V.4.23 Casos Aprobados en Proceso de Reinvestigación por Grado de Lesión</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</si>
  <si>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</si>
  <si>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</si>
  <si>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</si>
  <si>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</si>
  <si>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</si>
  <si>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</si>
  <si>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</si>
  <si>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</si>
  <si>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</si>
  <si>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</si>
  <si>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</si>
  <si>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</si>
  <si>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</si>
  <si>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</si>
  <si>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</si>
  <si>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</si>
  <si>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</si>
  <si>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Niños Beneficiarios</t>
  </si>
  <si>
    <t>Cápita RD$</t>
  </si>
  <si>
    <t xml:space="preserve">  Estancias habilitadas</t>
  </si>
  <si>
    <t>Promedio de niños por Estancia</t>
  </si>
  <si>
    <t>Dispersión Mensual</t>
  </si>
  <si>
    <t>Acumulado invertido en Certificados</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</si>
  <si>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</si>
  <si>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</si>
  <si>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</si>
  <si>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</si>
  <si>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</si>
  <si>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</si>
  <si>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</si>
  <si>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</si>
  <si>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</si>
  <si>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</si>
  <si>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</si>
  <si>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</si>
  <si>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</si>
  <si>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</si>
  <si>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</si>
  <si>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</si>
  <si>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</si>
  <si>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</si>
  <si>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</si>
  <si>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</si>
  <si>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</si>
  <si>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</si>
  <si>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</si>
  <si>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</si>
  <si>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</si>
  <si>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</si>
  <si>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</si>
  <si>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</si>
  <si>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</si>
  <si>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Cobertura de Afiliación de Titulares            del SFS RC</t>
  </si>
  <si>
    <t>Cobertura de Afiliación de Depend. Totales             del SFS RC</t>
  </si>
  <si>
    <t>Cobertura de Afiliaciónde Depend. Adicionales al SFS RC</t>
  </si>
  <si>
    <t>Total  Cobertura de AfiliaciónSFS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</si>
  <si>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</si>
  <si>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</si>
  <si>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</si>
  <si>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</si>
  <si>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</si>
  <si>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</si>
  <si>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</si>
  <si>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Mascullino</t>
  </si>
  <si>
    <t>Total Femenino</t>
  </si>
  <si>
    <t xml:space="preserve">Rendimientos Inversiones </t>
  </si>
  <si>
    <t>Recaudo RC (incluye recargos e intereses)</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</si>
  <si>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</si>
  <si>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</si>
  <si>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</si>
  <si>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</si>
  <si>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</si>
  <si>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</si>
  <si>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</si>
  <si>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</si>
  <si>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Aportes a FONAMAT</t>
  </si>
  <si>
    <t>Fuente: Boletin No. 46 SIPEN</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</si>
  <si>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</si>
  <si>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</si>
  <si>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</si>
  <si>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</si>
  <si>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</si>
  <si>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</si>
  <si>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</si>
  <si>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</si>
  <si>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</si>
  <si>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</si>
  <si>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</si>
  <si>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</si>
  <si>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</si>
  <si>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</si>
  <si>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</si>
  <si>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</si>
  <si>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</si>
  <si>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</si>
  <si>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</si>
  <si>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Nota: AFP León y AFP CARIBALICO fueron absorbidas por AFP Siembra en 2007.</t>
  </si>
  <si>
    <t>Los pagos a las AFP incluye: CCI, Comisión, Seguro de Vida y Fondo de Solidaridad Social en AFP Reservas</t>
  </si>
  <si>
    <r>
      <rPr>
        <b/>
        <sz val="16"/>
        <color theme="1"/>
        <rFont val="Calibri"/>
        <family val="2"/>
        <scheme val="minor"/>
      </rPr>
      <t>Nota:</t>
    </r>
    <r>
      <rPr>
        <sz val="16"/>
        <color theme="1"/>
        <rFont val="Calibri"/>
        <family val="2"/>
        <scheme val="minor"/>
      </rPr>
      <t xml:space="preserve">  La cantidad de niños fueron calculados por la dispersión mensual entre el cápita asignado.</t>
    </r>
  </si>
  <si>
    <t>Salud Pensionados</t>
  </si>
  <si>
    <t xml:space="preserve"> FONAMAT</t>
  </si>
  <si>
    <t>Salud RS</t>
  </si>
  <si>
    <t>RC (Empleador)</t>
  </si>
  <si>
    <t>PIB Corriente Nacional</t>
  </si>
  <si>
    <t xml:space="preserve">                                   </t>
  </si>
  <si>
    <t>III.7.1 Definiciones y Análisis</t>
  </si>
  <si>
    <t>III.7.2 Comparativo Afiliación al SRL en Relación a la Población Ocupada en el Sector Formal</t>
  </si>
  <si>
    <t>III.7.3 Afiliación al SRL por Grupo de Edad y Género</t>
  </si>
  <si>
    <t>III.7.4 Empleados Afiliados Activos al SDSS por Tipo de Riesgos Laborales de sus Empresas</t>
  </si>
  <si>
    <t>III.7.5 Accidentabilidad Laboral de los Afiliados al SRL</t>
  </si>
  <si>
    <t>Saldo (Recaudo RC - Pagos RC)</t>
  </si>
  <si>
    <t>Aportes del Gob. (SFS RS)</t>
  </si>
  <si>
    <t>Saldo 
(Aportes SFS RS- Pago SENASA)</t>
  </si>
  <si>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Diciembre de 2014</t>
    </r>
  </si>
  <si>
    <t xml:space="preserve"> Provincia</t>
  </si>
  <si>
    <r>
      <rPr>
        <b/>
        <sz val="12"/>
        <color theme="1"/>
        <rFont val="Calibri"/>
        <family val="2"/>
        <scheme val="minor"/>
      </rPr>
      <t xml:space="preserve">Fuente: </t>
    </r>
    <r>
      <rPr>
        <sz val="12"/>
        <color theme="1"/>
        <rFont val="Calibri"/>
        <family val="2"/>
        <scheme val="minor"/>
      </rPr>
      <t>Oficina Nacional de Estadísticas (ONE) y Superintendencia de Salud y Riesgos Laborables</t>
    </r>
  </si>
  <si>
    <t>AFP Popular</t>
  </si>
  <si>
    <t xml:space="preserve">Siembra </t>
  </si>
  <si>
    <t xml:space="preserve">Ëlías Piña </t>
  </si>
  <si>
    <t>% Provincia</t>
  </si>
  <si>
    <t>Juan Sánchez Ramírez</t>
  </si>
  <si>
    <t>Santiago</t>
  </si>
  <si>
    <t>Valverde Mao</t>
  </si>
  <si>
    <t>Sin Información</t>
  </si>
  <si>
    <t>Total Afiliados SFS RS</t>
  </si>
  <si>
    <t>*Ene.2015</t>
  </si>
  <si>
    <t>Pagos SFSP</t>
  </si>
  <si>
    <t xml:space="preserve">SENASA                   </t>
  </si>
  <si>
    <t>Jul. 2010</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</si>
  <si>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</si>
  <si>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r>
      <t xml:space="preserve">Fuente: </t>
    </r>
    <r>
      <rPr>
        <sz val="11"/>
        <rFont val="Calibri"/>
        <family val="2"/>
        <scheme val="minor"/>
      </rPr>
      <t>Informes TSS</t>
    </r>
  </si>
  <si>
    <r>
      <rPr>
        <b/>
        <sz val="8"/>
        <color theme="1"/>
        <rFont val="Calibri"/>
        <family val="2"/>
        <scheme val="minor"/>
      </rPr>
      <t>Nota:</t>
    </r>
    <r>
      <rPr>
        <sz val="8"/>
        <color theme="1"/>
        <rFont val="Calibri"/>
        <family val="2"/>
        <scheme val="minor"/>
      </rPr>
      <t xml:space="preserve">  PEA: Banco Central, 2014.  </t>
    </r>
  </si>
  <si>
    <r>
      <t xml:space="preserve">Fuente: </t>
    </r>
    <r>
      <rPr>
        <sz val="12"/>
        <rFont val="Calibri"/>
        <family val="2"/>
        <scheme val="minor"/>
      </rPr>
      <t>Boletín Sipen No.46</t>
    </r>
  </si>
  <si>
    <t>Tasa de crecimiento Anual</t>
  </si>
  <si>
    <t>* Calculado con el PIB del cierre del año 2014 publicado por el Banco Central</t>
  </si>
  <si>
    <t>Feb.2005</t>
  </si>
  <si>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 013..3 millones, y 79,368 trabajadoras han percibido el subsidio por Lactancia por un monto total de RD$ 1,122.30 millones .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
</t>
  </si>
  <si>
    <t xml:space="preserve">
El Seguro d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enero de 2015, el Sistema Previsional ha beneficiado un total de 9,055  pensiones, desglosadas de la siguiente manera: 4,321 por Discapacidad, 4,713 por Sobrevivencia y 21 por Retiro Programado (vejez), otorgadas estas últimas a personas de ingreso tardío. Las pensiones de sobrevivencia otorgadas benefician a 11,402 personas.
Al 31 de diciembre de 2014 el monto promedio de pensión por sobrevivencia asciende a RD$ 10,839.31, mientras que el monto promedio de pensión por discapacidad asciende a RD$7,528.54
</t>
  </si>
  <si>
    <r>
      <t>Fuente:</t>
    </r>
    <r>
      <rPr>
        <sz val="14"/>
        <rFont val="Calibri"/>
        <family val="2"/>
        <scheme val="minor"/>
      </rPr>
      <t xml:space="preserve"> Boletín de SIPEN No. 46</t>
    </r>
  </si>
  <si>
    <r>
      <rPr>
        <b/>
        <sz val="9"/>
        <color theme="1"/>
        <rFont val="Calibri"/>
        <family val="2"/>
        <scheme val="minor"/>
      </rPr>
      <t xml:space="preserve">Actividad conexa: </t>
    </r>
    <r>
      <rPr>
        <sz val="9"/>
        <color theme="1"/>
        <rFont val="Calibri"/>
        <family val="2"/>
        <scheme val="minor"/>
      </rPr>
      <t xml:space="preserve"> Está relacionada con la activdad productiva pero no representa beneficios directos para la empresa o para la actividad en sí.</t>
    </r>
  </si>
  <si>
    <r>
      <t xml:space="preserve">Fuente: </t>
    </r>
    <r>
      <rPr>
        <sz val="14"/>
        <color theme="1"/>
        <rFont val="Calibri"/>
        <family val="2"/>
        <scheme val="minor"/>
      </rPr>
      <t>Portal SISALRIL, MEPYD</t>
    </r>
  </si>
  <si>
    <t>II.5 Trabajadores Afiliados Activos al SDSS, por  Sexo y Edad</t>
  </si>
  <si>
    <t>III.2.2 Afiliación Anual al SFS del Régimen Contributivo (RC) por Tipo</t>
  </si>
  <si>
    <t>III.2.3 Afiliación Mensual al SFS del Régimen Contributivo (RC) por Tipo</t>
  </si>
  <si>
    <t>III.2.4 Cobertura de Afiliación  Anual por Tipo del Régimen Contributivo (RC)</t>
  </si>
  <si>
    <t>III.2.5 Cobertura de Afiliación Mensual por Tipo del Régimen Contributivo (RC)</t>
  </si>
  <si>
    <t xml:space="preserve">III.2.6 Afiliados al  Seguro Familiar de  Salud del Régimen Contributivo por Sexo y Tipo </t>
  </si>
  <si>
    <t>III.3.3 Afiliación Mensual del Seguro Familiar de Salud del Régimen Subsidiado por Tipo</t>
  </si>
  <si>
    <t>III.3.6 Afiliados al  Seguro Familiar de  Salud del Régimen Subsidiado por Sexo y Tipo de Afiliación</t>
  </si>
  <si>
    <t xml:space="preserve">III.3.4 Cobertura de Afiliación Anual al SFS el Régimen Subsidiado (RS) por Tipo </t>
  </si>
  <si>
    <t xml:space="preserve">III.3.5 Cobertura de Afiliación Mensual al SFS el Régimen Subsidiado (RS) por Tipo </t>
  </si>
  <si>
    <t>III.3.7 Comportamiento de la Afiliación al SFS del RS con Relación a la Población Pobre del País (MEPYD)</t>
  </si>
  <si>
    <t>III.3.2 Afiliación Anual al SFS del Régimen Subsidiado (RS) por Tipo</t>
  </si>
  <si>
    <t>IV. 1  Definiciones y Análisis SDSS</t>
  </si>
  <si>
    <t>IV. 3 Definiciones y Análisis  por Seguros</t>
  </si>
  <si>
    <t>IV. 4  Recaudo del RC del SDSS por Origen de los Aportes</t>
  </si>
  <si>
    <t>IV. 5  Recaudo del RC del SDSS por Origen por Sector</t>
  </si>
  <si>
    <t>IV. 10  Dispersión Anual por Cuentas del SVDS (RD$)</t>
  </si>
  <si>
    <t>IV. 11 Distribución de Fondos del SFS del RC en Certificados Financieros</t>
  </si>
  <si>
    <t>IV. 12 Distribución de Fondos de la Cuenta Cuidado de la Salud en Certificados Financieros por Entidad Financieras</t>
  </si>
  <si>
    <t>IV. 14 Pagos Anual del Régimen Especial Transitorio para la Salud de Pensionados Ley 1896-378</t>
  </si>
  <si>
    <t>IV. 15 Pagos Mensual por ARS del Régimen Especial Transitorio para la Salud de Pensionados Ley 1896-379</t>
  </si>
  <si>
    <t>IV. 16 Definiciones y Análisis  de Ingresos y egresos del SVDS</t>
  </si>
  <si>
    <t>IV. 18 Pago al SVDS por Cuentas</t>
  </si>
  <si>
    <t xml:space="preserve">IV. 19 Pago a Entidades del SVDS </t>
  </si>
  <si>
    <t>IV. 20 Patrimonio de los Fondos de Pensiones por Año</t>
  </si>
  <si>
    <t>IV. 21 Composición de la Cartera Total de Inversión de los Fondos de Pensiones por Tipo de Emisor</t>
  </si>
  <si>
    <t>IV. 22 Composición de la Cartera Total de Inversión de los Fondos de Pensiones por Instrumento</t>
  </si>
  <si>
    <t>IV. 23 Rentabilidad Nominal Promedio de los Fondos de Pensiones</t>
  </si>
  <si>
    <t>IV. 24 Rentabilidad Promedio de los Fondos de Pensiones</t>
  </si>
  <si>
    <t>IV. 17 Pagos Histórica del SVDS</t>
  </si>
  <si>
    <t>IV. 13  Aportes y Pagos Mensuales del SFS al Régimen Subsidiado</t>
  </si>
  <si>
    <t>IV. 6  Fondos Pagados Anualmente por Cuentas al SFS del RC</t>
  </si>
  <si>
    <t>IV. 7  Fondos Pagados Mensualmente por Cuentas al SFS del RC</t>
  </si>
  <si>
    <t>IV. 8  Fondos Pagados a las ARS del SFS del RC</t>
  </si>
  <si>
    <t>IV. 9  Fondos Pagados del RC a las ARS del SFS</t>
  </si>
  <si>
    <t>IV. 2  Ingreso y Egreso Anuales del SDSS</t>
  </si>
  <si>
    <t>Pagos AEISS</t>
  </si>
  <si>
    <t xml:space="preserve">VI.1  Definiciones y Análisis </t>
  </si>
  <si>
    <t>VIII. Definiciones y Logros del SDSS</t>
  </si>
  <si>
    <t>VI.2 Solicitudes Recibidas en las Comisiones Médicas por Estatus</t>
  </si>
  <si>
    <t>VI.3  Apelaciones de Dictámenes de las Comisiones Médicas (CMNR)</t>
  </si>
  <si>
    <t xml:space="preserve">VII.3 Apelaciones por Entidad Receptora y Origen </t>
  </si>
  <si>
    <t>III.1.2 Afiliación del SFS a la Población Nacional</t>
  </si>
  <si>
    <t>III.1.3 Afiliación del SFS por Régimen de Financiamiento</t>
  </si>
  <si>
    <t>III.1.4 Cobertura de Afiliación al SFS por Régimen de Financiamiento</t>
  </si>
  <si>
    <t xml:space="preserve">III.1.5 Afiliación al Seguro Familiar de Salud por  Sexo </t>
  </si>
  <si>
    <t>III.6.3   Afiliación Mensual al SVDS del RC</t>
  </si>
  <si>
    <t>III.6.4   Comparación Anual del Número de Afiliados Cotizantes con la Población Ocupada Formal</t>
  </si>
  <si>
    <t>III.6.5   Cotizantes del SVDS por Rango de Edad</t>
  </si>
  <si>
    <t>III.6.6   Cotizantes del SVDS por Cantidad de Salario Mínimo Cotizable</t>
  </si>
  <si>
    <t>III.6.7   Distribución de los Afiliados Cotizantes por AFP`s y Fondos de Reparto</t>
  </si>
  <si>
    <t>III.6.8   Cobertura en Pensiones por Género en la PEA</t>
  </si>
  <si>
    <t>III.6.9   Afiliados y Cotizantes del SVDS por Género</t>
  </si>
  <si>
    <t>III.6.10   Traspaso Totales por Año</t>
  </si>
  <si>
    <t>III.6.11 Traspasos Recibidos en Entidades de CCI y Reparto</t>
  </si>
  <si>
    <t>III.6.12 Traspaso Cedidos en Entidades de CCI y Reparto</t>
  </si>
  <si>
    <t>III.6.13  Traspaso Netos en Entidades de CCI y Reparto</t>
  </si>
  <si>
    <t xml:space="preserve">III.6.14  Distribución de Afiliados de las FP por Provincias </t>
  </si>
  <si>
    <t>IV. 25 Definiciones y Análisis Pagos ARL</t>
  </si>
  <si>
    <t>IV. 26 Pago Anual al ARL por Cuentas</t>
  </si>
  <si>
    <t>IV. 27 Pago Mensual por Cuentas al Seguro de Riesgo Laborales</t>
  </si>
  <si>
    <t xml:space="preserve">Aporte Gobierno
Según lo Presupuestado </t>
  </si>
  <si>
    <t>Nota: Los pagos del 2011 fue modificado según los informes de TSS.</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</si>
</sst>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quot;RD$&quot;#,##0.0"/>
    <numFmt numFmtId="197" formatCode="#,##0.000000_);[Red]\(#,##0.000000\)"/>
  </numFmts>
  <fonts count="14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sz val="9"/>
      <color indexed="81"/>
      <name val="Tahoma"/>
      <family val="2"/>
    </font>
    <font>
      <b/>
      <sz val="9"/>
      <color indexed="81"/>
      <name val="Tahoma"/>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b/>
      <sz val="20"/>
      <color rgb="FFFFFFFF"/>
      <name val="Calibri"/>
      <family val="2"/>
      <scheme val="minor"/>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1"/>
      <color theme="0" tint="-0.34998626667073579"/>
      <name val="Calibri"/>
      <family val="2"/>
      <scheme val="minor"/>
    </font>
    <font>
      <sz val="1"/>
      <color theme="0" tint="-0.34998626667073579"/>
      <name val="Calibri"/>
      <family val="2"/>
      <scheme val="minor"/>
    </font>
    <font>
      <b/>
      <sz val="10"/>
      <color theme="0" tint="-0.34998626667073579"/>
      <name val="Century Gothic"/>
      <family val="2"/>
    </font>
    <font>
      <b/>
      <sz val="10"/>
      <color theme="0" tint="-0.34998626667073579"/>
      <name val="Calibri"/>
      <family val="2"/>
      <scheme val="minor"/>
    </font>
    <font>
      <sz val="10"/>
      <color theme="0" tint="-0.34998626667073579"/>
      <name val="Calibri"/>
      <family val="2"/>
      <scheme val="minor"/>
    </font>
    <font>
      <b/>
      <sz val="12"/>
      <color theme="0" tint="-0.34998626667073579"/>
      <name val="Calibri"/>
      <family val="2"/>
      <scheme val="minor"/>
    </font>
    <font>
      <sz val="12"/>
      <color theme="0" tint="-0.34998626667073579"/>
      <name val="Calibri"/>
      <family val="2"/>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8" tint="-0.49998474074526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02">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9" fillId="0" borderId="0"/>
    <xf numFmtId="174" fontId="2" fillId="0" borderId="0"/>
    <xf numFmtId="174" fontId="2" fillId="0" borderId="0"/>
    <xf numFmtId="174" fontId="49" fillId="0" borderId="0"/>
    <xf numFmtId="0" fontId="2" fillId="0" borderId="0"/>
    <xf numFmtId="182" fontId="49"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9" fillId="0" borderId="0"/>
    <xf numFmtId="174" fontId="35" fillId="0" borderId="0"/>
    <xf numFmtId="174" fontId="2" fillId="0" borderId="0"/>
    <xf numFmtId="0" fontId="2" fillId="0" borderId="0"/>
    <xf numFmtId="0" fontId="2"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9" fillId="0" borderId="0"/>
    <xf numFmtId="182" fontId="49" fillId="0" borderId="0"/>
    <xf numFmtId="0" fontId="49" fillId="0" borderId="0"/>
    <xf numFmtId="182" fontId="49"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9"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2" fillId="0" borderId="0"/>
    <xf numFmtId="174"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2"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9" fillId="0" borderId="0"/>
    <xf numFmtId="174"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2" fillId="0" borderId="0"/>
    <xf numFmtId="0" fontId="49" fillId="0" borderId="0"/>
    <xf numFmtId="174"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9" fillId="0" borderId="0"/>
    <xf numFmtId="174" fontId="49" fillId="0" borderId="0"/>
    <xf numFmtId="174" fontId="49" fillId="0" borderId="0"/>
    <xf numFmtId="174"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4" fillId="0" borderId="0"/>
    <xf numFmtId="0" fontId="125" fillId="0" borderId="0"/>
    <xf numFmtId="178" fontId="125" fillId="0" borderId="0" applyFont="0" applyFill="0" applyBorder="0" applyAlignment="0" applyProtection="0"/>
    <xf numFmtId="9" fontId="125" fillId="0" borderId="0" applyFont="0" applyFill="0" applyBorder="0" applyAlignment="0" applyProtection="0"/>
    <xf numFmtId="0" fontId="49" fillId="0" borderId="0"/>
    <xf numFmtId="0" fontId="49" fillId="0" borderId="0"/>
    <xf numFmtId="182" fontId="49"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cellStyleXfs>
  <cellXfs count="1935">
    <xf numFmtId="174" fontId="0" fillId="0" borderId="0" xfId="0"/>
    <xf numFmtId="174" fontId="49" fillId="0" borderId="0" xfId="388" applyFont="1"/>
    <xf numFmtId="10" fontId="54" fillId="0" borderId="0" xfId="388" applyNumberFormat="1" applyFont="1"/>
    <xf numFmtId="10" fontId="53" fillId="0" borderId="0" xfId="388" applyNumberFormat="1" applyFont="1"/>
    <xf numFmtId="10" fontId="49" fillId="0" borderId="0" xfId="388" applyNumberFormat="1" applyFont="1"/>
    <xf numFmtId="174" fontId="49" fillId="0" borderId="0" xfId="388" applyFont="1" applyFill="1" applyBorder="1"/>
    <xf numFmtId="171" fontId="49" fillId="0" borderId="0" xfId="388" applyNumberFormat="1" applyFont="1"/>
    <xf numFmtId="174" fontId="49" fillId="0" borderId="0" xfId="388" applyNumberFormat="1" applyFont="1"/>
    <xf numFmtId="10" fontId="49" fillId="0" borderId="0" xfId="388" applyNumberFormat="1" applyFont="1" applyBorder="1"/>
    <xf numFmtId="174" fontId="49"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5"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4" fillId="0" borderId="0" xfId="0" applyNumberFormat="1" applyFont="1"/>
    <xf numFmtId="174"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4" fontId="56" fillId="0" borderId="0" xfId="0" applyFont="1" applyFill="1" applyBorder="1" applyAlignment="1">
      <alignment horizontal="center" wrapText="1"/>
    </xf>
    <xf numFmtId="174" fontId="0" fillId="0" borderId="0" xfId="0" applyNumberFormat="1" applyFill="1" applyBorder="1"/>
    <xf numFmtId="174" fontId="0" fillId="0" borderId="0" xfId="0" applyBorder="1"/>
    <xf numFmtId="43" fontId="0" fillId="0" borderId="0" xfId="0" applyNumberFormat="1"/>
    <xf numFmtId="3" fontId="57" fillId="0" borderId="0" xfId="0" applyNumberFormat="1" applyFont="1" applyFill="1" applyBorder="1" applyAlignment="1" applyProtection="1"/>
    <xf numFmtId="1" fontId="0" fillId="0" borderId="0" xfId="0" applyNumberFormat="1" applyFill="1"/>
    <xf numFmtId="1" fontId="57" fillId="0" borderId="0" xfId="0" applyNumberFormat="1" applyFont="1" applyFill="1" applyBorder="1" applyAlignment="1" applyProtection="1"/>
    <xf numFmtId="1" fontId="0" fillId="0" borderId="0" xfId="0" applyNumberFormat="1"/>
    <xf numFmtId="4" fontId="0" fillId="0" borderId="0" xfId="0" applyNumberFormat="1"/>
    <xf numFmtId="174" fontId="57" fillId="0" borderId="0" xfId="0" applyNumberFormat="1" applyFont="1" applyFill="1"/>
    <xf numFmtId="174" fontId="58" fillId="0" borderId="0" xfId="0" applyNumberFormat="1" applyFont="1" applyFill="1" applyBorder="1" applyAlignment="1">
      <alignment horizontal="center"/>
    </xf>
    <xf numFmtId="174" fontId="59" fillId="0" borderId="0" xfId="0" applyNumberFormat="1" applyFont="1"/>
    <xf numFmtId="174" fontId="0" fillId="0" borderId="0" xfId="0" applyNumberFormat="1" applyBorder="1" applyAlignment="1">
      <alignment horizontal="left"/>
    </xf>
    <xf numFmtId="174" fontId="60" fillId="0" borderId="0" xfId="0" applyNumberFormat="1" applyFont="1" applyBorder="1" applyAlignment="1">
      <alignment horizontal="left"/>
    </xf>
    <xf numFmtId="168" fontId="0" fillId="0" borderId="0" xfId="0" applyNumberFormat="1" applyBorder="1" applyAlignment="1">
      <alignment horizontal="left"/>
    </xf>
    <xf numFmtId="43" fontId="61"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43" fontId="53" fillId="0" borderId="0" xfId="0" applyNumberFormat="1" applyFont="1" applyFill="1" applyBorder="1"/>
    <xf numFmtId="174" fontId="62" fillId="0" borderId="0" xfId="0" applyNumberFormat="1" applyFont="1" applyFill="1" applyBorder="1" applyAlignment="1">
      <alignment horizontal="center"/>
    </xf>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9" fillId="0" borderId="0" xfId="323" applyFont="1"/>
    <xf numFmtId="174" fontId="57" fillId="0" borderId="0" xfId="0" applyFont="1"/>
    <xf numFmtId="10" fontId="49" fillId="0" borderId="0" xfId="551" applyNumberFormat="1" applyFont="1"/>
    <xf numFmtId="167" fontId="49" fillId="0" borderId="0" xfId="323" applyNumberFormat="1" applyFont="1"/>
    <xf numFmtId="174" fontId="53" fillId="0" borderId="0" xfId="0" applyFont="1"/>
    <xf numFmtId="174" fontId="65" fillId="0" borderId="0" xfId="0" applyNumberFormat="1" applyFont="1" applyAlignment="1">
      <alignment horizontal="left" wrapText="1"/>
    </xf>
    <xf numFmtId="174" fontId="52" fillId="0" borderId="0" xfId="0" applyNumberFormat="1" applyFont="1" applyFill="1" applyBorder="1"/>
    <xf numFmtId="174" fontId="52" fillId="0" borderId="0" xfId="0" applyFont="1" applyFill="1" applyBorder="1"/>
    <xf numFmtId="174" fontId="50" fillId="0" borderId="0" xfId="0" applyFont="1"/>
    <xf numFmtId="174" fontId="50" fillId="0" borderId="0" xfId="0" applyFont="1" applyFill="1" applyBorder="1"/>
    <xf numFmtId="43" fontId="50" fillId="0" borderId="0" xfId="0" applyNumberFormat="1" applyFont="1" applyFill="1" applyBorder="1"/>
    <xf numFmtId="174" fontId="50" fillId="0" borderId="0" xfId="0" applyFont="1" applyFill="1" applyBorder="1" applyAlignment="1"/>
    <xf numFmtId="174" fontId="0" fillId="0" borderId="0" xfId="0" applyFill="1" applyBorder="1" applyAlignment="1"/>
    <xf numFmtId="173" fontId="49" fillId="0" borderId="0" xfId="323" applyNumberFormat="1" applyFont="1" applyFill="1"/>
    <xf numFmtId="43" fontId="49" fillId="0" borderId="0" xfId="323" applyFont="1" applyFill="1"/>
    <xf numFmtId="174" fontId="57" fillId="0" borderId="0" xfId="0" applyNumberFormat="1" applyFont="1" applyFill="1" applyBorder="1" applyAlignment="1" applyProtection="1"/>
    <xf numFmtId="3" fontId="66" fillId="0" borderId="0" xfId="0" applyNumberFormat="1" applyFont="1" applyFill="1" applyBorder="1" applyAlignment="1" applyProtection="1"/>
    <xf numFmtId="3" fontId="57" fillId="0" borderId="13" xfId="0" applyNumberFormat="1" applyFont="1" applyFill="1" applyBorder="1" applyAlignment="1" applyProtection="1"/>
    <xf numFmtId="167" fontId="53" fillId="26" borderId="13" xfId="0" applyNumberFormat="1" applyFont="1" applyFill="1" applyBorder="1"/>
    <xf numFmtId="43" fontId="49" fillId="0" borderId="0" xfId="323" applyFont="1" applyBorder="1"/>
    <xf numFmtId="174" fontId="69" fillId="0" borderId="0" xfId="0" applyFont="1" applyBorder="1" applyAlignment="1">
      <alignment vertical="top" wrapText="1"/>
    </xf>
    <xf numFmtId="174" fontId="69" fillId="0" borderId="0" xfId="0" applyFont="1" applyBorder="1" applyAlignment="1">
      <alignment vertical="top"/>
    </xf>
    <xf numFmtId="174" fontId="55" fillId="0" borderId="0" xfId="347" applyFont="1" applyBorder="1"/>
    <xf numFmtId="43" fontId="0" fillId="27" borderId="0" xfId="0" applyNumberFormat="1" applyFill="1"/>
    <xf numFmtId="174" fontId="0" fillId="27" borderId="0" xfId="0" applyFill="1" applyBorder="1" applyAlignment="1"/>
    <xf numFmtId="174" fontId="0" fillId="27" borderId="0" xfId="0" applyFill="1"/>
    <xf numFmtId="174" fontId="0" fillId="27" borderId="0" xfId="0" applyNumberFormat="1" applyFill="1" applyBorder="1"/>
    <xf numFmtId="43" fontId="2" fillId="27" borderId="0" xfId="0" applyNumberFormat="1" applyFont="1" applyFill="1" applyBorder="1"/>
    <xf numFmtId="174" fontId="65" fillId="27" borderId="0" xfId="0" applyFont="1" applyFill="1"/>
    <xf numFmtId="174" fontId="0" fillId="27" borderId="0" xfId="0" applyFill="1" applyBorder="1"/>
    <xf numFmtId="43" fontId="0" fillId="27" borderId="0" xfId="0" applyNumberFormat="1" applyFill="1" applyBorder="1"/>
    <xf numFmtId="174" fontId="50" fillId="27" borderId="0" xfId="0" applyFont="1" applyFill="1" applyBorder="1"/>
    <xf numFmtId="174" fontId="49" fillId="0" borderId="0" xfId="442" applyFont="1"/>
    <xf numFmtId="174" fontId="0" fillId="0" borderId="0" xfId="0"/>
    <xf numFmtId="174" fontId="0" fillId="0" borderId="0" xfId="0" applyNumberFormat="1" applyBorder="1" applyAlignment="1">
      <alignment horizontal="right"/>
    </xf>
    <xf numFmtId="174" fontId="59" fillId="0" borderId="0" xfId="0" applyNumberFormat="1" applyFont="1" applyBorder="1"/>
    <xf numFmtId="43" fontId="34" fillId="0" borderId="0" xfId="328" applyFont="1" applyBorder="1"/>
    <xf numFmtId="174" fontId="57" fillId="0" borderId="0" xfId="0" applyFont="1" applyBorder="1"/>
    <xf numFmtId="174" fontId="52" fillId="0" borderId="0" xfId="0" applyFont="1" applyBorder="1"/>
    <xf numFmtId="174" fontId="49" fillId="0" borderId="0" xfId="446" applyFont="1"/>
    <xf numFmtId="174" fontId="49" fillId="0" borderId="0" xfId="446" applyFont="1" applyAlignment="1"/>
    <xf numFmtId="10" fontId="49" fillId="0" borderId="0" xfId="446" applyNumberFormat="1" applyFont="1" applyBorder="1"/>
    <xf numFmtId="173" fontId="3" fillId="0" borderId="0" xfId="323" applyNumberFormat="1" applyFont="1" applyBorder="1"/>
    <xf numFmtId="174" fontId="49" fillId="0" borderId="0" xfId="446" applyFont="1" applyBorder="1"/>
    <xf numFmtId="174" fontId="49" fillId="0" borderId="0" xfId="450" applyFont="1"/>
    <xf numFmtId="43" fontId="49" fillId="0" borderId="0" xfId="323" applyFont="1" applyFill="1" applyBorder="1"/>
    <xf numFmtId="172" fontId="0" fillId="0" borderId="0" xfId="0" applyNumberFormat="1" applyFill="1" applyBorder="1"/>
    <xf numFmtId="9" fontId="65" fillId="0" borderId="0" xfId="0" applyNumberFormat="1" applyFont="1"/>
    <xf numFmtId="172" fontId="65"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7" fillId="27" borderId="0" xfId="0" applyFont="1" applyFill="1" applyBorder="1"/>
    <xf numFmtId="43" fontId="57" fillId="27" borderId="0" xfId="0" applyNumberFormat="1" applyFont="1" applyFill="1" applyBorder="1"/>
    <xf numFmtId="43" fontId="57" fillId="27" borderId="0" xfId="0" applyNumberFormat="1" applyFont="1" applyFill="1"/>
    <xf numFmtId="174" fontId="0" fillId="27" borderId="0" xfId="0" applyNumberFormat="1" applyFill="1"/>
    <xf numFmtId="43" fontId="53" fillId="26" borderId="13" xfId="0" applyNumberFormat="1" applyFont="1" applyFill="1" applyBorder="1" applyAlignment="1">
      <alignment horizontal="center" vertical="center" wrapText="1"/>
    </xf>
    <xf numFmtId="43" fontId="53" fillId="26" borderId="13" xfId="0" applyNumberFormat="1" applyFont="1" applyFill="1" applyBorder="1" applyAlignment="1">
      <alignment horizontal="center"/>
    </xf>
    <xf numFmtId="10" fontId="69" fillId="0" borderId="0" xfId="0" applyNumberFormat="1" applyFont="1" applyBorder="1" applyAlignment="1">
      <alignment vertical="top" wrapText="1"/>
    </xf>
    <xf numFmtId="167" fontId="69" fillId="0" borderId="0" xfId="323" applyNumberFormat="1" applyFont="1" applyBorder="1" applyAlignment="1">
      <alignment vertical="top" wrapText="1"/>
    </xf>
    <xf numFmtId="174" fontId="49" fillId="0" borderId="0" xfId="450" applyFont="1" applyBorder="1"/>
    <xf numFmtId="174" fontId="49" fillId="0" borderId="0" xfId="450" applyFont="1" applyBorder="1" applyAlignment="1"/>
    <xf numFmtId="174" fontId="63" fillId="0" borderId="0" xfId="0" applyNumberFormat="1" applyFont="1" applyBorder="1"/>
    <xf numFmtId="174" fontId="0" fillId="0" borderId="0" xfId="0" applyNumberFormat="1" applyFont="1"/>
    <xf numFmtId="43" fontId="63" fillId="27" borderId="0" xfId="0" applyNumberFormat="1" applyFont="1" applyFill="1"/>
    <xf numFmtId="174" fontId="73" fillId="27" borderId="0" xfId="0" applyFont="1" applyFill="1" applyBorder="1" applyAlignment="1">
      <alignment vertical="center" wrapText="1"/>
    </xf>
    <xf numFmtId="167" fontId="76" fillId="0" borderId="0" xfId="323"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78" fillId="0" borderId="0" xfId="0" applyFont="1"/>
    <xf numFmtId="174" fontId="49" fillId="0" borderId="0" xfId="391" applyFont="1"/>
    <xf numFmtId="174" fontId="79" fillId="0" borderId="0" xfId="391" applyFont="1" applyAlignment="1">
      <alignment horizontal="center"/>
    </xf>
    <xf numFmtId="43" fontId="49" fillId="0" borderId="0" xfId="391" applyNumberFormat="1" applyFont="1"/>
    <xf numFmtId="43" fontId="49" fillId="0" borderId="0" xfId="442" applyNumberFormat="1" applyFont="1"/>
    <xf numFmtId="43" fontId="63" fillId="0" borderId="0" xfId="0" applyNumberFormat="1" applyFont="1" applyFill="1" applyBorder="1" applyAlignment="1">
      <alignment horizontal="left"/>
    </xf>
    <xf numFmtId="2" fontId="0" fillId="0" borderId="0" xfId="0" applyNumberFormat="1"/>
    <xf numFmtId="174" fontId="80" fillId="30" borderId="0" xfId="0" applyFont="1" applyFill="1" applyBorder="1" applyAlignment="1">
      <alignment horizontal="center" vertical="top" wrapText="1"/>
    </xf>
    <xf numFmtId="10" fontId="49" fillId="0" borderId="0" xfId="446" applyNumberFormat="1" applyFont="1"/>
    <xf numFmtId="167" fontId="55" fillId="27" borderId="0" xfId="394" applyNumberFormat="1" applyFont="1" applyFill="1" applyBorder="1" applyAlignment="1">
      <alignment horizontal="center" vertical="center"/>
    </xf>
    <xf numFmtId="43" fontId="57" fillId="0" borderId="0" xfId="0" applyNumberFormat="1" applyFont="1" applyBorder="1"/>
    <xf numFmtId="174" fontId="65" fillId="0" borderId="0" xfId="0" applyFont="1" applyBorder="1" applyAlignment="1">
      <alignment vertical="top"/>
    </xf>
    <xf numFmtId="17" fontId="43" fillId="0" borderId="0" xfId="0" applyNumberFormat="1" applyFont="1" applyFill="1" applyBorder="1" applyAlignment="1">
      <alignment horizontal="center"/>
    </xf>
    <xf numFmtId="174" fontId="57" fillId="27" borderId="0" xfId="0" applyNumberFormat="1" applyFont="1" applyFill="1" applyBorder="1"/>
    <xf numFmtId="49" fontId="44" fillId="0" borderId="0" xfId="361" applyNumberFormat="1" applyFont="1" applyFill="1" applyBorder="1" applyAlignment="1">
      <alignment vertical="center" wrapText="1"/>
    </xf>
    <xf numFmtId="174" fontId="80" fillId="30" borderId="0" xfId="0" applyFont="1" applyFill="1" applyBorder="1" applyAlignment="1">
      <alignment horizontal="center" vertical="center" wrapText="1"/>
    </xf>
    <xf numFmtId="167" fontId="55" fillId="32" borderId="0" xfId="394" applyNumberFormat="1" applyFont="1" applyFill="1" applyBorder="1" applyAlignment="1">
      <alignment horizontal="center" vertical="center"/>
    </xf>
    <xf numFmtId="3" fontId="85" fillId="0" borderId="0" xfId="0" applyNumberFormat="1" applyFont="1" applyFill="1" applyBorder="1" applyAlignment="1">
      <alignment horizontal="center"/>
    </xf>
    <xf numFmtId="174" fontId="57" fillId="0" borderId="0" xfId="0" applyNumberFormat="1" applyFont="1" applyBorder="1"/>
    <xf numFmtId="10" fontId="0" fillId="27" borderId="0" xfId="0" applyNumberFormat="1" applyFill="1"/>
    <xf numFmtId="174" fontId="0" fillId="0" borderId="0" xfId="0" applyAlignment="1">
      <alignment vertical="center"/>
    </xf>
    <xf numFmtId="174" fontId="63" fillId="0" borderId="0" xfId="0" applyFont="1"/>
    <xf numFmtId="174" fontId="75" fillId="0" borderId="0" xfId="0" applyNumberFormat="1" applyFont="1" applyBorder="1" applyAlignment="1">
      <alignment vertical="top" wrapText="1"/>
    </xf>
    <xf numFmtId="10" fontId="57" fillId="0" borderId="0" xfId="0" applyNumberFormat="1" applyFont="1" applyFill="1" applyBorder="1" applyAlignment="1" applyProtection="1"/>
    <xf numFmtId="0" fontId="57" fillId="0" borderId="0" xfId="0" applyNumberFormat="1" applyFont="1" applyFill="1" applyBorder="1" applyAlignment="1" applyProtection="1"/>
    <xf numFmtId="174" fontId="55" fillId="0" borderId="0" xfId="0" applyNumberFormat="1" applyFont="1" applyFill="1" applyBorder="1" applyAlignment="1" applyProtection="1"/>
    <xf numFmtId="180" fontId="0" fillId="0" borderId="0" xfId="0" applyNumberFormat="1" applyFill="1" applyBorder="1"/>
    <xf numFmtId="174" fontId="81" fillId="0" borderId="0" xfId="0" applyFont="1"/>
    <xf numFmtId="174" fontId="81" fillId="0" borderId="0" xfId="0" applyFont="1" applyAlignment="1">
      <alignment horizontal="left" vertical="center"/>
    </xf>
    <xf numFmtId="174" fontId="71" fillId="36" borderId="0" xfId="0" applyFont="1" applyFill="1" applyBorder="1" applyAlignment="1">
      <alignment vertical="center" wrapText="1"/>
    </xf>
    <xf numFmtId="183" fontId="0" fillId="0" borderId="0" xfId="0" applyNumberFormat="1"/>
    <xf numFmtId="49" fontId="63" fillId="0" borderId="0" xfId="0" applyNumberFormat="1" applyFont="1"/>
    <xf numFmtId="3" fontId="55" fillId="0" borderId="0" xfId="0" applyNumberFormat="1" applyFont="1" applyFill="1" applyBorder="1" applyAlignment="1" applyProtection="1"/>
    <xf numFmtId="174" fontId="81" fillId="0" borderId="0" xfId="0" applyNumberFormat="1" applyFont="1" applyBorder="1"/>
    <xf numFmtId="43" fontId="0" fillId="0" borderId="0" xfId="0" applyNumberFormat="1" applyFont="1" applyBorder="1" applyAlignment="1">
      <alignment horizontal="left"/>
    </xf>
    <xf numFmtId="10" fontId="49" fillId="0" borderId="0" xfId="551" applyNumberFormat="1" applyFont="1" applyBorder="1"/>
    <xf numFmtId="171" fontId="58" fillId="0" borderId="0" xfId="551" applyNumberFormat="1" applyFont="1" applyFill="1" applyBorder="1" applyAlignment="1">
      <alignment horizontal="center"/>
    </xf>
    <xf numFmtId="174" fontId="81"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3"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3" fillId="0" borderId="0" xfId="323" applyNumberFormat="1" applyFont="1" applyFill="1" applyBorder="1" applyAlignment="1">
      <alignment horizontal="center"/>
    </xf>
    <xf numFmtId="174" fontId="0" fillId="0" borderId="0" xfId="0" applyFill="1" applyBorder="1" applyAlignment="1">
      <alignment wrapText="1"/>
    </xf>
    <xf numFmtId="10" fontId="0" fillId="0" borderId="0" xfId="551" applyNumberFormat="1" applyFont="1"/>
    <xf numFmtId="174" fontId="51"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4" fillId="0" borderId="0" xfId="579" applyFont="1" applyAlignment="1">
      <alignment vertical="center"/>
    </xf>
    <xf numFmtId="0" fontId="49" fillId="0" borderId="0" xfId="579"/>
    <xf numFmtId="43" fontId="49" fillId="0" borderId="0" xfId="579" applyNumberFormat="1"/>
    <xf numFmtId="43" fontId="0" fillId="0" borderId="0" xfId="323" applyFont="1"/>
    <xf numFmtId="174" fontId="63" fillId="0" borderId="0" xfId="0" applyFont="1" applyBorder="1" applyAlignment="1">
      <alignment horizontal="left" vertical="top"/>
    </xf>
    <xf numFmtId="174" fontId="0" fillId="0" borderId="0" xfId="0" applyFont="1" applyBorder="1"/>
    <xf numFmtId="3" fontId="55" fillId="0" borderId="0" xfId="325" applyNumberFormat="1" applyFont="1" applyFill="1" applyBorder="1"/>
    <xf numFmtId="17" fontId="91" fillId="0" borderId="0" xfId="0" applyNumberFormat="1" applyFont="1" applyFill="1" applyBorder="1" applyAlignment="1">
      <alignment horizontal="center"/>
    </xf>
    <xf numFmtId="176" fontId="49" fillId="0" borderId="0" xfId="551" applyNumberFormat="1" applyFont="1"/>
    <xf numFmtId="171" fontId="0" fillId="0" borderId="0" xfId="551" applyNumberFormat="1" applyFont="1"/>
    <xf numFmtId="10" fontId="91" fillId="0" borderId="0" xfId="551" applyNumberFormat="1" applyFont="1" applyFill="1" applyBorder="1" applyAlignment="1">
      <alignment horizontal="center"/>
    </xf>
    <xf numFmtId="174" fontId="90" fillId="27" borderId="0" xfId="0" applyFont="1" applyFill="1" applyBorder="1" applyAlignment="1">
      <alignment horizontal="center" vertical="top" wrapText="1"/>
    </xf>
    <xf numFmtId="49" fontId="54" fillId="0" borderId="0" xfId="0" applyNumberFormat="1"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71" fillId="0" borderId="0" xfId="0" applyFont="1" applyFill="1" applyBorder="1" applyAlignment="1">
      <alignment vertical="center" wrapText="1"/>
    </xf>
    <xf numFmtId="174" fontId="87" fillId="0" borderId="0" xfId="0" applyFont="1" applyFill="1" applyBorder="1" applyAlignment="1">
      <alignment horizontal="center" vertical="center" wrapText="1"/>
    </xf>
    <xf numFmtId="174" fontId="72" fillId="0" borderId="0" xfId="0" applyFont="1" applyFill="1" applyBorder="1" applyAlignment="1">
      <alignment horizontal="center" vertical="center" wrapText="1"/>
    </xf>
    <xf numFmtId="174" fontId="90" fillId="0" borderId="0" xfId="0" applyFont="1" applyFill="1" applyBorder="1" applyAlignment="1">
      <alignment horizontal="center" vertical="center" wrapText="1"/>
    </xf>
    <xf numFmtId="174" fontId="0" fillId="27" borderId="0" xfId="0" applyFill="1" applyAlignment="1"/>
    <xf numFmtId="174" fontId="83" fillId="28" borderId="0" xfId="0" applyFont="1" applyFill="1" applyBorder="1" applyAlignment="1">
      <alignment horizontal="center" vertical="center" wrapText="1"/>
    </xf>
    <xf numFmtId="174" fontId="0" fillId="32" borderId="0" xfId="0" applyFill="1"/>
    <xf numFmtId="174" fontId="96" fillId="0" borderId="0" xfId="0" applyFont="1"/>
    <xf numFmtId="174" fontId="0" fillId="0" borderId="0" xfId="0" applyBorder="1" applyAlignment="1"/>
    <xf numFmtId="40" fontId="53" fillId="0" borderId="0" xfId="388" applyNumberFormat="1" applyFont="1"/>
    <xf numFmtId="180" fontId="49" fillId="0" borderId="0" xfId="388" applyNumberFormat="1" applyFont="1"/>
    <xf numFmtId="174" fontId="52" fillId="0" borderId="0" xfId="0" applyFont="1"/>
    <xf numFmtId="174" fontId="0" fillId="0" borderId="0" xfId="0" applyFill="1" applyBorder="1" applyAlignment="1">
      <alignment horizontal="center"/>
    </xf>
    <xf numFmtId="174" fontId="80"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8" fillId="0" borderId="0" xfId="0" applyNumberFormat="1" applyFont="1" applyFill="1" applyBorder="1" applyAlignment="1">
      <alignment horizontal="center" vertical="center" wrapText="1"/>
    </xf>
    <xf numFmtId="0" fontId="68" fillId="0" borderId="0" xfId="0" applyNumberFormat="1" applyFont="1" applyFill="1" applyBorder="1" applyAlignment="1">
      <alignment horizontal="center" vertical="center"/>
    </xf>
    <xf numFmtId="43" fontId="87" fillId="0" borderId="0" xfId="0" applyNumberFormat="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174" fontId="0" fillId="0" borderId="0" xfId="0" applyAlignment="1">
      <alignment horizontal="left"/>
    </xf>
    <xf numFmtId="41" fontId="0" fillId="0" borderId="0" xfId="0" applyNumberFormat="1"/>
    <xf numFmtId="171" fontId="0" fillId="0" borderId="0" xfId="551" applyNumberFormat="1" applyFont="1" applyBorder="1"/>
    <xf numFmtId="49" fontId="54" fillId="31" borderId="0" xfId="0" applyNumberFormat="1" applyFont="1" applyFill="1" applyBorder="1" applyAlignment="1">
      <alignment horizontal="center" vertical="center" wrapText="1"/>
    </xf>
    <xf numFmtId="174" fontId="54" fillId="0" borderId="0" xfId="0" applyNumberFormat="1" applyFont="1" applyAlignment="1">
      <alignment horizontal="center"/>
    </xf>
    <xf numFmtId="43" fontId="0" fillId="0" borderId="0" xfId="0" applyNumberFormat="1" applyAlignment="1">
      <alignment vertical="center"/>
    </xf>
    <xf numFmtId="0" fontId="102" fillId="0" borderId="0" xfId="626" applyFont="1"/>
    <xf numFmtId="171" fontId="10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0" fontId="0" fillId="36" borderId="0" xfId="0" applyNumberFormat="1" applyFill="1" applyBorder="1" applyAlignment="1">
      <alignment horizontal="right"/>
    </xf>
    <xf numFmtId="174" fontId="63" fillId="0" borderId="0" xfId="0" applyFont="1" applyAlignment="1">
      <alignment vertical="center"/>
    </xf>
    <xf numFmtId="174" fontId="70" fillId="0" borderId="0" xfId="0" applyFont="1"/>
    <xf numFmtId="174" fontId="51" fillId="0" borderId="0" xfId="0" applyFont="1" applyFill="1" applyBorder="1" applyAlignment="1">
      <alignment horizontal="center" vertical="center" wrapText="1"/>
    </xf>
    <xf numFmtId="174" fontId="0" fillId="0" borderId="0" xfId="0" applyNumberFormat="1" applyFont="1" applyBorder="1"/>
    <xf numFmtId="49" fontId="70" fillId="31" borderId="0" xfId="0" applyNumberFormat="1" applyFont="1" applyFill="1" applyBorder="1" applyAlignment="1">
      <alignment horizontal="center" vertical="center" wrapText="1"/>
    </xf>
    <xf numFmtId="0" fontId="0" fillId="0" borderId="0" xfId="579" applyFont="1"/>
    <xf numFmtId="43" fontId="111" fillId="0" borderId="13" xfId="607" applyFont="1" applyFill="1" applyBorder="1" applyAlignment="1">
      <alignment horizontal="right"/>
    </xf>
    <xf numFmtId="49" fontId="109" fillId="25" borderId="13" xfId="0" applyNumberFormat="1" applyFont="1" applyFill="1" applyBorder="1" applyAlignment="1">
      <alignment horizontal="center" vertical="center" wrapText="1"/>
    </xf>
    <xf numFmtId="174" fontId="112" fillId="25" borderId="13" xfId="0" applyFont="1" applyFill="1" applyBorder="1" applyAlignment="1">
      <alignment horizontal="center" vertical="center" wrapText="1"/>
    </xf>
    <xf numFmtId="181" fontId="112" fillId="25" borderId="13" xfId="0" applyNumberFormat="1" applyFont="1" applyFill="1" applyBorder="1" applyAlignment="1">
      <alignment horizontal="center" vertical="center" wrapText="1"/>
    </xf>
    <xf numFmtId="49" fontId="109" fillId="25" borderId="15" xfId="0" applyNumberFormat="1" applyFont="1" applyFill="1" applyBorder="1" applyAlignment="1">
      <alignment horizontal="center" vertical="center" wrapText="1"/>
    </xf>
    <xf numFmtId="174" fontId="112" fillId="25" borderId="13" xfId="0" applyFont="1" applyFill="1" applyBorder="1" applyAlignment="1">
      <alignment horizontal="left" vertical="center" wrapText="1"/>
    </xf>
    <xf numFmtId="181" fontId="112" fillId="25" borderId="13" xfId="0" applyNumberFormat="1" applyFont="1" applyFill="1" applyBorder="1" applyAlignment="1">
      <alignment horizontal="left" vertical="center" wrapText="1"/>
    </xf>
    <xf numFmtId="174" fontId="108" fillId="0" borderId="0" xfId="0" applyFont="1" applyBorder="1" applyAlignment="1">
      <alignment horizontal="center" vertical="center"/>
    </xf>
    <xf numFmtId="43" fontId="111" fillId="35" borderId="13" xfId="607" applyFont="1" applyFill="1" applyBorder="1" applyAlignment="1">
      <alignment horizontal="center" vertical="center"/>
    </xf>
    <xf numFmtId="49" fontId="109" fillId="35" borderId="13" xfId="0" applyNumberFormat="1" applyFont="1" applyFill="1" applyBorder="1" applyAlignment="1">
      <alignment horizontal="center" vertical="center" wrapText="1"/>
    </xf>
    <xf numFmtId="174" fontId="110" fillId="34" borderId="0" xfId="0" applyFont="1" applyFill="1" applyBorder="1" applyAlignment="1">
      <alignment vertical="center"/>
    </xf>
    <xf numFmtId="174" fontId="63" fillId="0" borderId="0" xfId="388" applyNumberFormat="1" applyFont="1"/>
    <xf numFmtId="9" fontId="0" fillId="0" borderId="0" xfId="551" applyFont="1" applyAlignment="1">
      <alignment horizontal="center"/>
    </xf>
    <xf numFmtId="10" fontId="0" fillId="0" borderId="0" xfId="551" applyNumberFormat="1" applyFont="1" applyAlignment="1">
      <alignment horizontal="center"/>
    </xf>
    <xf numFmtId="174" fontId="49" fillId="0" borderId="0" xfId="651"/>
    <xf numFmtId="174" fontId="83" fillId="27" borderId="0" xfId="651" applyFont="1" applyFill="1" applyBorder="1" applyAlignment="1">
      <alignment horizontal="center" vertical="center" wrapText="1"/>
    </xf>
    <xf numFmtId="174" fontId="49" fillId="0" borderId="0" xfId="651" applyFill="1" applyBorder="1"/>
    <xf numFmtId="174" fontId="49" fillId="0" borderId="0" xfId="651" applyBorder="1"/>
    <xf numFmtId="174" fontId="55" fillId="0" borderId="0" xfId="600" applyFont="1" applyBorder="1"/>
    <xf numFmtId="174" fontId="55" fillId="0" borderId="0" xfId="600" applyFont="1" applyFill="1" applyBorder="1"/>
    <xf numFmtId="174" fontId="55" fillId="0" borderId="0" xfId="600" applyFont="1"/>
    <xf numFmtId="171" fontId="49" fillId="0" borderId="0" xfId="651" applyNumberFormat="1"/>
    <xf numFmtId="174" fontId="115" fillId="0" borderId="0" xfId="0" applyFont="1"/>
    <xf numFmtId="3" fontId="66" fillId="0" borderId="0" xfId="336" applyNumberFormat="1" applyFont="1" applyFill="1" applyBorder="1" applyAlignment="1"/>
    <xf numFmtId="10" fontId="66" fillId="0" borderId="0" xfId="328" applyNumberFormat="1" applyFont="1" applyFill="1" applyBorder="1" applyAlignment="1">
      <alignment horizontal="center" vertical="center" wrapText="1"/>
    </xf>
    <xf numFmtId="43" fontId="66" fillId="0" borderId="0" xfId="336" applyNumberFormat="1" applyFont="1" applyFill="1" applyBorder="1" applyAlignment="1">
      <alignment horizontal="right"/>
    </xf>
    <xf numFmtId="3" fontId="74" fillId="0" borderId="0" xfId="0" applyNumberFormat="1" applyFont="1" applyFill="1" applyBorder="1"/>
    <xf numFmtId="10" fontId="87" fillId="0" borderId="0" xfId="328" applyNumberFormat="1" applyFont="1" applyFill="1" applyBorder="1" applyAlignment="1">
      <alignment horizontal="center" vertical="center" wrapText="1"/>
    </xf>
    <xf numFmtId="174" fontId="74" fillId="0" borderId="0" xfId="0" applyNumberFormat="1" applyFont="1" applyFill="1" applyBorder="1" applyAlignment="1">
      <alignment horizontal="center" vertical="center" wrapText="1"/>
    </xf>
    <xf numFmtId="174" fontId="87" fillId="0" borderId="0" xfId="0" applyNumberFormat="1" applyFont="1" applyFill="1" applyBorder="1" applyAlignment="1">
      <alignment horizontal="center" vertical="center" wrapText="1"/>
    </xf>
    <xf numFmtId="174" fontId="0" fillId="0" borderId="0" xfId="0" applyAlignment="1">
      <alignment horizontal="center"/>
    </xf>
    <xf numFmtId="3" fontId="84" fillId="0" borderId="0" xfId="388" applyNumberFormat="1" applyFont="1" applyFill="1" applyBorder="1" applyAlignment="1">
      <alignment horizontal="center"/>
    </xf>
    <xf numFmtId="177" fontId="57" fillId="0" borderId="0" xfId="388" applyNumberFormat="1" applyFont="1"/>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87" fontId="0" fillId="27" borderId="0" xfId="551" applyNumberFormat="1" applyFont="1" applyFill="1"/>
    <xf numFmtId="171" fontId="57" fillId="0" borderId="0" xfId="551" applyNumberFormat="1" applyFont="1" applyFill="1" applyBorder="1" applyAlignment="1" applyProtection="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5" fillId="27" borderId="0" xfId="0" applyFont="1" applyFill="1" applyBorder="1"/>
    <xf numFmtId="174" fontId="0" fillId="0" borderId="0" xfId="0" applyAlignment="1">
      <alignment horizontal="center"/>
    </xf>
    <xf numFmtId="3" fontId="84" fillId="27" borderId="0" xfId="328" applyNumberFormat="1" applyFont="1" applyFill="1" applyBorder="1" applyAlignment="1">
      <alignment horizontal="right" vertical="center"/>
    </xf>
    <xf numFmtId="3" fontId="84" fillId="27" borderId="0" xfId="328" applyNumberFormat="1" applyFont="1" applyFill="1" applyBorder="1" applyAlignment="1">
      <alignment vertical="center"/>
    </xf>
    <xf numFmtId="174" fontId="55" fillId="27" borderId="0" xfId="0" applyNumberFormat="1" applyFont="1" applyFill="1" applyBorder="1" applyAlignment="1">
      <alignment horizontal="center" vertical="center" wrapText="1"/>
    </xf>
    <xf numFmtId="167" fontId="57" fillId="0" borderId="0" xfId="324" applyNumberFormat="1" applyFont="1" applyFill="1" applyBorder="1" applyAlignment="1">
      <alignment vertical="center"/>
    </xf>
    <xf numFmtId="3" fontId="55" fillId="0" borderId="0" xfId="325" applyNumberFormat="1" applyFont="1" applyFill="1" applyBorder="1" applyAlignment="1">
      <alignment vertical="center"/>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2" fillId="27" borderId="0" xfId="0" applyNumberFormat="1" applyFont="1" applyFill="1" applyBorder="1" applyAlignment="1">
      <alignment horizontal="center"/>
    </xf>
    <xf numFmtId="171" fontId="57" fillId="27" borderId="0" xfId="388" applyNumberFormat="1" applyFont="1" applyFill="1" applyBorder="1"/>
    <xf numFmtId="171" fontId="57" fillId="27" borderId="0" xfId="0" applyNumberFormat="1" applyFont="1" applyFill="1" applyBorder="1"/>
    <xf numFmtId="38" fontId="84" fillId="27" borderId="0" xfId="0" applyNumberFormat="1" applyFont="1" applyFill="1" applyBorder="1"/>
    <xf numFmtId="180" fontId="0" fillId="0" borderId="0" xfId="0" applyNumberFormat="1"/>
    <xf numFmtId="171" fontId="55" fillId="27" borderId="0" xfId="0" applyNumberFormat="1" applyFont="1" applyFill="1" applyBorder="1"/>
    <xf numFmtId="3" fontId="84" fillId="0" borderId="0" xfId="0" applyNumberFormat="1" applyFont="1" applyFill="1" applyBorder="1" applyAlignment="1" applyProtection="1">
      <alignment horizontal="center"/>
    </xf>
    <xf numFmtId="10" fontId="0" fillId="0" borderId="0" xfId="551" applyNumberFormat="1" applyFont="1" applyFill="1" applyBorder="1" applyAlignment="1"/>
    <xf numFmtId="171" fontId="0" fillId="0" borderId="0" xfId="551" applyNumberFormat="1" applyFont="1" applyFill="1" applyBorder="1" applyAlignment="1"/>
    <xf numFmtId="9" fontId="84" fillId="0" borderId="0" xfId="551" applyNumberFormat="1" applyFont="1" applyFill="1" applyBorder="1" applyAlignment="1" applyProtection="1">
      <alignment horizontal="center"/>
    </xf>
    <xf numFmtId="3" fontId="84" fillId="27" borderId="0" xfId="0" applyNumberFormat="1" applyFont="1" applyFill="1" applyBorder="1" applyAlignment="1" applyProtection="1">
      <alignment horizontal="center"/>
    </xf>
    <xf numFmtId="167" fontId="55" fillId="27" borderId="0" xfId="323" applyNumberFormat="1" applyFont="1" applyFill="1" applyBorder="1"/>
    <xf numFmtId="174" fontId="49" fillId="0" borderId="0" xfId="633" applyFont="1"/>
    <xf numFmtId="174" fontId="49" fillId="0" borderId="0" xfId="633" applyFont="1" applyBorder="1"/>
    <xf numFmtId="9" fontId="49" fillId="0" borderId="0" xfId="551" applyFont="1" applyBorder="1"/>
    <xf numFmtId="174" fontId="49" fillId="0" borderId="0" xfId="636" applyBorder="1"/>
    <xf numFmtId="174" fontId="49" fillId="0" borderId="0" xfId="633" applyFont="1" applyBorder="1" applyAlignment="1"/>
    <xf numFmtId="174" fontId="49" fillId="0" borderId="0" xfId="636"/>
    <xf numFmtId="174" fontId="90" fillId="0" borderId="0" xfId="0" applyFont="1" applyFill="1" applyBorder="1" applyAlignment="1">
      <alignment horizontal="center" vertical="top" wrapText="1"/>
    </xf>
    <xf numFmtId="174" fontId="9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7" fillId="27" borderId="0" xfId="0" applyNumberFormat="1" applyFont="1" applyFill="1" applyBorder="1" applyAlignment="1" applyProtection="1">
      <alignment vertical="center"/>
    </xf>
    <xf numFmtId="2" fontId="57" fillId="27" borderId="0" xfId="0" applyNumberFormat="1" applyFont="1" applyFill="1" applyBorder="1" applyAlignment="1" applyProtection="1">
      <alignment vertical="center"/>
    </xf>
    <xf numFmtId="186" fontId="0" fillId="27" borderId="0" xfId="0" applyNumberFormat="1" applyFill="1" applyAlignment="1">
      <alignment vertical="center"/>
    </xf>
    <xf numFmtId="187"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3" fillId="0" borderId="13" xfId="0" applyNumberFormat="1" applyFont="1" applyFill="1" applyBorder="1" applyAlignment="1">
      <alignment horizontal="center" vertical="center" wrapText="1"/>
    </xf>
    <xf numFmtId="49" fontId="83" fillId="0" borderId="19" xfId="0" applyNumberFormat="1" applyFont="1" applyFill="1" applyBorder="1" applyAlignment="1" applyProtection="1">
      <alignment horizontal="center" vertical="center"/>
    </xf>
    <xf numFmtId="49" fontId="83" fillId="0" borderId="14" xfId="0" applyNumberFormat="1" applyFont="1" applyFill="1" applyBorder="1" applyAlignment="1" applyProtection="1">
      <alignment horizontal="center" vertical="center"/>
    </xf>
    <xf numFmtId="174" fontId="83" fillId="0" borderId="13" xfId="0" applyNumberFormat="1" applyFont="1" applyFill="1" applyBorder="1" applyAlignment="1" applyProtection="1">
      <alignment horizontal="center" vertical="center" wrapText="1"/>
    </xf>
    <xf numFmtId="3" fontId="55" fillId="0" borderId="0" xfId="0" applyNumberFormat="1" applyFont="1" applyFill="1" applyBorder="1" applyAlignment="1" applyProtection="1">
      <alignment horizontal="right"/>
    </xf>
    <xf numFmtId="175" fontId="71" fillId="0" borderId="24" xfId="0" applyNumberFormat="1" applyFont="1" applyFill="1" applyBorder="1" applyAlignment="1" applyProtection="1">
      <alignment horizontal="right"/>
    </xf>
    <xf numFmtId="174" fontId="86" fillId="0" borderId="23" xfId="0" applyNumberFormat="1" applyFont="1" applyFill="1" applyBorder="1" applyAlignment="1">
      <alignment horizontal="center" vertical="center" wrapText="1"/>
    </xf>
    <xf numFmtId="174" fontId="86" fillId="0" borderId="16" xfId="0" applyNumberFormat="1" applyFont="1" applyFill="1" applyBorder="1" applyAlignment="1">
      <alignment horizontal="center" vertical="center" wrapText="1"/>
    </xf>
    <xf numFmtId="174" fontId="86" fillId="0" borderId="13" xfId="0" applyNumberFormat="1" applyFont="1" applyFill="1" applyBorder="1" applyAlignment="1">
      <alignment horizontal="center" vertical="center" wrapText="1"/>
    </xf>
    <xf numFmtId="49" fontId="86" fillId="0" borderId="19" xfId="0" applyNumberFormat="1" applyFont="1" applyFill="1" applyBorder="1" applyAlignment="1">
      <alignment horizontal="center" vertical="center"/>
    </xf>
    <xf numFmtId="10" fontId="86" fillId="0" borderId="0" xfId="328" applyNumberFormat="1" applyFont="1" applyFill="1" applyBorder="1" applyAlignment="1">
      <alignment vertical="center" wrapText="1"/>
    </xf>
    <xf numFmtId="171" fontId="86" fillId="0" borderId="0" xfId="328" applyNumberFormat="1" applyFont="1" applyFill="1" applyBorder="1" applyAlignment="1">
      <alignment vertical="center" wrapText="1"/>
    </xf>
    <xf numFmtId="43" fontId="86" fillId="0" borderId="24" xfId="336" applyNumberFormat="1" applyFont="1" applyFill="1" applyBorder="1" applyAlignment="1"/>
    <xf numFmtId="3" fontId="66" fillId="0" borderId="0" xfId="328" applyNumberFormat="1" applyFont="1" applyFill="1" applyBorder="1" applyAlignment="1">
      <alignment vertical="center" wrapText="1"/>
    </xf>
    <xf numFmtId="3" fontId="66" fillId="0" borderId="0" xfId="328" applyNumberFormat="1" applyFont="1" applyBorder="1" applyAlignment="1"/>
    <xf numFmtId="43" fontId="66" fillId="0" borderId="0" xfId="336" applyNumberFormat="1" applyFont="1" applyFill="1" applyBorder="1" applyAlignment="1"/>
    <xf numFmtId="3" fontId="74" fillId="0" borderId="19" xfId="0" applyNumberFormat="1" applyFont="1" applyFill="1" applyBorder="1" applyAlignment="1"/>
    <xf numFmtId="174" fontId="55" fillId="27" borderId="0" xfId="0" applyNumberFormat="1" applyFont="1" applyFill="1" applyBorder="1" applyAlignment="1">
      <alignment horizontal="center" vertical="center"/>
    </xf>
    <xf numFmtId="174" fontId="86" fillId="0" borderId="23" xfId="0" applyNumberFormat="1" applyFont="1" applyFill="1" applyBorder="1" applyAlignment="1">
      <alignment horizontal="center" vertical="center"/>
    </xf>
    <xf numFmtId="10" fontId="86" fillId="0" borderId="0" xfId="328" applyNumberFormat="1" applyFont="1" applyFill="1" applyBorder="1" applyAlignment="1">
      <alignment horizontal="right" vertical="center" wrapText="1"/>
    </xf>
    <xf numFmtId="171" fontId="86" fillId="0" borderId="0" xfId="328" applyNumberFormat="1" applyFont="1" applyFill="1" applyBorder="1" applyAlignment="1">
      <alignment horizontal="right" vertical="center" wrapText="1"/>
    </xf>
    <xf numFmtId="43" fontId="86" fillId="0" borderId="24" xfId="336" applyNumberFormat="1" applyFont="1" applyFill="1" applyBorder="1" applyAlignment="1">
      <alignment horizontal="right"/>
    </xf>
    <xf numFmtId="171" fontId="86" fillId="0" borderId="11" xfId="328" applyNumberFormat="1" applyFont="1" applyFill="1" applyBorder="1" applyAlignment="1">
      <alignment horizontal="right" vertical="center" wrapText="1"/>
    </xf>
    <xf numFmtId="3" fontId="66" fillId="0" borderId="24" xfId="336" applyNumberFormat="1" applyFont="1" applyFill="1" applyBorder="1" applyAlignment="1"/>
    <xf numFmtId="174" fontId="86" fillId="0" borderId="15"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3" fontId="74" fillId="0" borderId="17" xfId="0" applyNumberFormat="1" applyFont="1" applyFill="1" applyBorder="1"/>
    <xf numFmtId="3" fontId="74" fillId="0" borderId="19" xfId="0" applyNumberFormat="1" applyFont="1" applyFill="1" applyBorder="1"/>
    <xf numFmtId="3" fontId="86" fillId="0" borderId="14" xfId="328" applyNumberFormat="1" applyFont="1" applyFill="1" applyBorder="1" applyAlignment="1">
      <alignment horizontal="right"/>
    </xf>
    <xf numFmtId="174" fontId="83" fillId="0" borderId="23" xfId="388" applyNumberFormat="1" applyFont="1" applyFill="1" applyBorder="1" applyAlignment="1">
      <alignment horizontal="center" vertical="center" wrapText="1"/>
    </xf>
    <xf numFmtId="174" fontId="83" fillId="0" borderId="16" xfId="388" applyNumberFormat="1" applyFont="1" applyFill="1" applyBorder="1" applyAlignment="1">
      <alignment horizontal="center" wrapText="1"/>
    </xf>
    <xf numFmtId="174" fontId="83" fillId="0" borderId="13" xfId="388" applyNumberFormat="1" applyFont="1" applyFill="1" applyBorder="1" applyAlignment="1">
      <alignment horizontal="center" vertical="center"/>
    </xf>
    <xf numFmtId="174" fontId="71" fillId="27" borderId="23" xfId="0" applyNumberFormat="1" applyFont="1" applyFill="1" applyBorder="1" applyAlignment="1">
      <alignment horizontal="center" vertical="center" wrapText="1"/>
    </xf>
    <xf numFmtId="174" fontId="71" fillId="27" borderId="16" xfId="0" applyNumberFormat="1" applyFont="1" applyFill="1" applyBorder="1" applyAlignment="1">
      <alignment horizontal="center" vertical="center" wrapText="1"/>
    </xf>
    <xf numFmtId="174" fontId="71" fillId="27" borderId="15" xfId="0" applyNumberFormat="1" applyFont="1" applyFill="1" applyBorder="1" applyAlignment="1">
      <alignment horizontal="center" vertical="center" wrapText="1"/>
    </xf>
    <xf numFmtId="171" fontId="71" fillId="27" borderId="24" xfId="328" applyNumberFormat="1" applyFont="1" applyFill="1" applyBorder="1" applyAlignment="1">
      <alignment horizontal="right" vertical="center"/>
    </xf>
    <xf numFmtId="171" fontId="83" fillId="27" borderId="24" xfId="328" applyNumberFormat="1" applyFont="1" applyFill="1" applyBorder="1" applyAlignment="1">
      <alignment horizontal="right" vertical="center"/>
    </xf>
    <xf numFmtId="2" fontId="83" fillId="27" borderId="24" xfId="328" applyNumberFormat="1" applyFont="1" applyFill="1" applyBorder="1" applyAlignment="1">
      <alignment horizontal="right" vertical="center"/>
    </xf>
    <xf numFmtId="43" fontId="68" fillId="27" borderId="16" xfId="394" applyNumberFormat="1" applyFont="1" applyFill="1" applyBorder="1" applyAlignment="1">
      <alignment horizontal="center" vertical="center" wrapText="1"/>
    </xf>
    <xf numFmtId="43" fontId="83" fillId="27" borderId="23" xfId="394" applyNumberFormat="1" applyFont="1" applyFill="1" applyBorder="1" applyAlignment="1">
      <alignment horizontal="center" vertical="center" wrapText="1"/>
    </xf>
    <xf numFmtId="43" fontId="83" fillId="27" borderId="13" xfId="394" applyNumberFormat="1" applyFont="1" applyFill="1" applyBorder="1" applyAlignment="1">
      <alignment horizontal="center" vertical="center"/>
    </xf>
    <xf numFmtId="49" fontId="83" fillId="27" borderId="19" xfId="394" applyNumberFormat="1" applyFont="1" applyFill="1" applyBorder="1" applyAlignment="1">
      <alignment horizontal="center"/>
    </xf>
    <xf numFmtId="167" fontId="84" fillId="27" borderId="0" xfId="394" applyNumberFormat="1" applyFont="1" applyFill="1" applyBorder="1" applyAlignment="1">
      <alignment horizontal="right" vertical="center"/>
    </xf>
    <xf numFmtId="171" fontId="83" fillId="27" borderId="0" xfId="397" applyNumberFormat="1" applyFont="1" applyFill="1" applyBorder="1" applyAlignment="1">
      <alignment horizontal="right" vertical="center"/>
    </xf>
    <xf numFmtId="171" fontId="83" fillId="27" borderId="0" xfId="394" applyNumberFormat="1" applyFont="1" applyFill="1" applyBorder="1" applyAlignment="1">
      <alignment horizontal="right" vertical="center"/>
    </xf>
    <xf numFmtId="167" fontId="83" fillId="27" borderId="24" xfId="394" applyNumberFormat="1" applyFont="1" applyFill="1" applyBorder="1" applyAlignment="1">
      <alignment horizontal="right" vertical="center"/>
    </xf>
    <xf numFmtId="171" fontId="55" fillId="0" borderId="24" xfId="600" applyNumberFormat="1" applyFont="1" applyFill="1" applyBorder="1"/>
    <xf numFmtId="171" fontId="55" fillId="0" borderId="22" xfId="600" applyNumberFormat="1" applyFont="1" applyFill="1" applyBorder="1"/>
    <xf numFmtId="174" fontId="68" fillId="0" borderId="23" xfId="600" applyFont="1" applyFill="1" applyBorder="1" applyAlignment="1">
      <alignment horizontal="center" vertical="center" wrapText="1"/>
    </xf>
    <xf numFmtId="174" fontId="68" fillId="0" borderId="16" xfId="600" applyFont="1" applyFill="1" applyBorder="1" applyAlignment="1">
      <alignment horizontal="center" vertical="center" wrapText="1"/>
    </xf>
    <xf numFmtId="174" fontId="68" fillId="0" borderId="13" xfId="600" applyNumberFormat="1" applyFont="1" applyFill="1" applyBorder="1" applyAlignment="1">
      <alignment horizontal="center" vertical="center"/>
    </xf>
    <xf numFmtId="49" fontId="68" fillId="0" borderId="19" xfId="397" applyNumberFormat="1" applyFont="1" applyFill="1" applyBorder="1" applyAlignment="1">
      <alignment horizontal="center" vertical="center"/>
    </xf>
    <xf numFmtId="49" fontId="68" fillId="0" borderId="14" xfId="397" applyNumberFormat="1" applyFont="1" applyFill="1" applyBorder="1" applyAlignment="1">
      <alignment horizontal="center" vertical="center"/>
    </xf>
    <xf numFmtId="174" fontId="68" fillId="0" borderId="15" xfId="600" applyFont="1" applyFill="1" applyBorder="1" applyAlignment="1">
      <alignment horizontal="center" vertical="center" wrapText="1"/>
    </xf>
    <xf numFmtId="174" fontId="68" fillId="32" borderId="23" xfId="600" applyFont="1" applyFill="1" applyBorder="1" applyAlignment="1">
      <alignment horizontal="center" vertical="center" wrapText="1"/>
    </xf>
    <xf numFmtId="174" fontId="55" fillId="32" borderId="0" xfId="600" applyFont="1" applyFill="1" applyBorder="1"/>
    <xf numFmtId="174" fontId="57" fillId="32" borderId="0" xfId="651" applyFont="1" applyFill="1" applyBorder="1"/>
    <xf numFmtId="167" fontId="55" fillId="32" borderId="11" xfId="323" applyNumberFormat="1" applyFont="1" applyFill="1" applyBorder="1"/>
    <xf numFmtId="174" fontId="68" fillId="0" borderId="23" xfId="347" applyFont="1" applyFill="1" applyBorder="1" applyAlignment="1">
      <alignment horizontal="center" vertical="center" wrapText="1"/>
    </xf>
    <xf numFmtId="174" fontId="68" fillId="0" borderId="16" xfId="347" applyFont="1" applyFill="1" applyBorder="1" applyAlignment="1">
      <alignment horizontal="center" vertical="center" wrapText="1"/>
    </xf>
    <xf numFmtId="174" fontId="68" fillId="0" borderId="13" xfId="347" applyNumberFormat="1" applyFont="1" applyFill="1" applyBorder="1" applyAlignment="1">
      <alignment horizontal="center" vertical="center"/>
    </xf>
    <xf numFmtId="17" fontId="71" fillId="0" borderId="19" xfId="394" applyNumberFormat="1" applyFont="1" applyFill="1" applyBorder="1" applyAlignment="1">
      <alignment horizontal="center"/>
    </xf>
    <xf numFmtId="17" fontId="71" fillId="0" borderId="14" xfId="394" applyNumberFormat="1" applyFont="1" applyFill="1" applyBorder="1" applyAlignment="1">
      <alignment horizontal="center"/>
    </xf>
    <xf numFmtId="171" fontId="57" fillId="0" borderId="24" xfId="0" applyNumberFormat="1" applyFont="1" applyFill="1" applyBorder="1"/>
    <xf numFmtId="174" fontId="71" fillId="27" borderId="23" xfId="388" applyNumberFormat="1" applyFont="1" applyFill="1" applyBorder="1" applyAlignment="1">
      <alignment horizontal="center" vertical="center" wrapText="1"/>
    </xf>
    <xf numFmtId="174" fontId="71" fillId="27" borderId="16" xfId="388" applyNumberFormat="1" applyFont="1" applyFill="1" applyBorder="1" applyAlignment="1">
      <alignment horizontal="center" vertical="center" wrapText="1"/>
    </xf>
    <xf numFmtId="174" fontId="71" fillId="27" borderId="13" xfId="388" applyNumberFormat="1" applyFont="1" applyFill="1" applyBorder="1" applyAlignment="1">
      <alignment horizontal="center" vertical="center"/>
    </xf>
    <xf numFmtId="174" fontId="83" fillId="0" borderId="13" xfId="336" applyNumberFormat="1" applyFont="1" applyFill="1" applyBorder="1" applyAlignment="1">
      <alignment horizontal="center" vertical="center" wrapText="1"/>
    </xf>
    <xf numFmtId="167" fontId="83" fillId="0" borderId="23" xfId="336" applyNumberFormat="1" applyFont="1" applyFill="1" applyBorder="1" applyAlignment="1">
      <alignment horizontal="center" vertical="center" wrapText="1"/>
    </xf>
    <xf numFmtId="167" fontId="83" fillId="0" borderId="16" xfId="336" applyNumberFormat="1" applyFont="1" applyFill="1" applyBorder="1" applyAlignment="1">
      <alignment horizontal="center" vertical="center" wrapText="1"/>
    </xf>
    <xf numFmtId="17" fontId="83" fillId="0" borderId="19" xfId="336" applyNumberFormat="1" applyFont="1" applyFill="1" applyBorder="1" applyAlignment="1">
      <alignment horizontal="center" vertical="center"/>
    </xf>
    <xf numFmtId="3" fontId="84" fillId="0" borderId="0" xfId="328" applyNumberFormat="1" applyFont="1" applyBorder="1" applyAlignment="1">
      <alignment horizontal="center" vertical="center"/>
    </xf>
    <xf numFmtId="171" fontId="69" fillId="0" borderId="24" xfId="0" applyNumberFormat="1" applyFont="1" applyBorder="1" applyAlignment="1">
      <alignment vertical="center"/>
    </xf>
    <xf numFmtId="3" fontId="84" fillId="0" borderId="0" xfId="325" applyNumberFormat="1" applyFont="1" applyFill="1" applyBorder="1" applyAlignment="1">
      <alignment horizontal="center" vertical="center"/>
    </xf>
    <xf numFmtId="171" fontId="69" fillId="0" borderId="24" xfId="0" applyNumberFormat="1" applyFont="1" applyBorder="1" applyAlignment="1">
      <alignment horizontal="center" vertical="center"/>
    </xf>
    <xf numFmtId="171" fontId="54" fillId="0" borderId="24" xfId="0" applyNumberFormat="1" applyFont="1" applyBorder="1" applyAlignment="1">
      <alignment horizontal="center" vertical="center"/>
    </xf>
    <xf numFmtId="17" fontId="83" fillId="0" borderId="14" xfId="336" applyNumberFormat="1" applyFont="1" applyFill="1" applyBorder="1" applyAlignment="1">
      <alignment horizontal="center" vertical="center"/>
    </xf>
    <xf numFmtId="17" fontId="120" fillId="0" borderId="0" xfId="0" applyNumberFormat="1" applyFont="1" applyFill="1" applyBorder="1" applyAlignment="1"/>
    <xf numFmtId="174" fontId="66" fillId="27" borderId="0" xfId="0" applyNumberFormat="1" applyFont="1" applyFill="1" applyBorder="1" applyAlignment="1"/>
    <xf numFmtId="174" fontId="75" fillId="0" borderId="0" xfId="0" applyFont="1" applyAlignment="1"/>
    <xf numFmtId="167" fontId="86" fillId="27" borderId="16" xfId="338" applyNumberFormat="1" applyFont="1" applyFill="1" applyBorder="1" applyAlignment="1">
      <alignment horizontal="center" vertical="center" wrapText="1"/>
    </xf>
    <xf numFmtId="167" fontId="86" fillId="27" borderId="23" xfId="338" applyNumberFormat="1" applyFont="1" applyFill="1" applyBorder="1" applyAlignment="1">
      <alignment horizontal="center" vertical="center" wrapText="1"/>
    </xf>
    <xf numFmtId="170" fontId="86" fillId="27" borderId="19" xfId="361" applyNumberFormat="1" applyFont="1" applyFill="1" applyBorder="1" applyAlignment="1">
      <alignment horizontal="left" vertical="center"/>
    </xf>
    <xf numFmtId="49" fontId="86" fillId="27" borderId="19" xfId="361" applyNumberFormat="1" applyFont="1" applyFill="1" applyBorder="1" applyAlignment="1">
      <alignment horizontal="left" vertical="center"/>
    </xf>
    <xf numFmtId="174" fontId="86" fillId="27" borderId="13" xfId="361" applyFont="1" applyFill="1" applyBorder="1" applyAlignment="1">
      <alignment horizontal="left" vertical="center"/>
    </xf>
    <xf numFmtId="174" fontId="89" fillId="0" borderId="0" xfId="0" applyFont="1" applyAlignment="1">
      <alignment horizontal="justify" vertical="justify" wrapText="1"/>
    </xf>
    <xf numFmtId="3" fontId="57" fillId="0" borderId="0" xfId="0" applyNumberFormat="1" applyFont="1" applyFill="1" applyBorder="1" applyAlignment="1" applyProtection="1">
      <alignment horizontal="right"/>
    </xf>
    <xf numFmtId="3" fontId="57" fillId="27" borderId="0" xfId="0" applyNumberFormat="1" applyFont="1" applyFill="1" applyBorder="1" applyAlignment="1" applyProtection="1">
      <alignment horizontal="right"/>
    </xf>
    <xf numFmtId="175" fontId="71" fillId="0" borderId="25" xfId="0" applyNumberFormat="1" applyFont="1" applyFill="1" applyBorder="1" applyAlignment="1" applyProtection="1">
      <alignment horizontal="right"/>
    </xf>
    <xf numFmtId="175" fontId="71" fillId="0" borderId="22" xfId="0" applyNumberFormat="1" applyFont="1" applyFill="1" applyBorder="1" applyAlignment="1" applyProtection="1">
      <alignment horizontal="right"/>
    </xf>
    <xf numFmtId="174" fontId="83" fillId="0" borderId="12" xfId="0" applyNumberFormat="1" applyFont="1" applyFill="1" applyBorder="1" applyAlignment="1" applyProtection="1">
      <alignment horizontal="center" vertical="center" wrapText="1"/>
    </xf>
    <xf numFmtId="174" fontId="83" fillId="0" borderId="25" xfId="0" applyNumberFormat="1" applyFont="1" applyFill="1" applyBorder="1" applyAlignment="1" applyProtection="1">
      <alignment horizontal="center" vertical="center" wrapText="1"/>
    </xf>
    <xf numFmtId="3" fontId="83" fillId="0" borderId="20" xfId="0" applyNumberFormat="1" applyFont="1" applyFill="1" applyBorder="1" applyAlignment="1" applyProtection="1"/>
    <xf numFmtId="3" fontId="83" fillId="0" borderId="15" xfId="0" applyNumberFormat="1" applyFont="1" applyFill="1" applyBorder="1" applyAlignment="1" applyProtection="1">
      <alignment vertical="center"/>
    </xf>
    <xf numFmtId="174" fontId="83" fillId="0" borderId="15" xfId="0" applyNumberFormat="1" applyFont="1" applyFill="1" applyBorder="1" applyAlignment="1" applyProtection="1">
      <alignment horizontal="right" vertical="center" wrapText="1"/>
    </xf>
    <xf numFmtId="174" fontId="83" fillId="0" borderId="23" xfId="0" applyNumberFormat="1" applyFont="1" applyFill="1" applyBorder="1" applyAlignment="1" applyProtection="1">
      <alignment horizontal="right" vertical="center"/>
    </xf>
    <xf numFmtId="174" fontId="83" fillId="0" borderId="16" xfId="0" applyNumberFormat="1" applyFont="1" applyFill="1" applyBorder="1" applyAlignment="1" applyProtection="1">
      <alignment horizontal="right" vertical="center" wrapText="1"/>
    </xf>
    <xf numFmtId="3" fontId="74" fillId="27" borderId="19" xfId="0" applyNumberFormat="1" applyFont="1" applyFill="1" applyBorder="1" applyAlignment="1"/>
    <xf numFmtId="49" fontId="86" fillId="27" borderId="14" xfId="0" applyNumberFormat="1" applyFont="1" applyFill="1" applyBorder="1" applyAlignment="1">
      <alignment horizontal="center" vertical="center"/>
    </xf>
    <xf numFmtId="3" fontId="66" fillId="27" borderId="11" xfId="336" applyNumberFormat="1" applyFont="1" applyFill="1" applyBorder="1" applyAlignment="1"/>
    <xf numFmtId="49" fontId="74" fillId="27" borderId="19" xfId="0" applyNumberFormat="1" applyFont="1" applyFill="1" applyBorder="1" applyAlignment="1">
      <alignment horizontal="center" vertical="center"/>
    </xf>
    <xf numFmtId="3" fontId="75" fillId="27" borderId="0" xfId="328" applyNumberFormat="1" applyFont="1" applyFill="1" applyBorder="1" applyAlignment="1"/>
    <xf numFmtId="49" fontId="74" fillId="27" borderId="14" xfId="0" applyNumberFormat="1" applyFont="1" applyFill="1" applyBorder="1" applyAlignment="1">
      <alignment horizontal="center" vertical="center"/>
    </xf>
    <xf numFmtId="171" fontId="74" fillId="27" borderId="0" xfId="328" applyNumberFormat="1" applyFont="1" applyFill="1" applyBorder="1" applyAlignment="1">
      <alignment horizontal="right" vertical="center" wrapText="1"/>
    </xf>
    <xf numFmtId="43" fontId="74" fillId="27" borderId="24" xfId="336" applyNumberFormat="1" applyFont="1" applyFill="1" applyBorder="1" applyAlignment="1">
      <alignment horizontal="right"/>
    </xf>
    <xf numFmtId="171" fontId="74" fillId="27" borderId="24" xfId="551" applyNumberFormat="1" applyFont="1" applyFill="1" applyBorder="1" applyAlignment="1">
      <alignment horizontal="right" vertical="center" wrapText="1"/>
    </xf>
    <xf numFmtId="171" fontId="74" fillId="27" borderId="11" xfId="328" applyNumberFormat="1" applyFont="1" applyFill="1" applyBorder="1" applyAlignment="1">
      <alignment horizontal="right" vertical="center" wrapText="1"/>
    </xf>
    <xf numFmtId="171" fontId="74" fillId="27" borderId="22" xfId="551" applyNumberFormat="1" applyFont="1" applyFill="1" applyBorder="1" applyAlignment="1">
      <alignment horizontal="right" vertical="center" wrapText="1"/>
    </xf>
    <xf numFmtId="3" fontId="74" fillId="27" borderId="17" xfId="0" applyNumberFormat="1" applyFont="1" applyFill="1" applyBorder="1" applyAlignment="1"/>
    <xf numFmtId="3" fontId="74" fillId="27" borderId="14" xfId="0" applyNumberFormat="1" applyFont="1" applyFill="1" applyBorder="1" applyAlignment="1"/>
    <xf numFmtId="174" fontId="86" fillId="0" borderId="13" xfId="0" applyNumberFormat="1" applyFont="1" applyFill="1" applyBorder="1" applyAlignment="1">
      <alignment horizontal="center" vertical="center"/>
    </xf>
    <xf numFmtId="3" fontId="66" fillId="27" borderId="22" xfId="336" applyNumberFormat="1" applyFont="1" applyFill="1" applyBorder="1" applyAlignment="1"/>
    <xf numFmtId="10" fontId="86" fillId="0" borderId="24" xfId="551" applyNumberFormat="1" applyFont="1" applyFill="1" applyBorder="1" applyAlignment="1">
      <alignment horizontal="right" vertical="center" wrapText="1" indent="1"/>
    </xf>
    <xf numFmtId="10" fontId="86" fillId="0" borderId="22" xfId="551" applyNumberFormat="1" applyFont="1" applyFill="1" applyBorder="1" applyAlignment="1">
      <alignment horizontal="right" vertical="center" wrapText="1" indent="1"/>
    </xf>
    <xf numFmtId="189" fontId="69" fillId="0" borderId="0" xfId="0" applyNumberFormat="1" applyFont="1" applyBorder="1" applyAlignment="1">
      <alignment vertical="top" wrapText="1"/>
    </xf>
    <xf numFmtId="189" fontId="69" fillId="0" borderId="0" xfId="0" applyNumberFormat="1" applyFont="1" applyBorder="1" applyAlignment="1">
      <alignment vertical="top"/>
    </xf>
    <xf numFmtId="174" fontId="69" fillId="0" borderId="0" xfId="0" applyNumberFormat="1" applyFont="1" applyBorder="1" applyAlignment="1">
      <alignment vertical="top"/>
    </xf>
    <xf numFmtId="3" fontId="84" fillId="0" borderId="21" xfId="388" applyNumberFormat="1" applyFont="1" applyFill="1" applyBorder="1" applyAlignment="1">
      <alignment horizontal="center"/>
    </xf>
    <xf numFmtId="3" fontId="84" fillId="0" borderId="12" xfId="388" applyNumberFormat="1" applyFont="1" applyFill="1" applyBorder="1" applyAlignment="1">
      <alignment horizontal="center"/>
    </xf>
    <xf numFmtId="3" fontId="84" fillId="0" borderId="20" xfId="388" applyNumberFormat="1" applyFont="1" applyFill="1" applyBorder="1" applyAlignment="1">
      <alignment horizontal="center"/>
    </xf>
    <xf numFmtId="3" fontId="122" fillId="0" borderId="20" xfId="388" applyNumberFormat="1" applyFont="1" applyFill="1" applyBorder="1" applyAlignment="1">
      <alignment horizontal="center"/>
    </xf>
    <xf numFmtId="3" fontId="122" fillId="0" borderId="18" xfId="388" applyNumberFormat="1" applyFont="1" applyFill="1" applyBorder="1" applyAlignment="1">
      <alignment horizontal="center"/>
    </xf>
    <xf numFmtId="9" fontId="83" fillId="0" borderId="25" xfId="551" applyNumberFormat="1" applyFont="1" applyFill="1" applyBorder="1" applyAlignment="1">
      <alignment horizontal="center"/>
    </xf>
    <xf numFmtId="9" fontId="83" fillId="0" borderId="24" xfId="551" applyNumberFormat="1" applyFont="1" applyFill="1" applyBorder="1" applyAlignment="1">
      <alignment horizontal="center"/>
    </xf>
    <xf numFmtId="2" fontId="83" fillId="27" borderId="22" xfId="328" applyNumberFormat="1" applyFont="1" applyFill="1" applyBorder="1" applyAlignment="1">
      <alignment horizontal="right" vertical="center"/>
    </xf>
    <xf numFmtId="3" fontId="83" fillId="27" borderId="0" xfId="328" applyNumberFormat="1" applyFont="1" applyFill="1" applyBorder="1" applyAlignment="1">
      <alignment horizontal="right" vertical="center"/>
    </xf>
    <xf numFmtId="3" fontId="84" fillId="27" borderId="20" xfId="328" applyNumberFormat="1" applyFont="1" applyFill="1" applyBorder="1" applyAlignment="1">
      <alignment horizontal="right" vertical="center"/>
    </xf>
    <xf numFmtId="3" fontId="83" fillId="27" borderId="11" xfId="328" applyNumberFormat="1" applyFont="1" applyFill="1" applyBorder="1" applyAlignment="1">
      <alignment horizontal="right" vertical="center"/>
    </xf>
    <xf numFmtId="174" fontId="80" fillId="0" borderId="0" xfId="0" applyFont="1" applyFill="1" applyBorder="1" applyAlignment="1">
      <alignment horizontal="left" vertical="center" wrapText="1"/>
    </xf>
    <xf numFmtId="43" fontId="71" fillId="27" borderId="15" xfId="394" applyNumberFormat="1" applyFont="1" applyFill="1" applyBorder="1" applyAlignment="1">
      <alignment horizontal="center" vertical="center" wrapText="1"/>
    </xf>
    <xf numFmtId="43" fontId="71" fillId="27" borderId="23" xfId="394" applyNumberFormat="1" applyFont="1" applyFill="1" applyBorder="1" applyAlignment="1">
      <alignment horizontal="center" vertical="center" wrapText="1"/>
    </xf>
    <xf numFmtId="43" fontId="71" fillId="27" borderId="16" xfId="394" applyNumberFormat="1" applyFont="1" applyFill="1" applyBorder="1" applyAlignment="1">
      <alignment horizontal="center" vertical="center" wrapText="1"/>
    </xf>
    <xf numFmtId="17" fontId="71" fillId="27" borderId="19" xfId="394" applyNumberFormat="1" applyFont="1" applyFill="1" applyBorder="1" applyAlignment="1">
      <alignment horizontal="center"/>
    </xf>
    <xf numFmtId="167" fontId="55" fillId="27" borderId="20" xfId="394" applyNumberFormat="1" applyFont="1" applyFill="1" applyBorder="1" applyAlignment="1">
      <alignment horizontal="right" indent="1"/>
    </xf>
    <xf numFmtId="167" fontId="55" fillId="27" borderId="0" xfId="394" applyNumberFormat="1" applyFont="1" applyFill="1" applyBorder="1" applyAlignment="1">
      <alignment horizontal="right" indent="1"/>
    </xf>
    <xf numFmtId="167" fontId="71" fillId="27" borderId="20" xfId="323" applyNumberFormat="1" applyFont="1" applyFill="1" applyBorder="1" applyAlignment="1">
      <alignment horizontal="right" indent="1"/>
    </xf>
    <xf numFmtId="171" fontId="55" fillId="27" borderId="24" xfId="394" applyNumberFormat="1" applyFont="1" applyFill="1" applyBorder="1" applyAlignment="1">
      <alignment horizontal="right" indent="1"/>
    </xf>
    <xf numFmtId="2" fontId="55" fillId="27" borderId="24" xfId="394" applyNumberFormat="1" applyFont="1" applyFill="1" applyBorder="1" applyAlignment="1">
      <alignment horizontal="right" indent="1"/>
    </xf>
    <xf numFmtId="174" fontId="54" fillId="27" borderId="13"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wrapText="1"/>
    </xf>
    <xf numFmtId="174" fontId="54" fillId="27" borderId="15" xfId="0" applyNumberFormat="1" applyFont="1" applyFill="1" applyBorder="1" applyAlignment="1">
      <alignment horizontal="center" vertical="center" wrapText="1"/>
    </xf>
    <xf numFmtId="174" fontId="54" fillId="27" borderId="16" xfId="0" applyNumberFormat="1" applyFont="1" applyFill="1" applyBorder="1" applyAlignment="1">
      <alignment horizontal="center" vertical="center" wrapText="1"/>
    </xf>
    <xf numFmtId="49" fontId="54" fillId="27" borderId="19" xfId="0" applyNumberFormat="1" applyFont="1" applyFill="1" applyBorder="1" applyAlignment="1">
      <alignment horizontal="center" vertical="center"/>
    </xf>
    <xf numFmtId="3" fontId="84" fillId="27" borderId="0" xfId="328" applyNumberFormat="1" applyFont="1" applyFill="1" applyBorder="1" applyAlignment="1">
      <alignment horizontal="right"/>
    </xf>
    <xf numFmtId="3" fontId="83" fillId="27" borderId="0" xfId="328" applyNumberFormat="1" applyFont="1" applyFill="1" applyBorder="1" applyAlignment="1">
      <alignment horizontal="right"/>
    </xf>
    <xf numFmtId="2" fontId="83" fillId="27" borderId="24" xfId="328" applyNumberFormat="1" applyFont="1" applyFill="1" applyBorder="1" applyAlignment="1">
      <alignment horizontal="right"/>
    </xf>
    <xf numFmtId="2" fontId="83" fillId="27" borderId="22" xfId="328" applyNumberFormat="1" applyFont="1" applyFill="1" applyBorder="1" applyAlignment="1">
      <alignment horizontal="right"/>
    </xf>
    <xf numFmtId="43" fontId="71" fillId="27" borderId="13" xfId="394" applyNumberFormat="1" applyFont="1" applyFill="1" applyBorder="1" applyAlignment="1">
      <alignment horizontal="center" vertical="center"/>
    </xf>
    <xf numFmtId="49" fontId="83" fillId="27" borderId="20" xfId="394" applyNumberFormat="1" applyFont="1" applyFill="1" applyBorder="1" applyAlignment="1">
      <alignment horizontal="center"/>
    </xf>
    <xf numFmtId="49" fontId="83" fillId="27" borderId="18" xfId="394" applyNumberFormat="1" applyFont="1" applyFill="1" applyBorder="1" applyAlignment="1">
      <alignment horizontal="center"/>
    </xf>
    <xf numFmtId="167" fontId="71" fillId="0" borderId="0" xfId="324" applyNumberFormat="1" applyFont="1" applyFill="1" applyBorder="1" applyAlignment="1">
      <alignment horizontal="center"/>
    </xf>
    <xf numFmtId="167" fontId="55" fillId="0" borderId="0" xfId="324" applyNumberFormat="1" applyFont="1" applyFill="1" applyBorder="1" applyAlignment="1">
      <alignment horizontal="center"/>
    </xf>
    <xf numFmtId="167" fontId="55" fillId="0" borderId="24" xfId="324" applyNumberFormat="1" applyFont="1" applyFill="1" applyBorder="1" applyAlignment="1">
      <alignment horizontal="center"/>
    </xf>
    <xf numFmtId="17" fontId="71" fillId="27" borderId="14" xfId="394" applyNumberFormat="1" applyFont="1" applyFill="1" applyBorder="1" applyAlignment="1">
      <alignment horizontal="center"/>
    </xf>
    <xf numFmtId="167" fontId="55" fillId="27" borderId="21" xfId="394" applyNumberFormat="1" applyFont="1" applyFill="1" applyBorder="1" applyAlignment="1"/>
    <xf numFmtId="167" fontId="55" fillId="27" borderId="12" xfId="394" applyNumberFormat="1" applyFont="1" applyFill="1" applyBorder="1" applyAlignment="1"/>
    <xf numFmtId="2" fontId="71" fillId="27" borderId="25" xfId="394" applyNumberFormat="1" applyFont="1" applyFill="1" applyBorder="1" applyAlignment="1"/>
    <xf numFmtId="167" fontId="55" fillId="27" borderId="20" xfId="394" applyNumberFormat="1" applyFont="1" applyFill="1" applyBorder="1" applyAlignment="1"/>
    <xf numFmtId="167" fontId="55" fillId="27" borderId="0" xfId="394" applyNumberFormat="1" applyFont="1" applyFill="1" applyBorder="1" applyAlignment="1"/>
    <xf numFmtId="2" fontId="71" fillId="27" borderId="24" xfId="394" applyNumberFormat="1" applyFont="1" applyFill="1" applyBorder="1" applyAlignment="1"/>
    <xf numFmtId="167" fontId="55" fillId="27" borderId="18" xfId="394" applyNumberFormat="1" applyFont="1" applyFill="1" applyBorder="1" applyAlignment="1"/>
    <xf numFmtId="167" fontId="55" fillId="27" borderId="11" xfId="394" applyNumberFormat="1" applyFont="1" applyFill="1" applyBorder="1" applyAlignment="1"/>
    <xf numFmtId="2" fontId="71" fillId="27" borderId="22" xfId="394" applyNumberFormat="1" applyFont="1" applyFill="1" applyBorder="1" applyAlignment="1"/>
    <xf numFmtId="167" fontId="57" fillId="0" borderId="24" xfId="324" applyNumberFormat="1" applyFont="1" applyFill="1" applyBorder="1" applyAlignment="1">
      <alignment vertical="center"/>
    </xf>
    <xf numFmtId="167" fontId="68" fillId="0" borderId="20" xfId="324" applyNumberFormat="1" applyFont="1" applyFill="1" applyBorder="1" applyAlignment="1">
      <alignment vertical="center"/>
    </xf>
    <xf numFmtId="167" fontId="68" fillId="0" borderId="21" xfId="324" applyNumberFormat="1" applyFont="1" applyFill="1" applyBorder="1" applyAlignment="1">
      <alignment vertical="center"/>
    </xf>
    <xf numFmtId="167" fontId="57" fillId="0" borderId="12" xfId="324" applyNumberFormat="1" applyFont="1" applyFill="1" applyBorder="1" applyAlignment="1">
      <alignment vertical="center"/>
    </xf>
    <xf numFmtId="167" fontId="57" fillId="0" borderId="25" xfId="324" applyNumberFormat="1" applyFont="1" applyFill="1" applyBorder="1" applyAlignment="1">
      <alignment vertical="center"/>
    </xf>
    <xf numFmtId="167" fontId="86" fillId="27" borderId="13" xfId="338" applyNumberFormat="1" applyFont="1" applyFill="1" applyBorder="1" applyAlignment="1">
      <alignment horizontal="center" vertical="center" wrapText="1"/>
    </xf>
    <xf numFmtId="3" fontId="55" fillId="27" borderId="11" xfId="0" applyNumberFormat="1" applyFont="1" applyFill="1" applyBorder="1" applyAlignment="1" applyProtection="1">
      <alignment horizontal="right"/>
    </xf>
    <xf numFmtId="3" fontId="71" fillId="0" borderId="0" xfId="0" applyNumberFormat="1" applyFont="1" applyFill="1" applyBorder="1" applyAlignment="1" applyProtection="1">
      <alignment horizontal="right"/>
    </xf>
    <xf numFmtId="3" fontId="57" fillId="0" borderId="12" xfId="0" applyNumberFormat="1" applyFont="1" applyFill="1" applyBorder="1" applyAlignment="1" applyProtection="1">
      <alignment horizontal="right"/>
    </xf>
    <xf numFmtId="3" fontId="71" fillId="0" borderId="12" xfId="0" applyNumberFormat="1" applyFont="1" applyFill="1" applyBorder="1" applyAlignment="1" applyProtection="1">
      <alignment horizontal="right"/>
    </xf>
    <xf numFmtId="3" fontId="57" fillId="27" borderId="11" xfId="0" applyNumberFormat="1" applyFont="1" applyFill="1" applyBorder="1" applyAlignment="1" applyProtection="1">
      <alignment horizontal="right"/>
    </xf>
    <xf numFmtId="3" fontId="71" fillId="0" borderId="11" xfId="0" applyNumberFormat="1" applyFont="1" applyFill="1" applyBorder="1" applyAlignment="1" applyProtection="1">
      <alignment horizontal="right"/>
    </xf>
    <xf numFmtId="3" fontId="84" fillId="27" borderId="21" xfId="0" applyNumberFormat="1" applyFont="1" applyFill="1" applyBorder="1" applyAlignment="1" applyProtection="1"/>
    <xf numFmtId="3" fontId="84" fillId="27" borderId="12" xfId="0" applyNumberFormat="1" applyFont="1" applyFill="1" applyBorder="1" applyAlignment="1" applyProtection="1"/>
    <xf numFmtId="171" fontId="83" fillId="27" borderId="25" xfId="551" applyNumberFormat="1" applyFont="1" applyFill="1" applyBorder="1" applyAlignment="1" applyProtection="1"/>
    <xf numFmtId="3" fontId="84" fillId="27" borderId="20" xfId="0" applyNumberFormat="1" applyFont="1" applyFill="1" applyBorder="1" applyAlignment="1" applyProtection="1"/>
    <xf numFmtId="3" fontId="84" fillId="27" borderId="0" xfId="0" applyNumberFormat="1" applyFont="1" applyFill="1" applyBorder="1" applyAlignment="1" applyProtection="1"/>
    <xf numFmtId="171" fontId="83" fillId="27" borderId="24" xfId="551" applyNumberFormat="1" applyFont="1" applyFill="1" applyBorder="1" applyAlignment="1" applyProtection="1"/>
    <xf numFmtId="10" fontId="75" fillId="27" borderId="0" xfId="551" applyNumberFormat="1" applyFont="1" applyFill="1"/>
    <xf numFmtId="3" fontId="83" fillId="27" borderId="15" xfId="0" applyNumberFormat="1" applyFont="1" applyFill="1" applyBorder="1" applyAlignment="1" applyProtection="1">
      <alignment vertical="center"/>
    </xf>
    <xf numFmtId="3" fontId="83" fillId="27" borderId="23" xfId="0" applyNumberFormat="1" applyFont="1" applyFill="1" applyBorder="1" applyAlignment="1" applyProtection="1">
      <alignment vertical="center"/>
    </xf>
    <xf numFmtId="171" fontId="83" fillId="27" borderId="23" xfId="551" applyNumberFormat="1" applyFont="1" applyFill="1" applyBorder="1" applyAlignment="1" applyProtection="1">
      <alignment vertical="center"/>
    </xf>
    <xf numFmtId="171" fontId="83" fillId="27" borderId="16" xfId="551" applyNumberFormat="1" applyFont="1" applyFill="1" applyBorder="1" applyAlignment="1" applyProtection="1">
      <alignment vertical="center"/>
    </xf>
    <xf numFmtId="10" fontId="83" fillId="27" borderId="12" xfId="551" applyNumberFormat="1" applyFont="1" applyFill="1" applyBorder="1" applyAlignment="1" applyProtection="1"/>
    <xf numFmtId="10" fontId="83" fillId="27" borderId="0" xfId="551" applyNumberFormat="1" applyFont="1" applyFill="1" applyBorder="1" applyAlignment="1" applyProtection="1"/>
    <xf numFmtId="167" fontId="84" fillId="0" borderId="21" xfId="0" applyNumberFormat="1" applyFont="1" applyFill="1" applyBorder="1" applyAlignment="1" applyProtection="1">
      <alignment horizontal="center" vertical="center"/>
    </xf>
    <xf numFmtId="167" fontId="84" fillId="0" borderId="12" xfId="0" applyNumberFormat="1" applyFont="1" applyFill="1" applyBorder="1" applyAlignment="1" applyProtection="1">
      <alignment horizontal="center" vertical="center"/>
    </xf>
    <xf numFmtId="167" fontId="84" fillId="0" borderId="25" xfId="0" applyNumberFormat="1" applyFont="1" applyFill="1" applyBorder="1" applyAlignment="1" applyProtection="1">
      <alignment horizontal="center" vertical="center"/>
    </xf>
    <xf numFmtId="167" fontId="84" fillId="0" borderId="20" xfId="0" applyNumberFormat="1" applyFont="1" applyFill="1" applyBorder="1" applyAlignment="1" applyProtection="1">
      <alignment horizontal="center" vertical="center"/>
    </xf>
    <xf numFmtId="167" fontId="84" fillId="0" borderId="0" xfId="0" applyNumberFormat="1" applyFont="1" applyFill="1" applyBorder="1" applyAlignment="1" applyProtection="1">
      <alignment horizontal="center" vertical="center"/>
    </xf>
    <xf numFmtId="167" fontId="84" fillId="0" borderId="24" xfId="0" applyNumberFormat="1" applyFont="1" applyFill="1" applyBorder="1" applyAlignment="1" applyProtection="1">
      <alignment horizontal="center" vertical="center"/>
    </xf>
    <xf numFmtId="167" fontId="84" fillId="27" borderId="18" xfId="0" applyNumberFormat="1" applyFont="1" applyFill="1" applyBorder="1" applyAlignment="1" applyProtection="1">
      <alignment horizontal="center" vertical="center"/>
    </xf>
    <xf numFmtId="167" fontId="84" fillId="27" borderId="11" xfId="0" applyNumberFormat="1" applyFont="1" applyFill="1" applyBorder="1" applyAlignment="1" applyProtection="1">
      <alignment horizontal="center" vertical="center"/>
    </xf>
    <xf numFmtId="167" fontId="84" fillId="27" borderId="22" xfId="0" applyNumberFormat="1" applyFont="1" applyFill="1" applyBorder="1" applyAlignment="1" applyProtection="1">
      <alignment horizontal="center" vertical="center"/>
    </xf>
    <xf numFmtId="3" fontId="75" fillId="27" borderId="11" xfId="328" applyNumberFormat="1" applyFont="1" applyFill="1" applyBorder="1" applyAlignment="1"/>
    <xf numFmtId="49" fontId="86" fillId="0" borderId="20" xfId="0" applyNumberFormat="1" applyFont="1" applyFill="1" applyBorder="1" applyAlignment="1">
      <alignment horizontal="center" vertical="center"/>
    </xf>
    <xf numFmtId="49" fontId="86" fillId="27" borderId="20" xfId="0" applyNumberFormat="1" applyFont="1" applyFill="1" applyBorder="1" applyAlignment="1">
      <alignment horizontal="center" vertical="center"/>
    </xf>
    <xf numFmtId="49" fontId="86" fillId="27" borderId="18" xfId="0" applyNumberFormat="1" applyFont="1" applyFill="1" applyBorder="1" applyAlignment="1">
      <alignment horizontal="center" vertical="center"/>
    </xf>
    <xf numFmtId="3" fontId="122" fillId="27" borderId="0" xfId="388" applyNumberFormat="1" applyFont="1" applyFill="1" applyBorder="1" applyAlignment="1">
      <alignment horizontal="center"/>
    </xf>
    <xf numFmtId="3" fontId="122" fillId="27" borderId="11" xfId="388" applyNumberFormat="1" applyFont="1" applyFill="1" applyBorder="1" applyAlignment="1">
      <alignment horizontal="center"/>
    </xf>
    <xf numFmtId="49" fontId="54" fillId="27" borderId="14" xfId="0" applyNumberFormat="1" applyFont="1" applyFill="1" applyBorder="1" applyAlignment="1">
      <alignment horizontal="center" vertical="center"/>
    </xf>
    <xf numFmtId="3" fontId="84" fillId="27" borderId="11" xfId="328" applyNumberFormat="1" applyFont="1" applyFill="1" applyBorder="1" applyAlignment="1">
      <alignment horizontal="right"/>
    </xf>
    <xf numFmtId="3" fontId="83" fillId="27" borderId="11" xfId="328" applyNumberFormat="1" applyFont="1" applyFill="1" applyBorder="1" applyAlignment="1">
      <alignment horizontal="right"/>
    </xf>
    <xf numFmtId="3" fontId="84" fillId="27" borderId="18" xfId="328" applyNumberFormat="1" applyFont="1" applyFill="1" applyBorder="1" applyAlignment="1">
      <alignment horizontal="right" vertical="center"/>
    </xf>
    <xf numFmtId="3" fontId="84" fillId="27" borderId="11" xfId="328" applyNumberFormat="1" applyFont="1" applyFill="1" applyBorder="1" applyAlignment="1">
      <alignment vertical="center"/>
    </xf>
    <xf numFmtId="167" fontId="71" fillId="27" borderId="21" xfId="323" applyNumberFormat="1" applyFont="1" applyFill="1" applyBorder="1" applyAlignment="1"/>
    <xf numFmtId="167" fontId="71" fillId="27" borderId="20" xfId="323" applyNumberFormat="1" applyFont="1" applyFill="1" applyBorder="1" applyAlignment="1"/>
    <xf numFmtId="167" fontId="71" fillId="27" borderId="18" xfId="323" applyNumberFormat="1" applyFont="1" applyFill="1" applyBorder="1" applyAlignment="1"/>
    <xf numFmtId="167" fontId="68" fillId="27" borderId="20" xfId="324" applyNumberFormat="1" applyFont="1" applyFill="1" applyBorder="1" applyAlignment="1">
      <alignment vertical="center"/>
    </xf>
    <xf numFmtId="167" fontId="57" fillId="27" borderId="0" xfId="324" applyNumberFormat="1" applyFont="1" applyFill="1" applyBorder="1" applyAlignment="1">
      <alignment vertical="center"/>
    </xf>
    <xf numFmtId="167" fontId="57" fillId="27" borderId="24" xfId="324" applyNumberFormat="1" applyFont="1" applyFill="1" applyBorder="1" applyAlignment="1">
      <alignment vertical="center"/>
    </xf>
    <xf numFmtId="167" fontId="68" fillId="27" borderId="18" xfId="324" applyNumberFormat="1" applyFont="1" applyFill="1" applyBorder="1" applyAlignment="1">
      <alignment vertical="center"/>
    </xf>
    <xf numFmtId="167" fontId="57" fillId="27" borderId="11" xfId="324" applyNumberFormat="1" applyFont="1" applyFill="1" applyBorder="1" applyAlignment="1">
      <alignment vertical="center"/>
    </xf>
    <xf numFmtId="167" fontId="57" fillId="27" borderId="22" xfId="324" applyNumberFormat="1" applyFont="1" applyFill="1" applyBorder="1" applyAlignment="1">
      <alignment vertical="center"/>
    </xf>
    <xf numFmtId="167" fontId="71" fillId="27" borderId="21" xfId="324" applyNumberFormat="1" applyFont="1" applyFill="1" applyBorder="1" applyAlignment="1">
      <alignment horizontal="center"/>
    </xf>
    <xf numFmtId="167" fontId="55" fillId="27" borderId="12" xfId="324" applyNumberFormat="1" applyFont="1" applyFill="1" applyBorder="1" applyAlignment="1">
      <alignment horizontal="center"/>
    </xf>
    <xf numFmtId="167" fontId="55" fillId="27" borderId="25" xfId="324" applyNumberFormat="1" applyFont="1" applyFill="1" applyBorder="1" applyAlignment="1">
      <alignment horizontal="center"/>
    </xf>
    <xf numFmtId="167" fontId="71" fillId="27" borderId="20" xfId="324" applyNumberFormat="1" applyFont="1" applyFill="1" applyBorder="1" applyAlignment="1">
      <alignment horizontal="center"/>
    </xf>
    <xf numFmtId="167" fontId="55" fillId="27" borderId="0" xfId="324" applyNumberFormat="1" applyFont="1" applyFill="1" applyBorder="1" applyAlignment="1">
      <alignment horizontal="center"/>
    </xf>
    <xf numFmtId="167" fontId="55" fillId="27" borderId="24" xfId="324" applyNumberFormat="1" applyFont="1" applyFill="1" applyBorder="1" applyAlignment="1">
      <alignment horizontal="center"/>
    </xf>
    <xf numFmtId="167" fontId="71" fillId="27" borderId="18" xfId="324" applyNumberFormat="1" applyFont="1" applyFill="1" applyBorder="1" applyAlignment="1">
      <alignment horizontal="center"/>
    </xf>
    <xf numFmtId="167" fontId="55" fillId="27" borderId="11" xfId="324" applyNumberFormat="1" applyFont="1" applyFill="1" applyBorder="1" applyAlignment="1">
      <alignment horizontal="center"/>
    </xf>
    <xf numFmtId="167" fontId="55" fillId="27" borderId="22" xfId="324" applyNumberFormat="1" applyFont="1" applyFill="1" applyBorder="1" applyAlignment="1">
      <alignment horizontal="center"/>
    </xf>
    <xf numFmtId="3" fontId="84" fillId="27" borderId="0" xfId="328" applyNumberFormat="1" applyFont="1" applyFill="1" applyBorder="1" applyAlignment="1">
      <alignment horizontal="center" vertical="center"/>
    </xf>
    <xf numFmtId="3" fontId="84" fillId="27" borderId="11" xfId="328" applyNumberFormat="1" applyFont="1" applyFill="1" applyBorder="1" applyAlignment="1">
      <alignment horizontal="center" vertical="center"/>
    </xf>
    <xf numFmtId="3" fontId="84" fillId="27" borderId="0" xfId="325" applyNumberFormat="1" applyFont="1" applyFill="1" applyBorder="1" applyAlignment="1">
      <alignment horizontal="center" vertical="center"/>
    </xf>
    <xf numFmtId="171" fontId="54" fillId="27" borderId="22" xfId="0" applyNumberFormat="1" applyFont="1" applyFill="1" applyBorder="1" applyAlignment="1">
      <alignment horizontal="center" vertical="center"/>
    </xf>
    <xf numFmtId="174" fontId="71" fillId="27" borderId="13" xfId="0" applyNumberFormat="1" applyFont="1" applyFill="1" applyBorder="1" applyAlignment="1">
      <alignment horizontal="center" vertical="center"/>
    </xf>
    <xf numFmtId="3" fontId="106" fillId="27" borderId="0" xfId="0" applyNumberFormat="1" applyFont="1" applyFill="1" applyBorder="1" applyAlignment="1">
      <alignment horizontal="right"/>
    </xf>
    <xf numFmtId="10" fontId="106" fillId="27" borderId="24" xfId="0" applyNumberFormat="1" applyFont="1" applyFill="1" applyBorder="1" applyAlignment="1">
      <alignment horizontal="right"/>
    </xf>
    <xf numFmtId="3" fontId="95" fillId="27" borderId="11" xfId="325" applyNumberFormat="1" applyFont="1" applyFill="1" applyBorder="1" applyAlignment="1">
      <alignment horizontal="right"/>
    </xf>
    <xf numFmtId="3" fontId="106" fillId="27" borderId="11" xfId="0" applyNumberFormat="1" applyFont="1" applyFill="1" applyBorder="1" applyAlignment="1">
      <alignment horizontal="right"/>
    </xf>
    <xf numFmtId="10" fontId="106" fillId="27" borderId="22" xfId="0" applyNumberFormat="1" applyFont="1" applyFill="1" applyBorder="1" applyAlignment="1">
      <alignment horizontal="right"/>
    </xf>
    <xf numFmtId="49" fontId="106" fillId="27" borderId="19" xfId="0" applyNumberFormat="1" applyFont="1" applyFill="1" applyBorder="1" applyAlignment="1">
      <alignment horizontal="center" vertical="center"/>
    </xf>
    <xf numFmtId="49" fontId="106" fillId="27" borderId="14" xfId="0" applyNumberFormat="1" applyFont="1" applyFill="1" applyBorder="1" applyAlignment="1">
      <alignment horizontal="center" vertical="center"/>
    </xf>
    <xf numFmtId="3" fontId="66" fillId="27" borderId="0" xfId="0" applyNumberFormat="1" applyFont="1" applyFill="1" applyBorder="1" applyAlignment="1">
      <alignment horizontal="center" vertical="center"/>
    </xf>
    <xf numFmtId="10" fontId="86" fillId="27" borderId="24" xfId="551" applyNumberFormat="1" applyFont="1" applyFill="1" applyBorder="1" applyAlignment="1">
      <alignment horizontal="center" vertical="center"/>
    </xf>
    <xf numFmtId="41" fontId="86" fillId="27" borderId="23" xfId="361" applyNumberFormat="1" applyFont="1" applyFill="1" applyBorder="1" applyAlignment="1">
      <alignment horizontal="center" vertical="center"/>
    </xf>
    <xf numFmtId="171" fontId="86" fillId="27" borderId="16" xfId="361" applyNumberFormat="1" applyFont="1" applyFill="1" applyBorder="1" applyAlignment="1">
      <alignment horizontal="center" vertical="center"/>
    </xf>
    <xf numFmtId="41" fontId="84" fillId="27" borderId="0" xfId="0" applyNumberFormat="1" applyFont="1" applyFill="1" applyBorder="1" applyAlignment="1">
      <alignment vertical="center"/>
    </xf>
    <xf numFmtId="167" fontId="83" fillId="27" borderId="23" xfId="338" applyNumberFormat="1" applyFont="1" applyFill="1" applyBorder="1" applyAlignment="1">
      <alignment horizontal="center" vertical="center" wrapText="1"/>
    </xf>
    <xf numFmtId="167" fontId="83" fillId="27" borderId="16" xfId="338" applyNumberFormat="1" applyFont="1" applyFill="1" applyBorder="1" applyAlignment="1">
      <alignment horizontal="center" vertical="center" wrapText="1"/>
    </xf>
    <xf numFmtId="41" fontId="83" fillId="27" borderId="23" xfId="361" applyNumberFormat="1" applyFont="1" applyFill="1" applyBorder="1" applyAlignment="1">
      <alignment horizontal="center" vertical="center"/>
    </xf>
    <xf numFmtId="9" fontId="83" fillId="27" borderId="16" xfId="551" applyFont="1" applyFill="1" applyBorder="1" applyAlignment="1">
      <alignment horizontal="center" vertical="center"/>
    </xf>
    <xf numFmtId="167" fontId="83" fillId="27" borderId="13" xfId="338" applyNumberFormat="1" applyFont="1" applyFill="1" applyBorder="1" applyAlignment="1">
      <alignment horizontal="center" vertical="center" wrapText="1"/>
    </xf>
    <xf numFmtId="174" fontId="83" fillId="27" borderId="13" xfId="361" applyFont="1" applyFill="1" applyBorder="1" applyAlignment="1">
      <alignment horizontal="center" vertical="center"/>
    </xf>
    <xf numFmtId="170" fontId="83" fillId="27" borderId="19" xfId="361" applyNumberFormat="1" applyFont="1" applyFill="1" applyBorder="1" applyAlignment="1">
      <alignment horizontal="left" vertical="center"/>
    </xf>
    <xf numFmtId="49" fontId="83" fillId="27" borderId="19" xfId="361" applyNumberFormat="1" applyFont="1" applyFill="1" applyBorder="1" applyAlignment="1">
      <alignment horizontal="left" vertical="center"/>
    </xf>
    <xf numFmtId="174" fontId="83" fillId="27" borderId="13" xfId="0" applyFont="1" applyFill="1" applyBorder="1" applyAlignment="1">
      <alignment horizontal="center" vertical="center"/>
    </xf>
    <xf numFmtId="17" fontId="83" fillId="27" borderId="17" xfId="0" applyNumberFormat="1" applyFont="1" applyFill="1" applyBorder="1" applyAlignment="1">
      <alignment horizontal="center" vertical="center"/>
    </xf>
    <xf numFmtId="10" fontId="102" fillId="0" borderId="0" xfId="626" applyNumberFormat="1" applyFont="1"/>
    <xf numFmtId="0" fontId="107" fillId="0" borderId="13" xfId="626" applyFont="1" applyFill="1" applyBorder="1" applyAlignment="1">
      <alignment horizontal="center" vertical="center"/>
    </xf>
    <xf numFmtId="3" fontId="107" fillId="0" borderId="0" xfId="626" applyNumberFormat="1" applyFont="1" applyFill="1" applyBorder="1" applyAlignment="1">
      <alignment horizontal="center"/>
    </xf>
    <xf numFmtId="3" fontId="103" fillId="0" borderId="0" xfId="392" applyNumberFormat="1" applyFont="1" applyFill="1" applyBorder="1" applyAlignment="1">
      <alignment horizontal="center"/>
    </xf>
    <xf numFmtId="171" fontId="107" fillId="0" borderId="0" xfId="392" applyNumberFormat="1" applyFont="1" applyFill="1" applyBorder="1" applyAlignment="1">
      <alignment horizontal="center"/>
    </xf>
    <xf numFmtId="167" fontId="103" fillId="0" borderId="0" xfId="323" applyNumberFormat="1" applyFont="1" applyFill="1" applyBorder="1" applyAlignment="1">
      <alignment horizontal="center"/>
    </xf>
    <xf numFmtId="171" fontId="107" fillId="0" borderId="0" xfId="626" applyNumberFormat="1" applyFont="1" applyFill="1" applyBorder="1" applyAlignment="1">
      <alignment horizontal="center"/>
    </xf>
    <xf numFmtId="10" fontId="107" fillId="0" borderId="0" xfId="626" applyNumberFormat="1" applyFont="1" applyFill="1" applyBorder="1" applyAlignment="1">
      <alignment horizontal="center"/>
    </xf>
    <xf numFmtId="0" fontId="107" fillId="0" borderId="23" xfId="626" applyFont="1" applyFill="1" applyBorder="1" applyAlignment="1">
      <alignment horizontal="center" vertical="center" wrapText="1"/>
    </xf>
    <xf numFmtId="0" fontId="107" fillId="0" borderId="16" xfId="626" applyFont="1" applyFill="1" applyBorder="1" applyAlignment="1">
      <alignment horizontal="center" vertical="center" wrapText="1"/>
    </xf>
    <xf numFmtId="0" fontId="107" fillId="0" borderId="19" xfId="626" applyFont="1" applyFill="1" applyBorder="1" applyAlignment="1">
      <alignment horizontal="center"/>
    </xf>
    <xf numFmtId="0" fontId="107" fillId="0" borderId="19" xfId="626" applyNumberFormat="1" applyFont="1" applyFill="1" applyBorder="1" applyAlignment="1">
      <alignment horizontal="center"/>
    </xf>
    <xf numFmtId="0" fontId="107" fillId="0" borderId="14" xfId="626" applyNumberFormat="1" applyFont="1" applyFill="1" applyBorder="1" applyAlignment="1">
      <alignment horizontal="center"/>
    </xf>
    <xf numFmtId="10" fontId="107" fillId="0" borderId="24" xfId="626" applyNumberFormat="1" applyFont="1" applyFill="1" applyBorder="1" applyAlignment="1">
      <alignment horizontal="center"/>
    </xf>
    <xf numFmtId="3" fontId="107" fillId="0" borderId="11" xfId="626" applyNumberFormat="1" applyFont="1" applyFill="1" applyBorder="1" applyAlignment="1">
      <alignment horizontal="center"/>
    </xf>
    <xf numFmtId="3" fontId="103" fillId="0" borderId="11" xfId="392" applyNumberFormat="1" applyFont="1" applyFill="1" applyBorder="1" applyAlignment="1">
      <alignment horizontal="center"/>
    </xf>
    <xf numFmtId="171" fontId="107" fillId="0" borderId="11" xfId="392" applyNumberFormat="1" applyFont="1" applyFill="1" applyBorder="1" applyAlignment="1">
      <alignment horizontal="center"/>
    </xf>
    <xf numFmtId="167" fontId="103" fillId="0" borderId="11" xfId="323" applyNumberFormat="1" applyFont="1" applyFill="1" applyBorder="1" applyAlignment="1">
      <alignment horizontal="center"/>
    </xf>
    <xf numFmtId="171" fontId="107" fillId="0" borderId="11" xfId="626" applyNumberFormat="1" applyFont="1" applyFill="1" applyBorder="1" applyAlignment="1">
      <alignment horizontal="center"/>
    </xf>
    <xf numFmtId="10" fontId="107" fillId="0" borderId="11" xfId="626" applyNumberFormat="1" applyFont="1" applyFill="1" applyBorder="1" applyAlignment="1">
      <alignment horizontal="center"/>
    </xf>
    <xf numFmtId="10" fontId="107" fillId="0" borderId="22" xfId="626" applyNumberFormat="1" applyFont="1" applyFill="1" applyBorder="1" applyAlignment="1">
      <alignment horizontal="center"/>
    </xf>
    <xf numFmtId="0" fontId="107" fillId="0" borderId="15" xfId="626" applyFont="1" applyFill="1" applyBorder="1" applyAlignment="1">
      <alignment horizontal="center" vertical="center" wrapText="1"/>
    </xf>
    <xf numFmtId="167" fontId="107" fillId="0" borderId="20" xfId="323" applyNumberFormat="1" applyFont="1" applyFill="1" applyBorder="1" applyAlignment="1">
      <alignment horizontal="center"/>
    </xf>
    <xf numFmtId="167" fontId="103" fillId="0" borderId="20" xfId="323" applyNumberFormat="1" applyFont="1" applyFill="1" applyBorder="1" applyAlignment="1">
      <alignment horizontal="center"/>
    </xf>
    <xf numFmtId="167" fontId="107" fillId="0" borderId="18" xfId="323" applyNumberFormat="1" applyFont="1" applyFill="1" applyBorder="1" applyAlignment="1">
      <alignment horizontal="center"/>
    </xf>
    <xf numFmtId="167" fontId="103" fillId="0" borderId="18" xfId="323" applyNumberFormat="1" applyFont="1" applyFill="1" applyBorder="1" applyAlignment="1">
      <alignment horizontal="center"/>
    </xf>
    <xf numFmtId="174" fontId="114" fillId="25" borderId="0" xfId="0" applyFont="1" applyFill="1" applyBorder="1" applyAlignment="1">
      <alignment horizontal="center" vertical="center" wrapText="1"/>
    </xf>
    <xf numFmtId="3" fontId="82" fillId="0" borderId="0" xfId="0" applyNumberFormat="1" applyFont="1" applyFill="1" applyBorder="1" applyAlignment="1">
      <alignment horizontal="center"/>
    </xf>
    <xf numFmtId="3" fontId="64" fillId="0" borderId="0" xfId="0" applyNumberFormat="1" applyFont="1" applyFill="1" applyBorder="1" applyAlignment="1">
      <alignment horizontal="center"/>
    </xf>
    <xf numFmtId="3" fontId="64" fillId="0" borderId="24" xfId="0" applyNumberFormat="1" applyFont="1" applyFill="1" applyBorder="1" applyAlignment="1">
      <alignment horizontal="center"/>
    </xf>
    <xf numFmtId="3" fontId="82" fillId="0" borderId="11" xfId="0" applyNumberFormat="1" applyFont="1" applyFill="1" applyBorder="1" applyAlignment="1">
      <alignment horizontal="center"/>
    </xf>
    <xf numFmtId="3" fontId="64" fillId="0" borderId="11" xfId="0" applyNumberFormat="1" applyFont="1" applyFill="1" applyBorder="1" applyAlignment="1">
      <alignment horizontal="center"/>
    </xf>
    <xf numFmtId="3" fontId="64" fillId="0" borderId="22" xfId="0" applyNumberFormat="1" applyFont="1" applyFill="1" applyBorder="1" applyAlignment="1">
      <alignment horizontal="center"/>
    </xf>
    <xf numFmtId="174" fontId="114" fillId="0" borderId="11" xfId="0" applyFont="1" applyFill="1" applyBorder="1" applyAlignment="1">
      <alignment horizontal="center" vertical="center" wrapText="1"/>
    </xf>
    <xf numFmtId="174" fontId="114" fillId="0" borderId="22" xfId="0" applyFont="1" applyFill="1" applyBorder="1" applyAlignment="1">
      <alignment horizontal="center" vertical="center" wrapText="1"/>
    </xf>
    <xf numFmtId="17" fontId="64" fillId="0" borderId="19" xfId="0" applyNumberFormat="1" applyFont="1" applyFill="1" applyBorder="1" applyAlignment="1">
      <alignment horizontal="center"/>
    </xf>
    <xf numFmtId="17" fontId="64" fillId="0" borderId="14" xfId="0" applyNumberFormat="1" applyFont="1" applyFill="1" applyBorder="1" applyAlignment="1">
      <alignment horizontal="center"/>
    </xf>
    <xf numFmtId="174" fontId="114" fillId="0" borderId="18" xfId="0" applyFont="1" applyFill="1" applyBorder="1" applyAlignment="1">
      <alignment horizontal="center" vertical="center" wrapText="1"/>
    </xf>
    <xf numFmtId="3" fontId="82" fillId="0" borderId="20" xfId="0" applyNumberFormat="1" applyFont="1" applyFill="1" applyBorder="1" applyAlignment="1">
      <alignment horizontal="center"/>
    </xf>
    <xf numFmtId="3" fontId="82" fillId="0" borderId="18" xfId="0" applyNumberFormat="1" applyFont="1" applyFill="1" applyBorder="1" applyAlignment="1">
      <alignment horizontal="center"/>
    </xf>
    <xf numFmtId="174" fontId="57"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5" fillId="27" borderId="0" xfId="323" applyNumberFormat="1" applyFont="1" applyFill="1" applyBorder="1" applyAlignment="1">
      <alignment horizontal="center" vertical="center"/>
    </xf>
    <xf numFmtId="174" fontId="71" fillId="27" borderId="23" xfId="0" applyNumberFormat="1" applyFont="1" applyFill="1" applyBorder="1" applyAlignment="1">
      <alignment horizontal="center" vertical="center"/>
    </xf>
    <xf numFmtId="49" fontId="71" fillId="27" borderId="19" xfId="0" applyNumberFormat="1" applyFont="1" applyFill="1" applyBorder="1" applyAlignment="1">
      <alignment horizontal="center" vertical="center"/>
    </xf>
    <xf numFmtId="174" fontId="71" fillId="27" borderId="14" xfId="0" applyNumberFormat="1" applyFont="1" applyFill="1" applyBorder="1" applyAlignment="1">
      <alignment horizontal="center" vertical="center"/>
    </xf>
    <xf numFmtId="3" fontId="71" fillId="27" borderId="23" xfId="323" applyNumberFormat="1" applyFont="1" applyFill="1" applyBorder="1" applyAlignment="1">
      <alignment horizontal="center" vertical="center"/>
    </xf>
    <xf numFmtId="3" fontId="71" fillId="27" borderId="19" xfId="323" applyNumberFormat="1" applyFont="1" applyFill="1" applyBorder="1" applyAlignment="1">
      <alignment horizontal="center" vertical="center"/>
    </xf>
    <xf numFmtId="174" fontId="71" fillId="27" borderId="13" xfId="0" applyNumberFormat="1" applyFont="1" applyFill="1" applyBorder="1" applyAlignment="1">
      <alignment horizontal="center" vertical="center" wrapText="1"/>
    </xf>
    <xf numFmtId="3" fontId="71" fillId="27" borderId="20" xfId="323" applyNumberFormat="1" applyFont="1" applyFill="1" applyBorder="1" applyAlignment="1">
      <alignment horizontal="center" vertical="center"/>
    </xf>
    <xf numFmtId="1" fontId="55" fillId="27" borderId="0" xfId="323" applyNumberFormat="1" applyFont="1" applyFill="1" applyBorder="1" applyAlignment="1">
      <alignment horizontal="center" vertical="center"/>
    </xf>
    <xf numFmtId="167" fontId="55" fillId="27" borderId="0" xfId="323" applyNumberFormat="1" applyFont="1" applyFill="1" applyBorder="1" applyAlignment="1">
      <alignment horizontal="center" vertical="center"/>
    </xf>
    <xf numFmtId="174" fontId="71" fillId="27" borderId="11" xfId="0" applyNumberFormat="1" applyFont="1" applyFill="1" applyBorder="1" applyAlignment="1">
      <alignment horizontal="center" vertical="center"/>
    </xf>
    <xf numFmtId="174" fontId="71" fillId="27" borderId="11"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49" fontId="71" fillId="27" borderId="13" xfId="0" applyNumberFormat="1" applyFont="1" applyFill="1" applyBorder="1" applyAlignment="1">
      <alignment horizontal="center" vertical="center"/>
    </xf>
    <xf numFmtId="167" fontId="71" fillId="27" borderId="23" xfId="323" applyNumberFormat="1" applyFont="1" applyFill="1" applyBorder="1" applyAlignment="1">
      <alignment horizontal="center" vertical="center"/>
    </xf>
    <xf numFmtId="167" fontId="71" fillId="27" borderId="19" xfId="0" applyNumberFormat="1" applyFont="1" applyFill="1" applyBorder="1" applyAlignment="1">
      <alignment horizontal="center" vertical="center"/>
    </xf>
    <xf numFmtId="167" fontId="71" fillId="27" borderId="20" xfId="323" applyNumberFormat="1" applyFont="1" applyFill="1" applyBorder="1" applyAlignment="1">
      <alignment vertical="center"/>
    </xf>
    <xf numFmtId="41" fontId="71" fillId="27" borderId="24" xfId="0" applyNumberFormat="1" applyFont="1" applyFill="1" applyBorder="1" applyAlignment="1">
      <alignment horizontal="center" vertical="center"/>
    </xf>
    <xf numFmtId="49" fontId="71" fillId="27" borderId="14" xfId="0" applyNumberFormat="1" applyFont="1" applyFill="1" applyBorder="1" applyAlignment="1">
      <alignment horizontal="center" vertical="center"/>
    </xf>
    <xf numFmtId="174" fontId="71" fillId="27" borderId="18" xfId="0" applyNumberFormat="1" applyFont="1" applyFill="1" applyBorder="1" applyAlignment="1">
      <alignment horizontal="center" vertical="center" wrapText="1"/>
    </xf>
    <xf numFmtId="40" fontId="71" fillId="27" borderId="13" xfId="0" applyNumberFormat="1" applyFont="1" applyFill="1" applyBorder="1" applyAlignment="1">
      <alignment horizontal="center" vertical="center"/>
    </xf>
    <xf numFmtId="40" fontId="71" fillId="27" borderId="13" xfId="0" applyNumberFormat="1" applyFont="1" applyFill="1" applyBorder="1" applyAlignment="1">
      <alignment horizontal="center" vertical="center" wrapText="1"/>
    </xf>
    <xf numFmtId="38" fontId="63" fillId="27" borderId="0" xfId="323" applyNumberFormat="1" applyFont="1" applyFill="1" applyBorder="1" applyAlignment="1">
      <alignment horizontal="center"/>
    </xf>
    <xf numFmtId="40" fontId="71" fillId="27" borderId="11" xfId="0" applyNumberFormat="1" applyFont="1" applyFill="1" applyBorder="1" applyAlignment="1">
      <alignment horizontal="center" vertical="center"/>
    </xf>
    <xf numFmtId="40" fontId="71" fillId="27" borderId="11" xfId="0" applyNumberFormat="1" applyFont="1" applyFill="1" applyBorder="1" applyAlignment="1">
      <alignment horizontal="center" vertical="center" wrapText="1"/>
    </xf>
    <xf numFmtId="49" fontId="71" fillId="27" borderId="19" xfId="0" applyNumberFormat="1" applyFont="1" applyFill="1" applyBorder="1" applyAlignment="1">
      <alignment horizontal="center"/>
    </xf>
    <xf numFmtId="38" fontId="71" fillId="27" borderId="23" xfId="323" applyNumberFormat="1" applyFont="1" applyFill="1" applyBorder="1" applyAlignment="1">
      <alignment horizontal="center" vertical="center"/>
    </xf>
    <xf numFmtId="38" fontId="71" fillId="27" borderId="19" xfId="0" applyNumberFormat="1" applyFont="1" applyFill="1" applyBorder="1" applyAlignment="1">
      <alignment horizontal="center" wrapText="1"/>
    </xf>
    <xf numFmtId="38" fontId="71" fillId="27" borderId="15" xfId="323" applyNumberFormat="1" applyFont="1" applyFill="1" applyBorder="1" applyAlignment="1">
      <alignment horizontal="center" vertical="center"/>
    </xf>
    <xf numFmtId="14" fontId="54" fillId="27" borderId="13" xfId="0" applyNumberFormat="1" applyFont="1" applyFill="1" applyBorder="1" applyAlignment="1">
      <alignment horizontal="center" vertical="center" wrapText="1"/>
    </xf>
    <xf numFmtId="38" fontId="69" fillId="27" borderId="0" xfId="0" applyNumberFormat="1" applyFont="1" applyFill="1" applyBorder="1"/>
    <xf numFmtId="171" fontId="54" fillId="27" borderId="0" xfId="0" applyNumberFormat="1" applyFont="1" applyFill="1" applyBorder="1"/>
    <xf numFmtId="171" fontId="54" fillId="27" borderId="24" xfId="0" applyNumberFormat="1" applyFont="1" applyFill="1" applyBorder="1"/>
    <xf numFmtId="38" fontId="69" fillId="27" borderId="11" xfId="0" applyNumberFormat="1" applyFont="1" applyFill="1" applyBorder="1"/>
    <xf numFmtId="171" fontId="54" fillId="27" borderId="11" xfId="0" applyNumberFormat="1" applyFont="1" applyFill="1" applyBorder="1"/>
    <xf numFmtId="171" fontId="54" fillId="27" borderId="22" xfId="0" applyNumberFormat="1" applyFont="1" applyFill="1" applyBorder="1"/>
    <xf numFmtId="38" fontId="69" fillId="27" borderId="21" xfId="0" applyNumberFormat="1" applyFont="1" applyFill="1" applyBorder="1"/>
    <xf numFmtId="171" fontId="54" fillId="27" borderId="12" xfId="0" applyNumberFormat="1" applyFont="1" applyFill="1" applyBorder="1"/>
    <xf numFmtId="38" fontId="69" fillId="27" borderId="12" xfId="0" applyNumberFormat="1" applyFont="1" applyFill="1" applyBorder="1"/>
    <xf numFmtId="171" fontId="54" fillId="27" borderId="25" xfId="0" applyNumberFormat="1" applyFont="1" applyFill="1" applyBorder="1"/>
    <xf numFmtId="38" fontId="69" fillId="27" borderId="20" xfId="0" applyNumberFormat="1" applyFont="1" applyFill="1" applyBorder="1"/>
    <xf numFmtId="38" fontId="69" fillId="27" borderId="18" xfId="0" applyNumberFormat="1" applyFont="1" applyFill="1" applyBorder="1"/>
    <xf numFmtId="171" fontId="55" fillId="27" borderId="24" xfId="0" applyNumberFormat="1" applyFont="1" applyFill="1" applyBorder="1"/>
    <xf numFmtId="43" fontId="71" fillId="27" borderId="13" xfId="0" applyNumberFormat="1" applyFont="1" applyFill="1" applyBorder="1" applyAlignment="1">
      <alignment horizontal="center" vertical="center"/>
    </xf>
    <xf numFmtId="174" fontId="83" fillId="27" borderId="13" xfId="0" applyNumberFormat="1" applyFont="1" applyFill="1" applyBorder="1" applyAlignment="1" applyProtection="1">
      <alignment horizontal="center" vertical="center"/>
    </xf>
    <xf numFmtId="17" fontId="83" fillId="27" borderId="20" xfId="0" applyNumberFormat="1" applyFont="1" applyFill="1" applyBorder="1" applyAlignment="1" applyProtection="1">
      <alignment horizontal="center"/>
    </xf>
    <xf numFmtId="3" fontId="84" fillId="27" borderId="11" xfId="0" applyNumberFormat="1" applyFont="1" applyFill="1" applyBorder="1" applyAlignment="1" applyProtection="1">
      <alignment horizontal="center"/>
    </xf>
    <xf numFmtId="17" fontId="83" fillId="27" borderId="17" xfId="0" applyNumberFormat="1" applyFont="1" applyFill="1" applyBorder="1" applyAlignment="1" applyProtection="1">
      <alignment horizontal="center"/>
    </xf>
    <xf numFmtId="17" fontId="83" fillId="27" borderId="19" xfId="0" applyNumberFormat="1" applyFont="1" applyFill="1" applyBorder="1" applyAlignment="1" applyProtection="1">
      <alignment horizontal="center"/>
    </xf>
    <xf numFmtId="17" fontId="83" fillId="27" borderId="14" xfId="0" applyNumberFormat="1" applyFont="1" applyFill="1" applyBorder="1" applyAlignment="1" applyProtection="1">
      <alignment horizontal="center"/>
    </xf>
    <xf numFmtId="3" fontId="84" fillId="27" borderId="21" xfId="0" applyNumberFormat="1" applyFont="1" applyFill="1" applyBorder="1" applyAlignment="1" applyProtection="1">
      <alignment horizontal="center"/>
    </xf>
    <xf numFmtId="3" fontId="84" fillId="27" borderId="12" xfId="0" applyNumberFormat="1" applyFont="1" applyFill="1" applyBorder="1" applyAlignment="1" applyProtection="1">
      <alignment horizontal="center"/>
    </xf>
    <xf numFmtId="3" fontId="84" fillId="27" borderId="20" xfId="0" applyNumberFormat="1" applyFont="1" applyFill="1" applyBorder="1" applyAlignment="1" applyProtection="1">
      <alignment horizontal="center"/>
    </xf>
    <xf numFmtId="3" fontId="84" fillId="27" borderId="18" xfId="0" applyNumberFormat="1" applyFont="1" applyFill="1" applyBorder="1" applyAlignment="1" applyProtection="1">
      <alignment horizontal="center"/>
    </xf>
    <xf numFmtId="10" fontId="75" fillId="0" borderId="0" xfId="551" applyNumberFormat="1" applyFont="1" applyFill="1" applyBorder="1" applyAlignment="1"/>
    <xf numFmtId="174" fontId="83" fillId="27" borderId="18" xfId="0" applyNumberFormat="1" applyFont="1" applyFill="1" applyBorder="1" applyAlignment="1" applyProtection="1">
      <alignment horizontal="center" vertical="center"/>
    </xf>
    <xf numFmtId="174" fontId="83" fillId="27" borderId="11" xfId="0" applyNumberFormat="1" applyFont="1" applyFill="1" applyBorder="1" applyAlignment="1" applyProtection="1">
      <alignment horizontal="center" vertical="center"/>
    </xf>
    <xf numFmtId="3" fontId="83" fillId="27" borderId="19" xfId="0" applyNumberFormat="1" applyFont="1" applyFill="1" applyBorder="1" applyAlignment="1" applyProtection="1">
      <alignment horizontal="center"/>
    </xf>
    <xf numFmtId="3" fontId="83" fillId="27" borderId="17" xfId="0" applyNumberFormat="1" applyFont="1" applyFill="1" applyBorder="1" applyAlignment="1" applyProtection="1">
      <alignment horizontal="center"/>
    </xf>
    <xf numFmtId="3" fontId="83" fillId="27" borderId="14" xfId="0" applyNumberFormat="1" applyFont="1" applyFill="1" applyBorder="1" applyAlignment="1" applyProtection="1">
      <alignment horizontal="center"/>
    </xf>
    <xf numFmtId="174" fontId="71" fillId="27" borderId="23" xfId="0" applyFont="1" applyFill="1" applyBorder="1" applyAlignment="1">
      <alignment horizontal="center" vertical="center" wrapText="1"/>
    </xf>
    <xf numFmtId="174" fontId="71" fillId="27" borderId="16" xfId="0" applyFont="1" applyFill="1" applyBorder="1" applyAlignment="1">
      <alignment horizontal="center" vertical="center" wrapText="1"/>
    </xf>
    <xf numFmtId="173" fontId="55" fillId="27" borderId="0" xfId="323" applyNumberFormat="1" applyFont="1" applyFill="1" applyBorder="1"/>
    <xf numFmtId="174" fontId="71" fillId="27" borderId="13" xfId="0" applyFont="1" applyFill="1" applyBorder="1" applyAlignment="1">
      <alignment horizontal="center"/>
    </xf>
    <xf numFmtId="167" fontId="71" fillId="27" borderId="23" xfId="323" applyNumberFormat="1" applyFont="1" applyFill="1" applyBorder="1"/>
    <xf numFmtId="10" fontId="71" fillId="27" borderId="16" xfId="0" applyNumberFormat="1" applyFont="1" applyFill="1" applyBorder="1"/>
    <xf numFmtId="10" fontId="71" fillId="27" borderId="24" xfId="0" applyNumberFormat="1" applyFont="1" applyFill="1" applyBorder="1"/>
    <xf numFmtId="43" fontId="63" fillId="0" borderId="0" xfId="323" applyFont="1"/>
    <xf numFmtId="174" fontId="63" fillId="0" borderId="0" xfId="388" applyNumberFormat="1" applyFont="1" applyAlignment="1">
      <alignment vertical="center"/>
    </xf>
    <xf numFmtId="43" fontId="71" fillId="27" borderId="13" xfId="0" applyNumberFormat="1" applyFont="1" applyFill="1" applyBorder="1" applyAlignment="1">
      <alignment vertical="center"/>
    </xf>
    <xf numFmtId="43" fontId="70" fillId="0" borderId="0" xfId="0" applyNumberFormat="1" applyFont="1" applyFill="1" applyBorder="1" applyAlignment="1">
      <alignment vertical="center"/>
    </xf>
    <xf numFmtId="43" fontId="55" fillId="27" borderId="0" xfId="336" applyNumberFormat="1" applyFont="1" applyFill="1" applyBorder="1" applyAlignment="1">
      <alignment horizontal="right" vertical="center"/>
    </xf>
    <xf numFmtId="43" fontId="55" fillId="27" borderId="0" xfId="336" applyNumberFormat="1" applyFont="1" applyFill="1" applyBorder="1" applyAlignment="1">
      <alignment vertical="center"/>
    </xf>
    <xf numFmtId="49" fontId="71" fillId="27" borderId="23" xfId="336" applyNumberFormat="1" applyFont="1" applyFill="1" applyBorder="1" applyAlignment="1">
      <alignment horizontal="center" vertical="center" wrapText="1"/>
    </xf>
    <xf numFmtId="43" fontId="71" fillId="27" borderId="23" xfId="0" applyNumberFormat="1" applyFont="1" applyFill="1" applyBorder="1" applyAlignment="1">
      <alignment vertical="center"/>
    </xf>
    <xf numFmtId="17" fontId="71" fillId="27" borderId="13" xfId="323" applyNumberFormat="1" applyFont="1" applyFill="1" applyBorder="1" applyAlignment="1">
      <alignment horizontal="left" vertical="center"/>
    </xf>
    <xf numFmtId="40" fontId="55" fillId="27" borderId="0" xfId="323" applyNumberFormat="1" applyFont="1" applyFill="1" applyBorder="1" applyAlignment="1">
      <alignment horizontal="right" vertical="center"/>
    </xf>
    <xf numFmtId="40" fontId="71" fillId="27" borderId="0" xfId="323" applyNumberFormat="1" applyFont="1" applyFill="1" applyBorder="1" applyAlignment="1">
      <alignment horizontal="right" vertical="center"/>
    </xf>
    <xf numFmtId="40" fontId="55" fillId="27" borderId="0" xfId="323" applyNumberFormat="1" applyFont="1" applyFill="1" applyBorder="1" applyAlignment="1">
      <alignment horizontal="right"/>
    </xf>
    <xf numFmtId="40" fontId="71" fillId="27" borderId="0" xfId="323" applyNumberFormat="1" applyFont="1" applyFill="1" applyBorder="1"/>
    <xf numFmtId="40" fontId="55" fillId="27" borderId="0" xfId="323" applyNumberFormat="1" applyFont="1" applyFill="1" applyBorder="1" applyAlignment="1">
      <alignment horizontal="right" vertical="center" wrapText="1"/>
    </xf>
    <xf numFmtId="40" fontId="71" fillId="27" borderId="24" xfId="323" applyNumberFormat="1" applyFont="1" applyFill="1" applyBorder="1"/>
    <xf numFmtId="0" fontId="71" fillId="27" borderId="19" xfId="323" applyNumberFormat="1" applyFont="1" applyFill="1" applyBorder="1" applyAlignment="1">
      <alignment horizontal="center" vertical="center"/>
    </xf>
    <xf numFmtId="40" fontId="71" fillId="27" borderId="23" xfId="323" applyNumberFormat="1" applyFont="1" applyFill="1" applyBorder="1" applyAlignment="1">
      <alignment vertical="center"/>
    </xf>
    <xf numFmtId="40" fontId="71" fillId="27" borderId="16" xfId="323" applyNumberFormat="1" applyFont="1" applyFill="1" applyBorder="1" applyAlignment="1">
      <alignment vertical="center"/>
    </xf>
    <xf numFmtId="40" fontId="55" fillId="27" borderId="20" xfId="323" applyNumberFormat="1" applyFont="1" applyFill="1" applyBorder="1" applyAlignment="1">
      <alignment horizontal="right"/>
    </xf>
    <xf numFmtId="40" fontId="71" fillId="27" borderId="15" xfId="323" applyNumberFormat="1" applyFont="1" applyFill="1" applyBorder="1" applyAlignment="1">
      <alignment vertical="center"/>
    </xf>
    <xf numFmtId="174" fontId="71" fillId="27" borderId="15" xfId="388" applyNumberFormat="1" applyFont="1" applyFill="1" applyBorder="1" applyAlignment="1">
      <alignment horizontal="center" vertical="center" wrapText="1"/>
    </xf>
    <xf numFmtId="40" fontId="71" fillId="27" borderId="20" xfId="323" applyNumberFormat="1" applyFont="1" applyFill="1" applyBorder="1"/>
    <xf numFmtId="189" fontId="0" fillId="0" borderId="0" xfId="0" applyNumberFormat="1"/>
    <xf numFmtId="176" fontId="0" fillId="0" borderId="0" xfId="551" applyNumberFormat="1" applyFont="1"/>
    <xf numFmtId="174" fontId="83" fillId="27" borderId="13" xfId="336" applyNumberFormat="1" applyFont="1" applyFill="1" applyBorder="1" applyAlignment="1">
      <alignment horizontal="center" vertical="center" wrapText="1"/>
    </xf>
    <xf numFmtId="43" fontId="106" fillId="27" borderId="19" xfId="336" applyNumberFormat="1" applyFont="1" applyFill="1" applyBorder="1" applyAlignment="1">
      <alignment horizontal="left" vertical="center" wrapText="1"/>
    </xf>
    <xf numFmtId="43" fontId="106" fillId="27" borderId="13" xfId="0" applyNumberFormat="1" applyFont="1" applyFill="1" applyBorder="1" applyAlignment="1">
      <alignment vertical="center"/>
    </xf>
    <xf numFmtId="49" fontId="71" fillId="27" borderId="19" xfId="388" applyNumberFormat="1" applyFont="1" applyFill="1" applyBorder="1" applyAlignment="1">
      <alignment horizontal="center"/>
    </xf>
    <xf numFmtId="43" fontId="57" fillId="27" borderId="0" xfId="394" applyNumberFormat="1" applyFont="1" applyFill="1" applyBorder="1" applyAlignment="1">
      <alignment horizontal="right"/>
    </xf>
    <xf numFmtId="43" fontId="57" fillId="27" borderId="0" xfId="336" applyNumberFormat="1" applyFont="1" applyFill="1" applyBorder="1"/>
    <xf numFmtId="40" fontId="68" fillId="27" borderId="19" xfId="394" applyNumberFormat="1" applyFont="1" applyFill="1" applyBorder="1" applyAlignment="1">
      <alignment horizontal="left" vertical="center" wrapText="1"/>
    </xf>
    <xf numFmtId="49" fontId="68" fillId="27" borderId="23" xfId="394" applyNumberFormat="1" applyFont="1" applyFill="1" applyBorder="1" applyAlignment="1">
      <alignment horizontal="center" vertical="center"/>
    </xf>
    <xf numFmtId="40" fontId="68" fillId="27" borderId="13" xfId="394" applyNumberFormat="1" applyFont="1" applyFill="1" applyBorder="1" applyAlignment="1">
      <alignment horizontal="center" vertical="center" wrapText="1"/>
    </xf>
    <xf numFmtId="43" fontId="68" fillId="27" borderId="23" xfId="394" applyNumberFormat="1" applyFont="1" applyFill="1" applyBorder="1" applyAlignment="1">
      <alignment horizontal="right"/>
    </xf>
    <xf numFmtId="43" fontId="71" fillId="27" borderId="13" xfId="336" applyFont="1" applyFill="1" applyBorder="1" applyAlignment="1">
      <alignment horizontal="center" vertical="center" wrapText="1"/>
    </xf>
    <xf numFmtId="43" fontId="71" fillId="27" borderId="0" xfId="336" applyFont="1" applyFill="1" applyBorder="1" applyAlignment="1">
      <alignment horizontal="center" vertical="center" wrapText="1"/>
    </xf>
    <xf numFmtId="43" fontId="55" fillId="27" borderId="0" xfId="328" applyFont="1" applyFill="1" applyBorder="1" applyAlignment="1">
      <alignment vertical="center"/>
    </xf>
    <xf numFmtId="43" fontId="71" fillId="27" borderId="0" xfId="336" applyFont="1" applyFill="1" applyBorder="1" applyAlignment="1">
      <alignment vertical="center"/>
    </xf>
    <xf numFmtId="43" fontId="71" fillId="27" borderId="23" xfId="336" applyFont="1" applyFill="1" applyBorder="1" applyAlignment="1">
      <alignment horizontal="center" vertical="center" wrapText="1"/>
    </xf>
    <xf numFmtId="43" fontId="71" fillId="27" borderId="23" xfId="336" applyFont="1" applyFill="1" applyBorder="1" applyAlignment="1">
      <alignment vertical="center"/>
    </xf>
    <xf numFmtId="17" fontId="71" fillId="27" borderId="19" xfId="0" applyNumberFormat="1" applyFont="1" applyFill="1" applyBorder="1" applyAlignment="1">
      <alignment horizontal="center" vertical="center"/>
    </xf>
    <xf numFmtId="43" fontId="71" fillId="27" borderId="19" xfId="336" applyFont="1" applyFill="1" applyBorder="1" applyAlignment="1">
      <alignment vertical="center"/>
    </xf>
    <xf numFmtId="49" fontId="68" fillId="27" borderId="13" xfId="394" applyNumberFormat="1" applyFont="1" applyFill="1" applyBorder="1" applyAlignment="1">
      <alignment horizontal="center" vertical="center"/>
    </xf>
    <xf numFmtId="43" fontId="68" fillId="27" borderId="19" xfId="394" applyNumberFormat="1" applyFont="1" applyFill="1" applyBorder="1" applyAlignment="1">
      <alignment horizontal="right"/>
    </xf>
    <xf numFmtId="174" fontId="83" fillId="27" borderId="13" xfId="391" applyFont="1" applyFill="1" applyBorder="1" applyAlignment="1">
      <alignment horizontal="center" vertical="center"/>
    </xf>
    <xf numFmtId="174" fontId="83" fillId="27" borderId="13" xfId="391" applyFont="1" applyFill="1" applyBorder="1" applyAlignment="1">
      <alignment vertical="center"/>
    </xf>
    <xf numFmtId="174" fontId="83" fillId="27" borderId="19" xfId="391" applyFont="1" applyFill="1" applyBorder="1" applyAlignment="1">
      <alignment vertical="center" wrapText="1"/>
    </xf>
    <xf numFmtId="174" fontId="83" fillId="27" borderId="19" xfId="391" applyFont="1" applyFill="1" applyBorder="1" applyAlignment="1">
      <alignment horizontal="left" vertical="center" wrapText="1"/>
    </xf>
    <xf numFmtId="40" fontId="55" fillId="27" borderId="0" xfId="0" applyNumberFormat="1" applyFont="1" applyFill="1" applyBorder="1" applyAlignment="1">
      <alignment vertical="center"/>
    </xf>
    <xf numFmtId="40" fontId="55" fillId="27" borderId="0" xfId="335" applyNumberFormat="1" applyFont="1" applyFill="1" applyBorder="1"/>
    <xf numFmtId="40" fontId="55" fillId="27" borderId="0" xfId="0" applyNumberFormat="1" applyFont="1" applyFill="1" applyBorder="1"/>
    <xf numFmtId="40" fontId="55" fillId="27" borderId="0" xfId="335" applyNumberFormat="1" applyFont="1" applyFill="1" applyBorder="1" applyAlignment="1">
      <alignment horizontal="right"/>
    </xf>
    <xf numFmtId="40" fontId="71" fillId="27" borderId="24" xfId="0" applyNumberFormat="1" applyFont="1" applyFill="1" applyBorder="1"/>
    <xf numFmtId="43" fontId="71" fillId="27" borderId="23" xfId="0" applyNumberFormat="1" applyFont="1" applyFill="1" applyBorder="1" applyAlignment="1">
      <alignment horizontal="center" vertical="center" wrapText="1"/>
    </xf>
    <xf numFmtId="43" fontId="71" fillId="27" borderId="16" xfId="0" applyNumberFormat="1" applyFont="1" applyFill="1" applyBorder="1" applyAlignment="1">
      <alignment horizontal="center" vertical="center" wrapText="1"/>
    </xf>
    <xf numFmtId="43" fontId="71" fillId="27" borderId="23" xfId="0" applyNumberFormat="1" applyFont="1" applyFill="1" applyBorder="1"/>
    <xf numFmtId="0" fontId="71" fillId="27" borderId="19" xfId="0" applyNumberFormat="1" applyFont="1" applyFill="1" applyBorder="1" applyAlignment="1">
      <alignment horizontal="center"/>
    </xf>
    <xf numFmtId="0" fontId="71" fillId="27" borderId="19" xfId="0" applyNumberFormat="1" applyFont="1" applyFill="1" applyBorder="1" applyAlignment="1">
      <alignment horizontal="center" vertical="center"/>
    </xf>
    <xf numFmtId="43" fontId="71" fillId="27" borderId="15" xfId="0" applyNumberFormat="1" applyFont="1" applyFill="1" applyBorder="1"/>
    <xf numFmtId="43" fontId="55" fillId="27" borderId="0" xfId="336" applyNumberFormat="1" applyFont="1" applyFill="1" applyBorder="1"/>
    <xf numFmtId="43" fontId="71" fillId="27" borderId="23" xfId="0" applyNumberFormat="1" applyFont="1" applyFill="1" applyBorder="1" applyAlignment="1">
      <alignment horizontal="center" vertical="center"/>
    </xf>
    <xf numFmtId="43" fontId="71" fillId="27" borderId="19" xfId="0" applyNumberFormat="1" applyFont="1" applyFill="1" applyBorder="1" applyAlignment="1">
      <alignment horizontal="center" vertical="center"/>
    </xf>
    <xf numFmtId="190" fontId="71" fillId="27" borderId="24" xfId="336" applyNumberFormat="1" applyFont="1" applyFill="1" applyBorder="1"/>
    <xf numFmtId="190" fontId="71" fillId="27" borderId="16" xfId="336" applyNumberFormat="1" applyFont="1" applyFill="1" applyBorder="1"/>
    <xf numFmtId="43" fontId="55" fillId="27" borderId="0" xfId="323" applyNumberFormat="1" applyFont="1" applyFill="1" applyBorder="1"/>
    <xf numFmtId="174" fontId="71" fillId="27" borderId="13" xfId="446" applyFont="1" applyFill="1" applyBorder="1" applyAlignment="1">
      <alignment horizontal="center" vertical="center"/>
    </xf>
    <xf numFmtId="10" fontId="71" fillId="27" borderId="24" xfId="446" applyNumberFormat="1" applyFont="1" applyFill="1" applyBorder="1"/>
    <xf numFmtId="10" fontId="71" fillId="27" borderId="0" xfId="446" applyNumberFormat="1" applyFont="1" applyFill="1" applyBorder="1"/>
    <xf numFmtId="43" fontId="55" fillId="27" borderId="11" xfId="323" applyNumberFormat="1" applyFont="1" applyFill="1" applyBorder="1"/>
    <xf numFmtId="10" fontId="71" fillId="27" borderId="22" xfId="446" applyNumberFormat="1" applyFont="1" applyFill="1" applyBorder="1"/>
    <xf numFmtId="43" fontId="55" fillId="27" borderId="20" xfId="323" applyNumberFormat="1" applyFont="1" applyFill="1" applyBorder="1"/>
    <xf numFmtId="43" fontId="55" fillId="27" borderId="18" xfId="323" applyNumberFormat="1" applyFont="1" applyFill="1" applyBorder="1"/>
    <xf numFmtId="0" fontId="71" fillId="27" borderId="13" xfId="579" applyFont="1" applyFill="1" applyBorder="1" applyAlignment="1">
      <alignment horizontal="center"/>
    </xf>
    <xf numFmtId="0" fontId="68" fillId="27" borderId="13" xfId="579" applyFont="1" applyFill="1" applyBorder="1"/>
    <xf numFmtId="43" fontId="57" fillId="27" borderId="0" xfId="323" applyFont="1" applyFill="1" applyBorder="1"/>
    <xf numFmtId="0" fontId="71" fillId="27" borderId="23" xfId="579" applyFont="1" applyFill="1" applyBorder="1" applyAlignment="1">
      <alignment horizontal="center"/>
    </xf>
    <xf numFmtId="0" fontId="71" fillId="27" borderId="16" xfId="579" applyFont="1" applyFill="1" applyBorder="1" applyAlignment="1">
      <alignment horizontal="center"/>
    </xf>
    <xf numFmtId="174" fontId="49" fillId="0" borderId="0" xfId="448" applyFont="1"/>
    <xf numFmtId="174" fontId="0" fillId="0" borderId="0" xfId="448" applyFont="1"/>
    <xf numFmtId="174" fontId="49"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71" fillId="27" borderId="13" xfId="448" applyFont="1" applyFill="1" applyBorder="1" applyAlignment="1">
      <alignment horizontal="center" vertical="center"/>
    </xf>
    <xf numFmtId="169" fontId="55" fillId="27" borderId="0" xfId="323" applyNumberFormat="1" applyFont="1" applyFill="1" applyBorder="1" applyAlignment="1">
      <alignment vertical="center"/>
    </xf>
    <xf numFmtId="174" fontId="71" fillId="27" borderId="23" xfId="448" applyFont="1" applyFill="1" applyBorder="1" applyAlignment="1">
      <alignment horizontal="center" vertical="center"/>
    </xf>
    <xf numFmtId="169" fontId="71" fillId="27" borderId="23" xfId="323" applyNumberFormat="1" applyFont="1" applyFill="1" applyBorder="1" applyAlignment="1">
      <alignment vertical="center"/>
    </xf>
    <xf numFmtId="174" fontId="71" fillId="27" borderId="19" xfId="448" applyFont="1" applyFill="1" applyBorder="1" applyAlignment="1">
      <alignment horizontal="left" vertical="center"/>
    </xf>
    <xf numFmtId="43" fontId="57" fillId="27" borderId="0" xfId="323" applyFont="1" applyFill="1" applyBorder="1" applyAlignment="1">
      <alignment horizontal="right"/>
    </xf>
    <xf numFmtId="43" fontId="68" fillId="27" borderId="23" xfId="323" applyNumberFormat="1" applyFont="1" applyFill="1" applyBorder="1"/>
    <xf numFmtId="0" fontId="68" fillId="27" borderId="19" xfId="579" applyFont="1" applyFill="1" applyBorder="1" applyAlignment="1">
      <alignment horizontal="left"/>
    </xf>
    <xf numFmtId="10" fontId="68" fillId="27" borderId="24" xfId="579" applyNumberFormat="1" applyFont="1" applyFill="1" applyBorder="1"/>
    <xf numFmtId="171" fontId="68" fillId="27" borderId="16" xfId="579" applyNumberFormat="1" applyFont="1" applyFill="1" applyBorder="1"/>
    <xf numFmtId="174" fontId="71" fillId="0" borderId="23" xfId="0" applyFont="1" applyFill="1" applyBorder="1" applyAlignment="1">
      <alignment horizontal="center" vertical="center" wrapText="1"/>
    </xf>
    <xf numFmtId="174" fontId="71" fillId="0" borderId="16" xfId="0" applyFont="1" applyFill="1" applyBorder="1" applyAlignment="1">
      <alignment horizontal="center" vertical="center" wrapText="1"/>
    </xf>
    <xf numFmtId="174" fontId="0" fillId="0" borderId="0" xfId="450" applyFont="1" applyBorder="1" applyAlignment="1">
      <alignment vertical="center" wrapText="1"/>
    </xf>
    <xf numFmtId="10" fontId="84" fillId="0" borderId="0" xfId="633" applyNumberFormat="1" applyFont="1" applyFill="1" applyBorder="1"/>
    <xf numFmtId="10" fontId="83" fillId="0" borderId="24" xfId="551" applyNumberFormat="1" applyFont="1" applyFill="1" applyBorder="1"/>
    <xf numFmtId="10" fontId="84" fillId="0" borderId="11" xfId="633" applyNumberFormat="1" applyFont="1" applyFill="1" applyBorder="1"/>
    <xf numFmtId="10" fontId="83" fillId="0" borderId="22" xfId="551" applyNumberFormat="1" applyFont="1" applyFill="1" applyBorder="1"/>
    <xf numFmtId="174" fontId="83" fillId="0" borderId="23" xfId="633" applyFont="1" applyFill="1" applyBorder="1" applyAlignment="1">
      <alignment horizontal="center" vertical="center" wrapText="1"/>
    </xf>
    <xf numFmtId="174" fontId="83" fillId="0" borderId="16" xfId="633" applyFont="1" applyFill="1" applyBorder="1" applyAlignment="1">
      <alignment horizontal="center" vertical="center" wrapText="1"/>
    </xf>
    <xf numFmtId="174" fontId="83" fillId="0" borderId="13" xfId="633" applyFont="1" applyFill="1" applyBorder="1" applyAlignment="1">
      <alignment horizontal="center" vertical="center"/>
    </xf>
    <xf numFmtId="17" fontId="83" fillId="0" borderId="19" xfId="633" applyNumberFormat="1" applyFont="1" applyFill="1" applyBorder="1" applyAlignment="1">
      <alignment horizontal="center"/>
    </xf>
    <xf numFmtId="17" fontId="83" fillId="0" borderId="14" xfId="633" applyNumberFormat="1" applyFont="1" applyFill="1" applyBorder="1" applyAlignment="1">
      <alignment horizontal="center"/>
    </xf>
    <xf numFmtId="43" fontId="70" fillId="0" borderId="13" xfId="0" applyNumberFormat="1" applyFont="1" applyFill="1" applyBorder="1" applyAlignment="1">
      <alignment horizontal="center" vertical="center"/>
    </xf>
    <xf numFmtId="17" fontId="71" fillId="0" borderId="13" xfId="0" applyNumberFormat="1" applyFont="1" applyFill="1" applyBorder="1" applyAlignment="1">
      <alignment horizontal="center"/>
    </xf>
    <xf numFmtId="43" fontId="55" fillId="0" borderId="0" xfId="0" applyNumberFormat="1" applyFont="1" applyFill="1" applyBorder="1" applyAlignment="1">
      <alignment horizontal="right"/>
    </xf>
    <xf numFmtId="43" fontId="55" fillId="0" borderId="0" xfId="323" applyNumberFormat="1" applyFont="1" applyFill="1" applyBorder="1" applyAlignment="1">
      <alignment horizontal="right"/>
    </xf>
    <xf numFmtId="43" fontId="70" fillId="0" borderId="24" xfId="323" applyFont="1" applyFill="1" applyBorder="1"/>
    <xf numFmtId="43" fontId="71" fillId="0" borderId="23" xfId="0" applyNumberFormat="1" applyFont="1" applyFill="1" applyBorder="1" applyAlignment="1">
      <alignment horizontal="center" vertical="center" wrapText="1"/>
    </xf>
    <xf numFmtId="43" fontId="71" fillId="0" borderId="23" xfId="323" applyNumberFormat="1" applyFont="1" applyFill="1" applyBorder="1" applyAlignment="1">
      <alignment horizontal="center" vertical="center" wrapText="1"/>
    </xf>
    <xf numFmtId="43" fontId="71" fillId="0" borderId="16" xfId="323" applyNumberFormat="1" applyFont="1" applyFill="1" applyBorder="1" applyAlignment="1">
      <alignment horizontal="center" vertical="center" wrapText="1"/>
    </xf>
    <xf numFmtId="0" fontId="71" fillId="0" borderId="19" xfId="0" applyNumberFormat="1" applyFont="1" applyFill="1" applyBorder="1" applyAlignment="1">
      <alignment horizontal="center"/>
    </xf>
    <xf numFmtId="43" fontId="70" fillId="0" borderId="23" xfId="0" applyNumberFormat="1" applyFont="1" applyFill="1" applyBorder="1" applyAlignment="1">
      <alignment horizontal="right"/>
    </xf>
    <xf numFmtId="10" fontId="70" fillId="0" borderId="23" xfId="0" applyNumberFormat="1" applyFont="1" applyFill="1" applyBorder="1"/>
    <xf numFmtId="43" fontId="70" fillId="0" borderId="16" xfId="323" applyFont="1" applyFill="1" applyBorder="1"/>
    <xf numFmtId="10" fontId="71" fillId="0" borderId="0" xfId="0" applyNumberFormat="1" applyFont="1" applyFill="1" applyBorder="1"/>
    <xf numFmtId="43" fontId="55" fillId="27" borderId="0" xfId="0" applyNumberFormat="1" applyFont="1" applyFill="1" applyBorder="1" applyAlignment="1">
      <alignment horizontal="right"/>
    </xf>
    <xf numFmtId="43" fontId="55" fillId="27" borderId="0" xfId="323" applyNumberFormat="1" applyFont="1" applyFill="1" applyBorder="1" applyAlignment="1">
      <alignment horizontal="right"/>
    </xf>
    <xf numFmtId="10" fontId="71" fillId="27" borderId="0" xfId="0" applyNumberFormat="1" applyFont="1" applyFill="1" applyBorder="1" applyAlignment="1">
      <alignment horizontal="right"/>
    </xf>
    <xf numFmtId="43" fontId="71" fillId="27" borderId="23" xfId="323" applyNumberFormat="1" applyFont="1" applyFill="1" applyBorder="1" applyAlignment="1">
      <alignment horizontal="center" vertical="center" wrapText="1"/>
    </xf>
    <xf numFmtId="43" fontId="71" fillId="27" borderId="23" xfId="0" applyNumberFormat="1" applyFont="1" applyFill="1" applyBorder="1" applyAlignment="1">
      <alignment horizontal="right" vertical="center"/>
    </xf>
    <xf numFmtId="10" fontId="71" fillId="27" borderId="23" xfId="0" applyNumberFormat="1" applyFont="1" applyFill="1" applyBorder="1" applyAlignment="1">
      <alignment vertical="center"/>
    </xf>
    <xf numFmtId="43" fontId="71" fillId="27" borderId="23" xfId="323" applyNumberFormat="1" applyFont="1" applyFill="1" applyBorder="1" applyAlignment="1">
      <alignment horizontal="right" vertical="center"/>
    </xf>
    <xf numFmtId="174" fontId="68" fillId="27" borderId="13" xfId="0" applyNumberFormat="1" applyFont="1" applyFill="1" applyBorder="1" applyAlignment="1">
      <alignment horizontal="center" vertical="center"/>
    </xf>
    <xf numFmtId="43" fontId="71" fillId="27" borderId="13" xfId="323" applyNumberFormat="1" applyFont="1" applyFill="1" applyBorder="1" applyAlignment="1">
      <alignment horizontal="center" vertical="center" wrapText="1"/>
    </xf>
    <xf numFmtId="43" fontId="71" fillId="27" borderId="19" xfId="0" applyNumberFormat="1" applyFont="1" applyFill="1" applyBorder="1" applyAlignment="1">
      <alignment vertical="center"/>
    </xf>
    <xf numFmtId="41" fontId="82" fillId="27" borderId="0" xfId="0" applyNumberFormat="1" applyFont="1" applyFill="1" applyBorder="1" applyAlignment="1">
      <alignment horizontal="center" vertical="center"/>
    </xf>
    <xf numFmtId="0" fontId="64" fillId="27" borderId="23" xfId="0" applyNumberFormat="1" applyFont="1" applyFill="1" applyBorder="1" applyAlignment="1">
      <alignment horizontal="center" vertical="center"/>
    </xf>
    <xf numFmtId="41" fontId="64" fillId="27" borderId="23" xfId="0" applyNumberFormat="1" applyFont="1" applyFill="1" applyBorder="1" applyAlignment="1">
      <alignment horizontal="center" vertical="center"/>
    </xf>
    <xf numFmtId="41" fontId="64" fillId="27" borderId="13" xfId="0" applyNumberFormat="1" applyFont="1" applyFill="1" applyBorder="1" applyAlignment="1">
      <alignment horizontal="center" vertical="center"/>
    </xf>
    <xf numFmtId="41" fontId="64" fillId="27" borderId="19" xfId="0" applyNumberFormat="1" applyFont="1" applyFill="1" applyBorder="1" applyAlignment="1">
      <alignment horizontal="center" vertical="center"/>
    </xf>
    <xf numFmtId="0" fontId="64" fillId="27" borderId="13" xfId="0" applyNumberFormat="1" applyFont="1" applyFill="1" applyBorder="1" applyAlignment="1">
      <alignment horizontal="center" vertical="center"/>
    </xf>
    <xf numFmtId="174" fontId="64" fillId="27" borderId="19" xfId="0" applyFont="1" applyFill="1" applyBorder="1" applyAlignment="1">
      <alignment vertical="center"/>
    </xf>
    <xf numFmtId="0" fontId="83" fillId="27" borderId="13" xfId="0" applyNumberFormat="1" applyFont="1" applyFill="1" applyBorder="1" applyAlignment="1">
      <alignment horizontal="center" vertical="center"/>
    </xf>
    <xf numFmtId="181" fontId="83" fillId="27" borderId="13" xfId="0" applyNumberFormat="1" applyFont="1" applyFill="1" applyBorder="1" applyAlignment="1">
      <alignment horizontal="center" vertical="center"/>
    </xf>
    <xf numFmtId="181" fontId="84" fillId="27" borderId="0" xfId="0" applyNumberFormat="1" applyFont="1" applyFill="1" applyBorder="1" applyAlignment="1">
      <alignment horizontal="center" vertical="center"/>
    </xf>
    <xf numFmtId="0" fontId="83" fillId="27" borderId="23" xfId="0" applyNumberFormat="1" applyFont="1" applyFill="1" applyBorder="1" applyAlignment="1">
      <alignment horizontal="center" vertical="center"/>
    </xf>
    <xf numFmtId="181" fontId="83" fillId="27" borderId="23" xfId="0" applyNumberFormat="1" applyFont="1" applyFill="1" applyBorder="1" applyAlignment="1">
      <alignment horizontal="center" vertical="center"/>
    </xf>
    <xf numFmtId="174" fontId="83" fillId="27" borderId="19" xfId="0" applyFont="1" applyFill="1" applyBorder="1" applyAlignment="1">
      <alignment vertical="center"/>
    </xf>
    <xf numFmtId="181" fontId="83" fillId="27" borderId="19" xfId="0" applyNumberFormat="1" applyFont="1" applyFill="1" applyBorder="1" applyAlignment="1">
      <alignment horizontal="center" vertical="center"/>
    </xf>
    <xf numFmtId="43" fontId="84" fillId="27" borderId="0" xfId="607" applyFont="1" applyFill="1" applyBorder="1" applyAlignment="1">
      <alignment horizontal="right"/>
    </xf>
    <xf numFmtId="174" fontId="83" fillId="27" borderId="13" xfId="0" applyFont="1" applyFill="1" applyBorder="1" applyAlignment="1">
      <alignment horizontal="center" vertical="center" wrapText="1"/>
    </xf>
    <xf numFmtId="174" fontId="83" fillId="27" borderId="19" xfId="0" applyFont="1" applyFill="1" applyBorder="1" applyAlignment="1">
      <alignment horizontal="left" vertical="center" wrapText="1"/>
    </xf>
    <xf numFmtId="43" fontId="83" fillId="27" borderId="19" xfId="607" applyFont="1" applyFill="1" applyBorder="1" applyAlignment="1">
      <alignment horizontal="right"/>
    </xf>
    <xf numFmtId="174" fontId="83" fillId="27" borderId="12" xfId="0" applyFont="1" applyFill="1" applyBorder="1" applyAlignment="1">
      <alignment horizontal="left" vertical="center" wrapText="1"/>
    </xf>
    <xf numFmtId="174" fontId="0" fillId="0" borderId="12" xfId="0" applyBorder="1"/>
    <xf numFmtId="3" fontId="55" fillId="27" borderId="20" xfId="323" applyNumberFormat="1" applyFont="1" applyFill="1" applyBorder="1" applyAlignment="1">
      <alignment horizontal="center" vertical="center"/>
    </xf>
    <xf numFmtId="174" fontId="70" fillId="27" borderId="13" xfId="0" applyFont="1" applyFill="1" applyBorder="1" applyAlignment="1">
      <alignment horizontal="center" vertical="center"/>
    </xf>
    <xf numFmtId="174" fontId="71" fillId="27" borderId="13" xfId="0" applyFont="1" applyFill="1" applyBorder="1" applyAlignment="1">
      <alignment horizontal="center" vertical="center"/>
    </xf>
    <xf numFmtId="49" fontId="71" fillId="27" borderId="13" xfId="0" applyNumberFormat="1" applyFont="1" applyFill="1" applyBorder="1" applyAlignment="1">
      <alignment horizontal="center" vertical="center" wrapText="1"/>
    </xf>
    <xf numFmtId="171" fontId="71" fillId="27" borderId="13" xfId="0" applyNumberFormat="1" applyFont="1" applyFill="1" applyBorder="1" applyAlignment="1">
      <alignment vertical="center"/>
    </xf>
    <xf numFmtId="174" fontId="83" fillId="0" borderId="20" xfId="0" applyFont="1" applyFill="1" applyBorder="1" applyAlignment="1">
      <alignment horizontal="center" vertical="center" wrapText="1"/>
    </xf>
    <xf numFmtId="174" fontId="83" fillId="0" borderId="24" xfId="0" applyFont="1" applyFill="1" applyBorder="1" applyAlignment="1">
      <alignment horizontal="center" vertical="center" wrapText="1"/>
    </xf>
    <xf numFmtId="167" fontId="55" fillId="27" borderId="0" xfId="323" applyNumberFormat="1" applyFont="1" applyFill="1" applyBorder="1" applyAlignment="1">
      <alignment vertical="center"/>
    </xf>
    <xf numFmtId="49" fontId="71" fillId="27" borderId="23" xfId="0" applyNumberFormat="1" applyFont="1" applyFill="1" applyBorder="1" applyAlignment="1">
      <alignment horizontal="center" vertical="center" wrapText="1"/>
    </xf>
    <xf numFmtId="49" fontId="71" fillId="27" borderId="16" xfId="0" applyNumberFormat="1" applyFont="1" applyFill="1" applyBorder="1" applyAlignment="1">
      <alignment horizontal="center" vertical="center" wrapText="1"/>
    </xf>
    <xf numFmtId="49" fontId="71" fillId="27" borderId="19" xfId="0" applyNumberFormat="1" applyFont="1" applyFill="1" applyBorder="1" applyAlignment="1">
      <alignment horizontal="left"/>
    </xf>
    <xf numFmtId="49" fontId="71" fillId="27" borderId="19" xfId="0" applyNumberFormat="1" applyFont="1" applyFill="1" applyBorder="1" applyAlignment="1">
      <alignment horizontal="left" vertical="center"/>
    </xf>
    <xf numFmtId="167" fontId="71" fillId="27" borderId="23" xfId="0" applyNumberFormat="1" applyFont="1" applyFill="1" applyBorder="1" applyAlignment="1">
      <alignment vertical="center" wrapText="1"/>
    </xf>
    <xf numFmtId="49" fontId="71" fillId="27" borderId="15" xfId="0" applyNumberFormat="1" applyFont="1" applyFill="1" applyBorder="1" applyAlignment="1">
      <alignment horizontal="center" vertical="center" wrapText="1"/>
    </xf>
    <xf numFmtId="167" fontId="71" fillId="27" borderId="20" xfId="0" applyNumberFormat="1" applyFont="1" applyFill="1" applyBorder="1" applyAlignment="1">
      <alignment horizontal="center" wrapText="1"/>
    </xf>
    <xf numFmtId="167" fontId="71" fillId="27" borderId="15" xfId="0" applyNumberFormat="1" applyFont="1" applyFill="1" applyBorder="1" applyAlignment="1">
      <alignment vertical="center" wrapText="1"/>
    </xf>
    <xf numFmtId="171" fontId="71" fillId="27" borderId="19" xfId="0" applyNumberFormat="1" applyFont="1" applyFill="1" applyBorder="1"/>
    <xf numFmtId="171" fontId="71" fillId="27" borderId="19" xfId="0" applyNumberFormat="1" applyFont="1" applyFill="1" applyBorder="1" applyAlignment="1">
      <alignment vertical="center"/>
    </xf>
    <xf numFmtId="49" fontId="70" fillId="27" borderId="13" xfId="0" applyNumberFormat="1" applyFont="1" applyFill="1" applyBorder="1" applyAlignment="1">
      <alignment horizontal="center" wrapText="1"/>
    </xf>
    <xf numFmtId="167" fontId="63" fillId="27" borderId="0" xfId="323" applyNumberFormat="1" applyFont="1" applyFill="1" applyBorder="1"/>
    <xf numFmtId="167" fontId="70" fillId="27" borderId="0" xfId="0" applyNumberFormat="1" applyFont="1" applyFill="1" applyBorder="1" applyAlignment="1">
      <alignment horizontal="center" wrapText="1"/>
    </xf>
    <xf numFmtId="10" fontId="70" fillId="27" borderId="0" xfId="0" applyNumberFormat="1" applyFont="1" applyFill="1" applyBorder="1"/>
    <xf numFmtId="10" fontId="70" fillId="27" borderId="24" xfId="0" applyNumberFormat="1" applyFont="1" applyFill="1" applyBorder="1"/>
    <xf numFmtId="49" fontId="70" fillId="27" borderId="23" xfId="0" applyNumberFormat="1" applyFont="1" applyFill="1" applyBorder="1" applyAlignment="1">
      <alignment horizontal="center" vertical="center" wrapText="1"/>
    </xf>
    <xf numFmtId="49" fontId="70" fillId="27" borderId="16" xfId="0" applyNumberFormat="1" applyFont="1" applyFill="1" applyBorder="1" applyAlignment="1">
      <alignment horizontal="center" vertical="center" wrapText="1"/>
    </xf>
    <xf numFmtId="49" fontId="70" fillId="27" borderId="19" xfId="0" applyNumberFormat="1" applyFont="1" applyFill="1" applyBorder="1" applyAlignment="1">
      <alignment horizontal="center"/>
    </xf>
    <xf numFmtId="167" fontId="70" fillId="27" borderId="23" xfId="0" applyNumberFormat="1" applyFont="1" applyFill="1" applyBorder="1" applyAlignment="1">
      <alignment horizontal="center" wrapText="1"/>
    </xf>
    <xf numFmtId="10" fontId="70" fillId="27" borderId="23" xfId="0" applyNumberFormat="1" applyFont="1" applyFill="1" applyBorder="1"/>
    <xf numFmtId="10" fontId="70" fillId="27" borderId="16" xfId="0" applyNumberFormat="1" applyFont="1" applyFill="1" applyBorder="1"/>
    <xf numFmtId="167" fontId="71" fillId="27" borderId="0" xfId="323" applyNumberFormat="1" applyFont="1" applyFill="1" applyBorder="1"/>
    <xf numFmtId="174" fontId="71" fillId="27" borderId="23" xfId="0" applyFont="1" applyFill="1" applyBorder="1" applyAlignment="1">
      <alignment horizontal="center" vertical="center"/>
    </xf>
    <xf numFmtId="171" fontId="71" fillId="27" borderId="23" xfId="0" applyNumberFormat="1" applyFont="1" applyFill="1" applyBorder="1"/>
    <xf numFmtId="171" fontId="71" fillId="27" borderId="16" xfId="0" applyNumberFormat="1" applyFont="1" applyFill="1" applyBorder="1"/>
    <xf numFmtId="167" fontId="71" fillId="27" borderId="13" xfId="0" applyNumberFormat="1" applyFont="1" applyFill="1" applyBorder="1" applyAlignment="1">
      <alignment horizontal="right" wrapText="1"/>
    </xf>
    <xf numFmtId="49" fontId="71" fillId="27" borderId="13" xfId="0" applyNumberFormat="1" applyFont="1" applyFill="1" applyBorder="1" applyAlignment="1">
      <alignment horizontal="center" wrapText="1"/>
    </xf>
    <xf numFmtId="167" fontId="55" fillId="27" borderId="0" xfId="323" applyNumberFormat="1" applyFont="1" applyFill="1" applyBorder="1" applyAlignment="1">
      <alignment horizontal="right"/>
    </xf>
    <xf numFmtId="167" fontId="71" fillId="27" borderId="23" xfId="0" applyNumberFormat="1" applyFont="1" applyFill="1" applyBorder="1" applyAlignment="1">
      <alignment horizontal="right" wrapText="1"/>
    </xf>
    <xf numFmtId="10" fontId="71" fillId="27" borderId="23" xfId="0" applyNumberFormat="1" applyFont="1" applyFill="1" applyBorder="1" applyAlignment="1">
      <alignment horizontal="right"/>
    </xf>
    <xf numFmtId="10" fontId="71" fillId="27" borderId="16" xfId="0" applyNumberFormat="1" applyFont="1" applyFill="1" applyBorder="1" applyAlignment="1">
      <alignment horizontal="right"/>
    </xf>
    <xf numFmtId="10" fontId="71" fillId="27" borderId="24" xfId="0" applyNumberFormat="1" applyFont="1" applyFill="1" applyBorder="1" applyAlignment="1">
      <alignment horizontal="right"/>
    </xf>
    <xf numFmtId="167" fontId="71" fillId="27" borderId="19" xfId="0" applyNumberFormat="1" applyFont="1" applyFill="1" applyBorder="1" applyAlignment="1">
      <alignment horizontal="right" wrapText="1"/>
    </xf>
    <xf numFmtId="167" fontId="71" fillId="27" borderId="14" xfId="0" applyNumberFormat="1" applyFont="1" applyFill="1" applyBorder="1" applyAlignment="1">
      <alignment horizontal="right" wrapText="1"/>
    </xf>
    <xf numFmtId="49" fontId="70" fillId="27" borderId="13" xfId="0" applyNumberFormat="1" applyFont="1" applyFill="1" applyBorder="1" applyAlignment="1">
      <alignment horizontal="center" vertical="center" wrapText="1"/>
    </xf>
    <xf numFmtId="49" fontId="70" fillId="0" borderId="13" xfId="0" applyNumberFormat="1" applyFont="1" applyFill="1" applyBorder="1" applyAlignment="1">
      <alignment horizontal="center" vertical="center" wrapText="1"/>
    </xf>
    <xf numFmtId="49" fontId="54" fillId="0" borderId="20" xfId="0" applyNumberFormat="1" applyFont="1" applyFill="1" applyBorder="1" applyAlignment="1">
      <alignment horizontal="center" vertical="center" wrapText="1"/>
    </xf>
    <xf numFmtId="167" fontId="71" fillId="27" borderId="0" xfId="0" applyNumberFormat="1" applyFont="1" applyFill="1" applyBorder="1" applyAlignment="1">
      <alignment horizontal="center" vertical="center" wrapText="1"/>
    </xf>
    <xf numFmtId="10" fontId="70" fillId="27" borderId="0" xfId="0" applyNumberFormat="1" applyFont="1" applyFill="1" applyBorder="1" applyAlignment="1">
      <alignment vertical="center"/>
    </xf>
    <xf numFmtId="167" fontId="63" fillId="27" borderId="0" xfId="323" applyNumberFormat="1" applyFont="1" applyFill="1" applyBorder="1" applyAlignment="1">
      <alignment vertical="center"/>
    </xf>
    <xf numFmtId="167" fontId="70" fillId="27" borderId="0" xfId="323" applyNumberFormat="1" applyFont="1" applyFill="1" applyBorder="1" applyAlignment="1">
      <alignment vertical="center"/>
    </xf>
    <xf numFmtId="49" fontId="70" fillId="27" borderId="15" xfId="0" applyNumberFormat="1" applyFont="1" applyFill="1" applyBorder="1" applyAlignment="1">
      <alignment horizontal="center" vertical="center" wrapText="1"/>
    </xf>
    <xf numFmtId="49" fontId="70" fillId="27" borderId="19" xfId="0" applyNumberFormat="1" applyFont="1" applyFill="1" applyBorder="1" applyAlignment="1">
      <alignment horizontal="center" vertical="center" wrapText="1"/>
    </xf>
    <xf numFmtId="167" fontId="71" fillId="27" borderId="11" xfId="0" applyNumberFormat="1" applyFont="1" applyFill="1" applyBorder="1" applyAlignment="1">
      <alignment horizontal="center" vertical="center" wrapText="1"/>
    </xf>
    <xf numFmtId="10" fontId="70" fillId="27" borderId="11" xfId="0" applyNumberFormat="1" applyFont="1" applyFill="1" applyBorder="1" applyAlignment="1">
      <alignment vertical="center"/>
    </xf>
    <xf numFmtId="10" fontId="70" fillId="27" borderId="22" xfId="0" applyNumberFormat="1" applyFont="1" applyFill="1" applyBorder="1" applyAlignment="1">
      <alignment vertical="center"/>
    </xf>
    <xf numFmtId="167" fontId="55" fillId="27" borderId="20" xfId="323" applyNumberFormat="1" applyFont="1" applyFill="1" applyBorder="1" applyAlignment="1">
      <alignment vertical="center"/>
    </xf>
    <xf numFmtId="10" fontId="70" fillId="27" borderId="24" xfId="0" applyNumberFormat="1" applyFont="1" applyFill="1" applyBorder="1" applyAlignment="1">
      <alignment vertical="center"/>
    </xf>
    <xf numFmtId="167" fontId="55" fillId="27" borderId="18" xfId="323" applyNumberFormat="1" applyFont="1" applyFill="1" applyBorder="1" applyAlignment="1">
      <alignment vertical="center"/>
    </xf>
    <xf numFmtId="167" fontId="55" fillId="27" borderId="11" xfId="323" applyNumberFormat="1" applyFont="1" applyFill="1" applyBorder="1" applyAlignment="1">
      <alignment vertical="center"/>
    </xf>
    <xf numFmtId="167" fontId="63" fillId="27" borderId="11" xfId="323" applyNumberFormat="1" applyFont="1" applyFill="1" applyBorder="1" applyAlignment="1">
      <alignment vertical="center"/>
    </xf>
    <xf numFmtId="167" fontId="70" fillId="27" borderId="11" xfId="323" applyNumberFormat="1" applyFont="1" applyFill="1" applyBorder="1" applyAlignment="1">
      <alignment vertical="center"/>
    </xf>
    <xf numFmtId="167" fontId="63" fillId="0" borderId="0" xfId="323" applyNumberFormat="1" applyFont="1" applyFill="1" applyBorder="1"/>
    <xf numFmtId="167" fontId="70" fillId="0" borderId="0" xfId="323" applyNumberFormat="1" applyFont="1" applyFill="1" applyBorder="1"/>
    <xf numFmtId="167" fontId="63" fillId="0" borderId="0" xfId="323" applyNumberFormat="1" applyFont="1" applyFill="1" applyBorder="1" applyAlignment="1">
      <alignment vertical="center"/>
    </xf>
    <xf numFmtId="167" fontId="55" fillId="0" borderId="0" xfId="323" applyNumberFormat="1" applyFont="1" applyFill="1" applyBorder="1"/>
    <xf numFmtId="167" fontId="71" fillId="0" borderId="0" xfId="323" applyNumberFormat="1" applyFont="1" applyFill="1" applyBorder="1"/>
    <xf numFmtId="171" fontId="71" fillId="27" borderId="0" xfId="0" applyNumberFormat="1" applyFont="1" applyFill="1" applyBorder="1"/>
    <xf numFmtId="167" fontId="71" fillId="27" borderId="0" xfId="323" applyNumberFormat="1" applyFont="1" applyFill="1" applyBorder="1" applyAlignment="1">
      <alignment vertical="center"/>
    </xf>
    <xf numFmtId="171" fontId="71" fillId="27" borderId="0" xfId="0" applyNumberFormat="1" applyFont="1" applyFill="1" applyBorder="1" applyAlignment="1">
      <alignment vertical="center"/>
    </xf>
    <xf numFmtId="167" fontId="71" fillId="27" borderId="23" xfId="323" applyNumberFormat="1" applyFont="1" applyFill="1" applyBorder="1" applyAlignment="1">
      <alignment vertical="center"/>
    </xf>
    <xf numFmtId="171" fontId="71" fillId="27" borderId="24" xfId="0" applyNumberFormat="1" applyFont="1" applyFill="1" applyBorder="1"/>
    <xf numFmtId="171" fontId="71" fillId="27" borderId="12" xfId="0" applyNumberFormat="1" applyFont="1" applyFill="1" applyBorder="1"/>
    <xf numFmtId="167" fontId="55" fillId="27" borderId="12" xfId="323" applyNumberFormat="1" applyFont="1" applyFill="1" applyBorder="1"/>
    <xf numFmtId="171" fontId="71" fillId="27" borderId="25" xfId="0" applyNumberFormat="1" applyFont="1" applyFill="1" applyBorder="1"/>
    <xf numFmtId="171" fontId="71" fillId="27" borderId="11" xfId="0" applyNumberFormat="1" applyFont="1" applyFill="1" applyBorder="1" applyAlignment="1">
      <alignment vertical="center"/>
    </xf>
    <xf numFmtId="171" fontId="71" fillId="27" borderId="11" xfId="0" applyNumberFormat="1" applyFont="1" applyFill="1" applyBorder="1"/>
    <xf numFmtId="171" fontId="71" fillId="27" borderId="22" xfId="0" applyNumberFormat="1" applyFont="1" applyFill="1" applyBorder="1"/>
    <xf numFmtId="174" fontId="71" fillId="27" borderId="15" xfId="0" applyFont="1" applyFill="1" applyBorder="1" applyAlignment="1">
      <alignment horizontal="center" vertical="center" wrapText="1"/>
    </xf>
    <xf numFmtId="167" fontId="55" fillId="27" borderId="21" xfId="323" applyNumberFormat="1" applyFont="1" applyFill="1" applyBorder="1"/>
    <xf numFmtId="167" fontId="71" fillId="27" borderId="12" xfId="323" applyNumberFormat="1" applyFont="1" applyFill="1" applyBorder="1"/>
    <xf numFmtId="167" fontId="55" fillId="27" borderId="20" xfId="323" applyNumberFormat="1" applyFont="1" applyFill="1" applyBorder="1"/>
    <xf numFmtId="167" fontId="71" fillId="27" borderId="11" xfId="323" applyNumberFormat="1" applyFont="1" applyFill="1" applyBorder="1"/>
    <xf numFmtId="174" fontId="71" fillId="27" borderId="15" xfId="0" applyFont="1" applyFill="1" applyBorder="1" applyAlignment="1">
      <alignment horizontal="center" vertical="center"/>
    </xf>
    <xf numFmtId="167" fontId="71" fillId="27" borderId="15" xfId="323" applyNumberFormat="1" applyFont="1" applyFill="1" applyBorder="1" applyAlignment="1">
      <alignment vertical="center"/>
    </xf>
    <xf numFmtId="167" fontId="71" fillId="27" borderId="16" xfId="323" applyNumberFormat="1" applyFont="1" applyFill="1" applyBorder="1" applyAlignment="1">
      <alignment vertical="center"/>
    </xf>
    <xf numFmtId="167" fontId="71" fillId="27" borderId="0" xfId="0" applyNumberFormat="1" applyFont="1" applyFill="1" applyBorder="1" applyAlignment="1">
      <alignment horizontal="center" wrapText="1"/>
    </xf>
    <xf numFmtId="167" fontId="71" fillId="27" borderId="23" xfId="0" applyNumberFormat="1" applyFont="1" applyFill="1" applyBorder="1" applyAlignment="1">
      <alignment horizontal="center" wrapText="1"/>
    </xf>
    <xf numFmtId="167" fontId="71" fillId="27" borderId="11" xfId="0" applyNumberFormat="1" applyFont="1" applyFill="1" applyBorder="1" applyAlignment="1">
      <alignment horizontal="center" wrapText="1"/>
    </xf>
    <xf numFmtId="167" fontId="71" fillId="27" borderId="12" xfId="0" applyNumberFormat="1" applyFont="1" applyFill="1" applyBorder="1" applyAlignment="1">
      <alignment horizontal="center" wrapText="1"/>
    </xf>
    <xf numFmtId="167" fontId="55" fillId="27" borderId="18" xfId="323" applyNumberFormat="1" applyFont="1" applyFill="1" applyBorder="1"/>
    <xf numFmtId="167" fontId="55" fillId="27" borderId="11" xfId="323" applyNumberFormat="1" applyFont="1" applyFill="1" applyBorder="1"/>
    <xf numFmtId="10" fontId="71" fillId="27" borderId="12" xfId="0" applyNumberFormat="1" applyFont="1" applyFill="1" applyBorder="1"/>
    <xf numFmtId="10" fontId="71" fillId="27" borderId="25" xfId="0" applyNumberFormat="1" applyFont="1" applyFill="1" applyBorder="1"/>
    <xf numFmtId="10" fontId="71" fillId="27" borderId="0" xfId="0" applyNumberFormat="1" applyFont="1" applyFill="1" applyBorder="1"/>
    <xf numFmtId="10" fontId="71" fillId="27" borderId="11" xfId="0" applyNumberFormat="1" applyFont="1" applyFill="1" applyBorder="1"/>
    <xf numFmtId="10" fontId="71" fillId="27" borderId="22" xfId="0" applyNumberFormat="1" applyFont="1" applyFill="1" applyBorder="1"/>
    <xf numFmtId="167" fontId="63" fillId="27" borderId="0" xfId="323" applyNumberFormat="1" applyFont="1" applyFill="1" applyBorder="1" applyAlignment="1">
      <alignment horizontal="right"/>
    </xf>
    <xf numFmtId="49" fontId="53" fillId="27" borderId="23" xfId="0" applyNumberFormat="1" applyFont="1" applyFill="1" applyBorder="1" applyAlignment="1">
      <alignment horizontal="center" vertical="center" wrapText="1"/>
    </xf>
    <xf numFmtId="49" fontId="53" fillId="27" borderId="16" xfId="0" applyNumberFormat="1" applyFont="1" applyFill="1" applyBorder="1" applyAlignment="1">
      <alignment horizontal="center" vertical="center" wrapText="1"/>
    </xf>
    <xf numFmtId="49" fontId="53" fillId="27" borderId="13" xfId="0" applyNumberFormat="1" applyFont="1" applyFill="1" applyBorder="1" applyAlignment="1">
      <alignment horizontal="center" vertical="center"/>
    </xf>
    <xf numFmtId="49" fontId="53" fillId="27" borderId="19" xfId="0" applyNumberFormat="1" applyFont="1" applyFill="1" applyBorder="1" applyAlignment="1">
      <alignment horizontal="center" vertical="center"/>
    </xf>
    <xf numFmtId="171" fontId="70" fillId="27" borderId="24" xfId="0" applyNumberFormat="1" applyFont="1" applyFill="1" applyBorder="1"/>
    <xf numFmtId="171" fontId="70" fillId="27" borderId="16" xfId="0" applyNumberFormat="1" applyFont="1" applyFill="1" applyBorder="1"/>
    <xf numFmtId="10" fontId="71" fillId="27" borderId="0" xfId="0" applyNumberFormat="1" applyFont="1" applyFill="1" applyBorder="1" applyAlignment="1">
      <alignment vertical="center"/>
    </xf>
    <xf numFmtId="10" fontId="71" fillId="27" borderId="16" xfId="0" applyNumberFormat="1" applyFont="1" applyFill="1" applyBorder="1" applyAlignment="1">
      <alignment vertical="center"/>
    </xf>
    <xf numFmtId="167" fontId="55" fillId="27" borderId="20" xfId="323" applyNumberFormat="1" applyFont="1" applyFill="1" applyBorder="1" applyAlignment="1">
      <alignment horizontal="right"/>
    </xf>
    <xf numFmtId="10" fontId="71" fillId="27" borderId="24" xfId="0" applyNumberFormat="1" applyFont="1" applyFill="1" applyBorder="1" applyAlignment="1">
      <alignment vertical="center"/>
    </xf>
    <xf numFmtId="167" fontId="71" fillId="27" borderId="15" xfId="0" applyNumberFormat="1" applyFont="1" applyFill="1" applyBorder="1" applyAlignment="1">
      <alignment horizontal="center" wrapText="1"/>
    </xf>
    <xf numFmtId="167" fontId="70" fillId="27" borderId="0" xfId="0" applyNumberFormat="1" applyFont="1" applyFill="1" applyBorder="1" applyAlignment="1">
      <alignment horizontal="right" wrapText="1"/>
    </xf>
    <xf numFmtId="10" fontId="53" fillId="27" borderId="0" xfId="0" applyNumberFormat="1" applyFont="1" applyFill="1" applyBorder="1" applyAlignment="1">
      <alignment horizontal="right"/>
    </xf>
    <xf numFmtId="167" fontId="70" fillId="27" borderId="23" xfId="0" applyNumberFormat="1" applyFont="1" applyFill="1" applyBorder="1" applyAlignment="1">
      <alignment horizontal="right" wrapText="1"/>
    </xf>
    <xf numFmtId="10" fontId="53" fillId="27" borderId="23" xfId="0" applyNumberFormat="1" applyFont="1" applyFill="1" applyBorder="1" applyAlignment="1">
      <alignment horizontal="right"/>
    </xf>
    <xf numFmtId="10" fontId="53" fillId="27" borderId="16" xfId="0" applyNumberFormat="1" applyFont="1" applyFill="1" applyBorder="1" applyAlignment="1">
      <alignment horizontal="right"/>
    </xf>
    <xf numFmtId="10" fontId="53" fillId="27" borderId="24" xfId="0" applyNumberFormat="1" applyFont="1" applyFill="1" applyBorder="1" applyAlignment="1">
      <alignment horizontal="right"/>
    </xf>
    <xf numFmtId="167" fontId="70" fillId="0" borderId="0" xfId="0" applyNumberFormat="1" applyFont="1" applyFill="1" applyBorder="1" applyAlignment="1">
      <alignment horizontal="center" vertical="center" wrapText="1"/>
    </xf>
    <xf numFmtId="171" fontId="63" fillId="0" borderId="0" xfId="0" applyNumberFormat="1" applyFont="1" applyFill="1" applyBorder="1" applyAlignment="1">
      <alignment vertical="center"/>
    </xf>
    <xf numFmtId="49" fontId="70" fillId="0" borderId="23" xfId="0" applyNumberFormat="1" applyFont="1" applyFill="1" applyBorder="1" applyAlignment="1">
      <alignment horizontal="center" vertical="center" wrapText="1"/>
    </xf>
    <xf numFmtId="49" fontId="70" fillId="0" borderId="16" xfId="0" applyNumberFormat="1" applyFont="1" applyFill="1" applyBorder="1" applyAlignment="1">
      <alignment horizontal="center" vertical="center" wrapText="1"/>
    </xf>
    <xf numFmtId="174" fontId="70" fillId="0" borderId="13" xfId="0" applyFont="1" applyFill="1" applyBorder="1" applyAlignment="1">
      <alignment horizontal="center" vertical="center"/>
    </xf>
    <xf numFmtId="49" fontId="70" fillId="0" borderId="19" xfId="0" applyNumberFormat="1" applyFont="1" applyFill="1" applyBorder="1" applyAlignment="1">
      <alignment horizontal="center" vertical="center"/>
    </xf>
    <xf numFmtId="171" fontId="63" fillId="0" borderId="24" xfId="0" applyNumberFormat="1" applyFont="1" applyFill="1" applyBorder="1" applyAlignment="1">
      <alignment vertical="center"/>
    </xf>
    <xf numFmtId="167" fontId="70" fillId="0" borderId="23" xfId="0" applyNumberFormat="1" applyFont="1" applyFill="1" applyBorder="1" applyAlignment="1">
      <alignment horizontal="center" vertical="center" wrapText="1"/>
    </xf>
    <xf numFmtId="171" fontId="70" fillId="0" borderId="23" xfId="0" applyNumberFormat="1" applyFont="1" applyFill="1" applyBorder="1" applyAlignment="1">
      <alignment vertical="center"/>
    </xf>
    <xf numFmtId="171" fontId="70" fillId="0" borderId="16" xfId="0" applyNumberFormat="1" applyFont="1" applyFill="1" applyBorder="1" applyAlignment="1">
      <alignment vertical="center"/>
    </xf>
    <xf numFmtId="174" fontId="71" fillId="0" borderId="13" xfId="0" applyFont="1" applyFill="1" applyBorder="1" applyAlignment="1">
      <alignment horizontal="center" vertical="center"/>
    </xf>
    <xf numFmtId="49" fontId="71" fillId="0" borderId="19" xfId="0" applyNumberFormat="1" applyFont="1" applyFill="1" applyBorder="1" applyAlignment="1">
      <alignment horizontal="center"/>
    </xf>
    <xf numFmtId="167" fontId="71" fillId="0" borderId="23" xfId="323" applyNumberFormat="1" applyFont="1" applyFill="1" applyBorder="1" applyAlignment="1">
      <alignment vertical="center"/>
    </xf>
    <xf numFmtId="10" fontId="68" fillId="0" borderId="23" xfId="0" applyNumberFormat="1" applyFont="1" applyFill="1" applyBorder="1" applyAlignment="1">
      <alignment vertical="center"/>
    </xf>
    <xf numFmtId="10" fontId="68" fillId="0" borderId="16" xfId="0" applyNumberFormat="1" applyFont="1" applyFill="1" applyBorder="1" applyAlignment="1">
      <alignment vertical="center"/>
    </xf>
    <xf numFmtId="10" fontId="68" fillId="0" borderId="0" xfId="0" applyNumberFormat="1" applyFont="1" applyFill="1" applyBorder="1"/>
    <xf numFmtId="10" fontId="68" fillId="0" borderId="24" xfId="0" applyNumberFormat="1" applyFont="1" applyFill="1" applyBorder="1"/>
    <xf numFmtId="174" fontId="70" fillId="0" borderId="13" xfId="0" applyFont="1" applyFill="1" applyBorder="1"/>
    <xf numFmtId="171" fontId="70" fillId="0" borderId="0" xfId="0" applyNumberFormat="1" applyFont="1" applyFill="1" applyBorder="1"/>
    <xf numFmtId="171" fontId="70" fillId="0" borderId="24" xfId="0" applyNumberFormat="1" applyFont="1" applyFill="1" applyBorder="1"/>
    <xf numFmtId="174" fontId="70" fillId="0" borderId="23" xfId="0" applyFont="1" applyFill="1" applyBorder="1" applyAlignment="1">
      <alignment horizontal="center" vertical="center" wrapText="1"/>
    </xf>
    <xf numFmtId="174" fontId="70" fillId="0" borderId="23" xfId="0" applyFont="1" applyFill="1" applyBorder="1" applyAlignment="1">
      <alignment horizontal="center" vertical="center"/>
    </xf>
    <xf numFmtId="174" fontId="70" fillId="0" borderId="16" xfId="0" applyFont="1" applyFill="1" applyBorder="1" applyAlignment="1">
      <alignment horizontal="center" vertical="center" wrapText="1"/>
    </xf>
    <xf numFmtId="49" fontId="70" fillId="0" borderId="19" xfId="0" applyNumberFormat="1" applyFont="1" applyFill="1" applyBorder="1" applyAlignment="1">
      <alignment horizontal="center"/>
    </xf>
    <xf numFmtId="0" fontId="70" fillId="0" borderId="19" xfId="0" applyNumberFormat="1" applyFont="1" applyFill="1" applyBorder="1" applyAlignment="1">
      <alignment horizontal="center"/>
    </xf>
    <xf numFmtId="167" fontId="70" fillId="0" borderId="23" xfId="323" applyNumberFormat="1" applyFont="1" applyFill="1" applyBorder="1"/>
    <xf numFmtId="171" fontId="70" fillId="0" borderId="23" xfId="0" applyNumberFormat="1" applyFont="1" applyFill="1" applyBorder="1"/>
    <xf numFmtId="171" fontId="70" fillId="0" borderId="16" xfId="0" applyNumberFormat="1" applyFont="1" applyFill="1" applyBorder="1"/>
    <xf numFmtId="167" fontId="70" fillId="27" borderId="0" xfId="323" applyNumberFormat="1" applyFont="1" applyFill="1" applyBorder="1"/>
    <xf numFmtId="10" fontId="70" fillId="27" borderId="0" xfId="323" applyNumberFormat="1" applyFont="1" applyFill="1" applyBorder="1"/>
    <xf numFmtId="10" fontId="70" fillId="27" borderId="24" xfId="323" applyNumberFormat="1" applyFont="1" applyFill="1" applyBorder="1"/>
    <xf numFmtId="167" fontId="70" fillId="27" borderId="0" xfId="323" applyNumberFormat="1" applyFont="1" applyFill="1" applyBorder="1" applyAlignment="1">
      <alignment horizontal="right"/>
    </xf>
    <xf numFmtId="171" fontId="70" fillId="27" borderId="0" xfId="323" applyNumberFormat="1" applyFont="1" applyFill="1" applyBorder="1" applyAlignment="1">
      <alignment horizontal="right"/>
    </xf>
    <xf numFmtId="167" fontId="71" fillId="27" borderId="0" xfId="323" applyNumberFormat="1" applyFont="1" applyFill="1" applyBorder="1" applyAlignment="1">
      <alignment horizontal="right"/>
    </xf>
    <xf numFmtId="49" fontId="70" fillId="27" borderId="13" xfId="0" applyNumberFormat="1" applyFont="1" applyFill="1" applyBorder="1" applyAlignment="1">
      <alignment horizontal="center" vertical="center"/>
    </xf>
    <xf numFmtId="171" fontId="70" fillId="27" borderId="23" xfId="0" applyNumberFormat="1" applyFont="1" applyFill="1" applyBorder="1"/>
    <xf numFmtId="49" fontId="70" fillId="0" borderId="20" xfId="0" applyNumberFormat="1" applyFont="1" applyFill="1" applyBorder="1" applyAlignment="1">
      <alignment horizontal="center" vertical="center" wrapText="1"/>
    </xf>
    <xf numFmtId="49" fontId="70" fillId="0" borderId="24" xfId="0" applyNumberFormat="1" applyFont="1" applyFill="1" applyBorder="1" applyAlignment="1">
      <alignment horizontal="center" vertical="center" wrapText="1"/>
    </xf>
    <xf numFmtId="174" fontId="81" fillId="27" borderId="0" xfId="0" applyFont="1" applyFill="1" applyBorder="1" applyAlignment="1">
      <alignment horizontal="center" vertical="center"/>
    </xf>
    <xf numFmtId="174" fontId="81" fillId="27" borderId="0" xfId="0" applyFont="1" applyFill="1" applyBorder="1"/>
    <xf numFmtId="49" fontId="70" fillId="27" borderId="23" xfId="0" applyNumberFormat="1" applyFont="1" applyFill="1" applyBorder="1" applyAlignment="1">
      <alignment horizontal="center" wrapText="1"/>
    </xf>
    <xf numFmtId="49" fontId="70" fillId="27" borderId="14" xfId="0" applyNumberFormat="1" applyFont="1" applyFill="1" applyBorder="1" applyAlignment="1">
      <alignment horizontal="center"/>
    </xf>
    <xf numFmtId="10" fontId="70" fillId="27" borderId="16" xfId="0" applyNumberFormat="1" applyFont="1" applyFill="1" applyBorder="1" applyAlignment="1">
      <alignment horizontal="center" wrapText="1"/>
    </xf>
    <xf numFmtId="49" fontId="70" fillId="27" borderId="17" xfId="0" applyNumberFormat="1" applyFont="1" applyFill="1" applyBorder="1" applyAlignment="1">
      <alignment horizontal="center"/>
    </xf>
    <xf numFmtId="0" fontId="63" fillId="27" borderId="0" xfId="323" applyNumberFormat="1" applyFont="1" applyFill="1" applyBorder="1" applyAlignment="1">
      <alignment vertical="center"/>
    </xf>
    <xf numFmtId="167" fontId="70" fillId="27" borderId="0" xfId="0" applyNumberFormat="1" applyFont="1" applyFill="1" applyBorder="1" applyAlignment="1">
      <alignment horizontal="center" vertical="center" wrapText="1"/>
    </xf>
    <xf numFmtId="49" fontId="70" fillId="27" borderId="19" xfId="0" applyNumberFormat="1" applyFont="1" applyFill="1" applyBorder="1" applyAlignment="1">
      <alignment horizontal="center" vertical="center"/>
    </xf>
    <xf numFmtId="171" fontId="70" fillId="27" borderId="23" xfId="0" applyNumberFormat="1" applyFont="1" applyFill="1" applyBorder="1" applyAlignment="1">
      <alignment horizontal="center" wrapText="1"/>
    </xf>
    <xf numFmtId="171" fontId="70" fillId="27" borderId="16" xfId="0" applyNumberFormat="1" applyFont="1" applyFill="1" applyBorder="1" applyAlignment="1">
      <alignment horizontal="right" wrapText="1"/>
    </xf>
    <xf numFmtId="171" fontId="70" fillId="27" borderId="0" xfId="0" applyNumberFormat="1" applyFont="1" applyFill="1" applyBorder="1" applyAlignment="1">
      <alignment vertical="center"/>
    </xf>
    <xf numFmtId="171" fontId="70" fillId="27" borderId="24" xfId="0" applyNumberFormat="1" applyFont="1" applyFill="1" applyBorder="1" applyAlignment="1">
      <alignment vertical="center"/>
    </xf>
    <xf numFmtId="49" fontId="70" fillId="0" borderId="13" xfId="0" applyNumberFormat="1" applyFont="1" applyFill="1" applyBorder="1" applyAlignment="1">
      <alignment horizontal="center" vertical="center"/>
    </xf>
    <xf numFmtId="0" fontId="63" fillId="0" borderId="0" xfId="323" applyNumberFormat="1" applyFont="1" applyFill="1" applyBorder="1"/>
    <xf numFmtId="167" fontId="70" fillId="0" borderId="0" xfId="0" applyNumberFormat="1" applyFont="1" applyFill="1" applyBorder="1" applyAlignment="1">
      <alignment horizontal="center" wrapText="1"/>
    </xf>
    <xf numFmtId="49" fontId="70" fillId="0" borderId="15" xfId="0" applyNumberFormat="1" applyFont="1" applyFill="1" applyBorder="1" applyAlignment="1">
      <alignment horizontal="center" wrapText="1"/>
    </xf>
    <xf numFmtId="167" fontId="70" fillId="0" borderId="23" xfId="0" applyNumberFormat="1" applyFont="1" applyFill="1" applyBorder="1" applyAlignment="1">
      <alignment horizontal="center" wrapText="1"/>
    </xf>
    <xf numFmtId="171" fontId="70" fillId="0" borderId="23" xfId="0" applyNumberFormat="1" applyFont="1" applyFill="1" applyBorder="1" applyAlignment="1">
      <alignment horizontal="center" wrapText="1"/>
    </xf>
    <xf numFmtId="171" fontId="70" fillId="0" borderId="16" xfId="0" applyNumberFormat="1" applyFont="1" applyFill="1" applyBorder="1" applyAlignment="1">
      <alignment horizontal="center" wrapText="1"/>
    </xf>
    <xf numFmtId="49" fontId="71" fillId="0" borderId="14" xfId="0" applyNumberFormat="1" applyFont="1" applyFill="1" applyBorder="1" applyAlignment="1">
      <alignment horizontal="center"/>
    </xf>
    <xf numFmtId="167" fontId="70" fillId="27" borderId="23" xfId="0" applyNumberFormat="1" applyFont="1" applyFill="1" applyBorder="1" applyAlignment="1">
      <alignment horizontal="center" vertical="center" wrapText="1"/>
    </xf>
    <xf numFmtId="167" fontId="71" fillId="27" borderId="23" xfId="0" applyNumberFormat="1" applyFont="1" applyFill="1" applyBorder="1" applyAlignment="1">
      <alignment horizontal="center" vertical="center" wrapText="1"/>
    </xf>
    <xf numFmtId="10" fontId="70" fillId="27" borderId="23" xfId="0" applyNumberFormat="1" applyFont="1" applyFill="1" applyBorder="1" applyAlignment="1">
      <alignment vertical="center"/>
    </xf>
    <xf numFmtId="10" fontId="70" fillId="27" borderId="16" xfId="0" applyNumberFormat="1" applyFont="1" applyFill="1" applyBorder="1" applyAlignment="1">
      <alignment vertical="center"/>
    </xf>
    <xf numFmtId="10" fontId="70" fillId="27" borderId="0" xfId="323" applyNumberFormat="1" applyFont="1" applyFill="1" applyBorder="1" applyAlignment="1">
      <alignment horizontal="right" vertical="center"/>
    </xf>
    <xf numFmtId="10" fontId="70" fillId="27" borderId="24" xfId="323" applyNumberFormat="1" applyFont="1" applyFill="1" applyBorder="1" applyAlignment="1">
      <alignment horizontal="right" vertical="center"/>
    </xf>
    <xf numFmtId="167" fontId="70" fillId="27" borderId="0" xfId="323" applyNumberFormat="1" applyFont="1" applyFill="1" applyBorder="1" applyAlignment="1">
      <alignment horizontal="right" vertical="center"/>
    </xf>
    <xf numFmtId="167" fontId="71" fillId="27" borderId="0" xfId="323" applyNumberFormat="1" applyFont="1" applyFill="1" applyBorder="1" applyAlignment="1">
      <alignment horizontal="right" vertical="center"/>
    </xf>
    <xf numFmtId="10" fontId="70" fillId="27" borderId="0" xfId="323" applyNumberFormat="1" applyFont="1" applyFill="1" applyBorder="1" applyAlignment="1">
      <alignment horizontal="right"/>
    </xf>
    <xf numFmtId="10" fontId="70" fillId="27" borderId="24" xfId="323" applyNumberFormat="1" applyFont="1" applyFill="1" applyBorder="1" applyAlignment="1">
      <alignment horizontal="right"/>
    </xf>
    <xf numFmtId="10" fontId="68" fillId="27" borderId="24" xfId="0" applyNumberFormat="1" applyFont="1" applyFill="1" applyBorder="1" applyAlignment="1">
      <alignment vertical="center"/>
    </xf>
    <xf numFmtId="10" fontId="68" fillId="27" borderId="16" xfId="0" applyNumberFormat="1" applyFont="1" applyFill="1" applyBorder="1" applyAlignment="1">
      <alignment vertical="center"/>
    </xf>
    <xf numFmtId="167" fontId="71" fillId="27" borderId="19" xfId="0" applyNumberFormat="1" applyFont="1" applyFill="1" applyBorder="1" applyAlignment="1">
      <alignment horizontal="left" vertical="center" wrapText="1"/>
    </xf>
    <xf numFmtId="174" fontId="54" fillId="27" borderId="13" xfId="0" applyFont="1" applyFill="1" applyBorder="1" applyAlignment="1">
      <alignment horizontal="center" vertical="center"/>
    </xf>
    <xf numFmtId="49" fontId="54" fillId="27" borderId="13" xfId="0" applyNumberFormat="1" applyFont="1" applyFill="1" applyBorder="1" applyAlignment="1">
      <alignment horizontal="center" wrapText="1"/>
    </xf>
    <xf numFmtId="10" fontId="53" fillId="27" borderId="24" xfId="0" applyNumberFormat="1" applyFont="1" applyFill="1" applyBorder="1"/>
    <xf numFmtId="10" fontId="53" fillId="27" borderId="16" xfId="0" applyNumberFormat="1" applyFont="1" applyFill="1" applyBorder="1"/>
    <xf numFmtId="174" fontId="54" fillId="27" borderId="19" xfId="0" applyFont="1" applyFill="1" applyBorder="1" applyAlignment="1">
      <alignment horizontal="left" vertical="center"/>
    </xf>
    <xf numFmtId="3" fontId="71" fillId="27" borderId="0" xfId="323"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71" fillId="27" borderId="0" xfId="0" applyNumberFormat="1" applyFont="1" applyFill="1" applyBorder="1" applyAlignment="1">
      <alignment horizontal="center" vertical="center"/>
    </xf>
    <xf numFmtId="3" fontId="55" fillId="27" borderId="24" xfId="323" applyNumberFormat="1" applyFont="1" applyFill="1" applyBorder="1" applyAlignment="1">
      <alignment horizontal="center" vertical="center"/>
    </xf>
    <xf numFmtId="3" fontId="71" fillId="27" borderId="11" xfId="323" applyNumberFormat="1" applyFont="1" applyFill="1" applyBorder="1" applyAlignment="1">
      <alignment horizontal="center" vertical="center"/>
    </xf>
    <xf numFmtId="3" fontId="71" fillId="27" borderId="11" xfId="0" applyNumberFormat="1" applyFont="1" applyFill="1" applyBorder="1" applyAlignment="1">
      <alignment horizontal="center" vertical="center"/>
    </xf>
    <xf numFmtId="3" fontId="55" fillId="27" borderId="11" xfId="323" applyNumberFormat="1" applyFont="1" applyFill="1" applyBorder="1" applyAlignment="1">
      <alignment horizontal="center" vertical="center"/>
    </xf>
    <xf numFmtId="3" fontId="55" fillId="27" borderId="22" xfId="323" applyNumberFormat="1" applyFont="1" applyFill="1" applyBorder="1" applyAlignment="1">
      <alignment horizontal="center" vertical="center"/>
    </xf>
    <xf numFmtId="14" fontId="71" fillId="27" borderId="13" xfId="0" applyNumberFormat="1" applyFont="1" applyFill="1" applyBorder="1" applyAlignment="1">
      <alignment horizontal="center" vertical="center" wrapText="1"/>
    </xf>
    <xf numFmtId="37" fontId="57" fillId="27" borderId="0" xfId="323" applyNumberFormat="1" applyFont="1" applyFill="1" applyBorder="1"/>
    <xf numFmtId="167" fontId="57" fillId="27" borderId="0" xfId="323" applyNumberFormat="1" applyFont="1" applyFill="1" applyBorder="1"/>
    <xf numFmtId="49" fontId="68" fillId="27" borderId="23" xfId="0" applyNumberFormat="1" applyFont="1" applyFill="1" applyBorder="1" applyAlignment="1">
      <alignment horizontal="center" vertical="center"/>
    </xf>
    <xf numFmtId="49" fontId="68" fillId="27" borderId="16" xfId="0" applyNumberFormat="1" applyFont="1" applyFill="1" applyBorder="1" applyAlignment="1">
      <alignment horizontal="center" vertical="center"/>
    </xf>
    <xf numFmtId="167" fontId="57" fillId="27" borderId="0" xfId="323" applyNumberFormat="1" applyFont="1" applyFill="1" applyBorder="1" applyAlignment="1">
      <alignment horizontal="center"/>
    </xf>
    <xf numFmtId="37" fontId="57" fillId="27" borderId="24" xfId="323" applyNumberFormat="1" applyFont="1" applyFill="1" applyBorder="1" applyAlignment="1">
      <alignment horizontal="center"/>
    </xf>
    <xf numFmtId="37" fontId="57" fillId="27" borderId="0" xfId="323" applyNumberFormat="1" applyFont="1" applyFill="1" applyBorder="1" applyAlignment="1">
      <alignment horizontal="center"/>
    </xf>
    <xf numFmtId="37" fontId="68" fillId="27" borderId="23" xfId="323" applyNumberFormat="1" applyFont="1" applyFill="1" applyBorder="1" applyAlignment="1">
      <alignment vertical="center"/>
    </xf>
    <xf numFmtId="37" fontId="68" fillId="27" borderId="23" xfId="323" applyNumberFormat="1" applyFont="1" applyFill="1" applyBorder="1" applyAlignment="1">
      <alignment horizontal="center" vertical="center"/>
    </xf>
    <xf numFmtId="37" fontId="68" fillId="27" borderId="16" xfId="323" applyNumberFormat="1" applyFont="1" applyFill="1" applyBorder="1" applyAlignment="1">
      <alignment horizontal="center" vertical="center"/>
    </xf>
    <xf numFmtId="174" fontId="68" fillId="27" borderId="19" xfId="0" applyNumberFormat="1" applyFont="1" applyFill="1" applyBorder="1" applyAlignment="1">
      <alignment horizontal="left" vertical="center"/>
    </xf>
    <xf numFmtId="3" fontId="71" fillId="27" borderId="12" xfId="323" applyNumberFormat="1" applyFont="1" applyFill="1" applyBorder="1" applyAlignment="1">
      <alignment horizontal="center" vertical="center"/>
    </xf>
    <xf numFmtId="3" fontId="71" fillId="27" borderId="12" xfId="0" applyNumberFormat="1" applyFont="1" applyFill="1" applyBorder="1" applyAlignment="1">
      <alignment horizontal="center" vertical="center"/>
    </xf>
    <xf numFmtId="3" fontId="55" fillId="27" borderId="12" xfId="0" applyNumberFormat="1" applyFont="1" applyFill="1" applyBorder="1" applyAlignment="1">
      <alignment horizontal="center" vertical="center"/>
    </xf>
    <xf numFmtId="3" fontId="55" fillId="27" borderId="12" xfId="323" applyNumberFormat="1" applyFont="1" applyFill="1" applyBorder="1" applyAlignment="1">
      <alignment horizontal="center" vertical="center"/>
    </xf>
    <xf numFmtId="3" fontId="55" fillId="27" borderId="25" xfId="323" applyNumberFormat="1" applyFont="1" applyFill="1" applyBorder="1" applyAlignment="1">
      <alignment horizontal="center" vertical="center"/>
    </xf>
    <xf numFmtId="3" fontId="55" fillId="27" borderId="21" xfId="323" applyNumberFormat="1" applyFont="1" applyFill="1" applyBorder="1" applyAlignment="1">
      <alignment horizontal="center" vertical="center"/>
    </xf>
    <xf numFmtId="3" fontId="55" fillId="27" borderId="18" xfId="323"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49" fontId="71" fillId="27" borderId="17" xfId="0" applyNumberFormat="1" applyFont="1" applyFill="1" applyBorder="1" applyAlignment="1">
      <alignment horizontal="center"/>
    </xf>
    <xf numFmtId="49" fontId="71" fillId="27" borderId="14" xfId="0" applyNumberFormat="1" applyFont="1" applyFill="1" applyBorder="1" applyAlignment="1">
      <alignment horizontal="center"/>
    </xf>
    <xf numFmtId="174" fontId="107" fillId="27" borderId="13" xfId="0" applyFont="1" applyFill="1" applyBorder="1" applyAlignment="1">
      <alignment horizontal="center" vertical="center" wrapText="1"/>
    </xf>
    <xf numFmtId="181" fontId="111" fillId="27" borderId="13" xfId="0" applyNumberFormat="1" applyFont="1" applyFill="1" applyBorder="1" applyAlignment="1">
      <alignment horizontal="left" vertical="center" wrapText="1"/>
    </xf>
    <xf numFmtId="43" fontId="111" fillId="27" borderId="0" xfId="607" applyFont="1" applyFill="1" applyBorder="1" applyAlignment="1">
      <alignment horizontal="right"/>
    </xf>
    <xf numFmtId="43" fontId="111" fillId="27" borderId="24" xfId="607" applyFont="1" applyFill="1" applyBorder="1" applyAlignment="1">
      <alignment horizontal="right"/>
    </xf>
    <xf numFmtId="49" fontId="111" fillId="27" borderId="23" xfId="0" applyNumberFormat="1" applyFont="1" applyFill="1" applyBorder="1" applyAlignment="1">
      <alignment horizontal="center" vertical="center" wrapText="1"/>
    </xf>
    <xf numFmtId="49" fontId="111" fillId="27" borderId="16" xfId="0" applyNumberFormat="1" applyFont="1" applyFill="1" applyBorder="1" applyAlignment="1">
      <alignment horizontal="center" vertical="center" wrapText="1"/>
    </xf>
    <xf numFmtId="174" fontId="111" fillId="27" borderId="19" xfId="0" applyFont="1" applyFill="1" applyBorder="1" applyAlignment="1">
      <alignment horizontal="left" vertical="center" wrapText="1"/>
    </xf>
    <xf numFmtId="181" fontId="111" fillId="27" borderId="16" xfId="0" applyNumberFormat="1" applyFont="1" applyFill="1" applyBorder="1" applyAlignment="1">
      <alignment horizontal="center" vertical="center" wrapText="1"/>
    </xf>
    <xf numFmtId="17" fontId="71" fillId="27" borderId="19" xfId="347" applyNumberFormat="1" applyFont="1" applyFill="1" applyBorder="1" applyAlignment="1">
      <alignment horizontal="center" vertical="center"/>
    </xf>
    <xf numFmtId="49" fontId="106"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6" fillId="27" borderId="16" xfId="388" applyFont="1" applyFill="1" applyBorder="1" applyAlignment="1">
      <alignment horizontal="center" vertical="center" wrapText="1"/>
    </xf>
    <xf numFmtId="4" fontId="106" fillId="27" borderId="16" xfId="323" applyNumberFormat="1" applyFont="1" applyFill="1" applyBorder="1" applyAlignment="1">
      <alignment horizontal="right"/>
    </xf>
    <xf numFmtId="174" fontId="106" fillId="27" borderId="13" xfId="388" applyNumberFormat="1" applyFont="1" applyFill="1" applyBorder="1" applyAlignment="1">
      <alignment horizontal="center" vertical="center"/>
    </xf>
    <xf numFmtId="49" fontId="106" fillId="27" borderId="19" xfId="388" applyNumberFormat="1" applyFont="1" applyFill="1" applyBorder="1" applyAlignment="1">
      <alignment horizontal="center"/>
    </xf>
    <xf numFmtId="43" fontId="34" fillId="27" borderId="0" xfId="336" applyFont="1" applyFill="1" applyBorder="1" applyAlignment="1">
      <alignment horizontal="center"/>
    </xf>
    <xf numFmtId="174" fontId="83" fillId="27" borderId="19" xfId="391" applyFont="1" applyFill="1" applyBorder="1" applyAlignment="1">
      <alignment vertical="center"/>
    </xf>
    <xf numFmtId="174" fontId="71" fillId="27" borderId="19" xfId="0" applyNumberFormat="1" applyFont="1" applyFill="1" applyBorder="1" applyAlignment="1">
      <alignment horizontal="left" vertical="center"/>
    </xf>
    <xf numFmtId="43" fontId="57" fillId="27" borderId="21" xfId="0" applyNumberFormat="1" applyFont="1" applyFill="1" applyBorder="1" applyAlignment="1">
      <alignment horizontal="center"/>
    </xf>
    <xf numFmtId="10" fontId="68" fillId="27" borderId="17" xfId="551" applyNumberFormat="1" applyFont="1" applyFill="1" applyBorder="1" applyAlignment="1">
      <alignment horizontal="center"/>
    </xf>
    <xf numFmtId="43" fontId="57" fillId="27" borderId="20" xfId="0" applyNumberFormat="1" applyFont="1" applyFill="1" applyBorder="1" applyAlignment="1">
      <alignment horizontal="center"/>
    </xf>
    <xf numFmtId="10" fontId="68" fillId="27" borderId="19" xfId="551" applyNumberFormat="1" applyFont="1" applyFill="1" applyBorder="1" applyAlignment="1">
      <alignment horizontal="center"/>
    </xf>
    <xf numFmtId="43" fontId="71" fillId="27" borderId="15" xfId="0" applyNumberFormat="1" applyFont="1" applyFill="1" applyBorder="1" applyAlignment="1">
      <alignment horizontal="center"/>
    </xf>
    <xf numFmtId="171" fontId="68" fillId="27" borderId="13" xfId="551" applyNumberFormat="1" applyFont="1" applyFill="1" applyBorder="1" applyAlignment="1">
      <alignment horizontal="center"/>
    </xf>
    <xf numFmtId="43" fontId="71" fillId="27" borderId="15" xfId="336" applyFont="1" applyFill="1" applyBorder="1" applyAlignment="1">
      <alignment vertical="center"/>
    </xf>
    <xf numFmtId="38" fontId="71" fillId="27" borderId="17" xfId="0" applyNumberFormat="1" applyFont="1" applyFill="1" applyBorder="1" applyAlignment="1">
      <alignment horizontal="center" wrapText="1"/>
    </xf>
    <xf numFmtId="174" fontId="71" fillId="0" borderId="21" xfId="0" applyNumberFormat="1" applyFont="1" applyFill="1" applyBorder="1" applyAlignment="1">
      <alignment horizontal="center" vertical="center" wrapText="1"/>
    </xf>
    <xf numFmtId="17" fontId="71" fillId="0" borderId="21" xfId="0" applyNumberFormat="1" applyFont="1" applyFill="1" applyBorder="1" applyAlignment="1" applyProtection="1">
      <alignment horizontal="center" vertical="center"/>
    </xf>
    <xf numFmtId="17" fontId="71" fillId="0" borderId="20" xfId="0" applyNumberFormat="1" applyFont="1" applyFill="1" applyBorder="1" applyAlignment="1" applyProtection="1">
      <alignment horizontal="center" vertical="center"/>
    </xf>
    <xf numFmtId="17" fontId="71" fillId="0" borderId="18" xfId="0" applyNumberFormat="1" applyFont="1" applyFill="1" applyBorder="1" applyAlignment="1" applyProtection="1">
      <alignment horizontal="center" vertical="center"/>
    </xf>
    <xf numFmtId="174" fontId="71" fillId="0" borderId="12" xfId="0" applyNumberFormat="1" applyFont="1" applyFill="1" applyBorder="1" applyAlignment="1">
      <alignment horizontal="center" vertical="center" wrapText="1"/>
    </xf>
    <xf numFmtId="174" fontId="71" fillId="0" borderId="25" xfId="0" applyNumberFormat="1" applyFont="1" applyFill="1" applyBorder="1" applyAlignment="1">
      <alignment horizontal="center" vertical="center" wrapText="1"/>
    </xf>
    <xf numFmtId="3" fontId="55" fillId="0" borderId="20" xfId="0" applyNumberFormat="1" applyFont="1" applyFill="1" applyBorder="1" applyAlignment="1" applyProtection="1">
      <alignment horizontal="right"/>
    </xf>
    <xf numFmtId="3" fontId="55" fillId="27" borderId="18" xfId="0" applyNumberFormat="1" applyFont="1" applyFill="1" applyBorder="1" applyAlignment="1" applyProtection="1">
      <alignment horizontal="right"/>
    </xf>
    <xf numFmtId="3" fontId="55" fillId="0" borderId="21" xfId="0" applyNumberFormat="1" applyFont="1" applyFill="1" applyBorder="1" applyAlignment="1" applyProtection="1">
      <alignment horizontal="right"/>
    </xf>
    <xf numFmtId="3" fontId="55" fillId="0" borderId="12" xfId="0" applyNumberFormat="1" applyFont="1" applyFill="1" applyBorder="1" applyAlignment="1" applyProtection="1">
      <alignment horizontal="right"/>
    </xf>
    <xf numFmtId="186" fontId="0" fillId="27" borderId="0" xfId="551" applyNumberFormat="1" applyFont="1" applyFill="1"/>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63" fillId="0" borderId="0" xfId="0" applyNumberFormat="1" applyFont="1" applyBorder="1" applyAlignment="1">
      <alignment horizontal="left" vertical="top"/>
    </xf>
    <xf numFmtId="174" fontId="83" fillId="27" borderId="0" xfId="0" applyFont="1" applyFill="1" applyBorder="1" applyAlignment="1">
      <alignment horizontal="center" vertical="center" wrapText="1"/>
    </xf>
    <xf numFmtId="174" fontId="54" fillId="27" borderId="15" xfId="0" applyNumberFormat="1" applyFont="1" applyFill="1" applyBorder="1" applyAlignment="1">
      <alignment horizontal="center" vertical="center"/>
    </xf>
    <xf numFmtId="167" fontId="71" fillId="27" borderId="15" xfId="323" applyNumberFormat="1" applyFont="1" applyFill="1" applyBorder="1" applyAlignment="1">
      <alignment horizontal="center" vertical="center"/>
    </xf>
    <xf numFmtId="167" fontId="71" fillId="27" borderId="16" xfId="323" applyNumberFormat="1" applyFont="1" applyFill="1" applyBorder="1" applyAlignment="1">
      <alignment horizontal="center" vertical="center"/>
    </xf>
    <xf numFmtId="17" fontId="71"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1" fillId="27" borderId="13" xfId="336" applyNumberFormat="1" applyFont="1" applyFill="1" applyBorder="1" applyAlignment="1">
      <alignment horizontal="center" vertical="center" wrapText="1"/>
    </xf>
    <xf numFmtId="43" fontId="71" fillId="27" borderId="19" xfId="336" applyNumberFormat="1" applyFont="1" applyFill="1" applyBorder="1" applyAlignment="1">
      <alignment vertical="center"/>
    </xf>
    <xf numFmtId="40" fontId="71" fillId="27" borderId="16" xfId="0" applyNumberFormat="1" applyFont="1" applyFill="1" applyBorder="1"/>
    <xf numFmtId="174" fontId="83" fillId="27" borderId="13" xfId="450" applyFont="1" applyFill="1" applyBorder="1" applyAlignment="1">
      <alignment horizontal="center" vertical="center"/>
    </xf>
    <xf numFmtId="174" fontId="83" fillId="27" borderId="23" xfId="450" applyFont="1" applyFill="1" applyBorder="1" applyAlignment="1">
      <alignment horizontal="center" vertical="center" wrapText="1"/>
    </xf>
    <xf numFmtId="174" fontId="83" fillId="27" borderId="16" xfId="450" applyFont="1" applyFill="1" applyBorder="1" applyAlignment="1">
      <alignment horizontal="center" vertical="center" wrapText="1"/>
    </xf>
    <xf numFmtId="17" fontId="83" fillId="27" borderId="19" xfId="450" applyNumberFormat="1" applyFont="1" applyFill="1" applyBorder="1" applyAlignment="1">
      <alignment horizontal="center"/>
    </xf>
    <xf numFmtId="10" fontId="84" fillId="27" borderId="0" xfId="450" applyNumberFormat="1" applyFont="1" applyFill="1" applyBorder="1"/>
    <xf numFmtId="10" fontId="84" fillId="27" borderId="24" xfId="450" applyNumberFormat="1" applyFont="1" applyFill="1" applyBorder="1"/>
    <xf numFmtId="17" fontId="83" fillId="27" borderId="14" xfId="450" applyNumberFormat="1" applyFont="1" applyFill="1" applyBorder="1" applyAlignment="1">
      <alignment horizontal="center"/>
    </xf>
    <xf numFmtId="10" fontId="84" fillId="27" borderId="11" xfId="450" applyNumberFormat="1" applyFont="1" applyFill="1" applyBorder="1"/>
    <xf numFmtId="10" fontId="84" fillId="27" borderId="22" xfId="450" applyNumberFormat="1" applyFont="1" applyFill="1" applyBorder="1"/>
    <xf numFmtId="174" fontId="83" fillId="27" borderId="20" xfId="0" applyFont="1" applyFill="1" applyBorder="1" applyAlignment="1">
      <alignment horizontal="center" vertical="center" wrapText="1"/>
    </xf>
    <xf numFmtId="174" fontId="83" fillId="27" borderId="24" xfId="0" applyFont="1" applyFill="1" applyBorder="1" applyAlignment="1">
      <alignment horizontal="center" vertical="center" wrapText="1"/>
    </xf>
    <xf numFmtId="49" fontId="54" fillId="0" borderId="24" xfId="0" applyNumberFormat="1" applyFont="1" applyFill="1" applyBorder="1" applyAlignment="1">
      <alignment horizontal="center" vertical="center" wrapText="1"/>
    </xf>
    <xf numFmtId="174" fontId="0" fillId="0" borderId="0" xfId="0" applyAlignment="1">
      <alignment vertical="top"/>
    </xf>
    <xf numFmtId="0" fontId="49" fillId="0" borderId="0" xfId="742"/>
    <xf numFmtId="173" fontId="49" fillId="0" borderId="0" xfId="742" applyNumberFormat="1"/>
    <xf numFmtId="0" fontId="49" fillId="0" borderId="0" xfId="743"/>
    <xf numFmtId="0" fontId="61" fillId="0" borderId="0" xfId="743" applyFont="1" applyBorder="1" applyAlignment="1">
      <alignment horizontal="center"/>
    </xf>
    <xf numFmtId="174" fontId="70" fillId="0" borderId="0" xfId="0" applyNumberFormat="1" applyFont="1" applyBorder="1" applyAlignment="1">
      <alignment horizontal="left" vertical="top"/>
    </xf>
    <xf numFmtId="174" fontId="127" fillId="0" borderId="0" xfId="0" applyFont="1" applyAlignment="1">
      <alignment horizontal="center" vertical="center"/>
    </xf>
    <xf numFmtId="3" fontId="84" fillId="27" borderId="0" xfId="328" applyNumberFormat="1" applyFont="1" applyFill="1" applyBorder="1" applyAlignment="1"/>
    <xf numFmtId="3" fontId="83" fillId="27" borderId="0" xfId="328" applyNumberFormat="1" applyFont="1" applyFill="1" applyBorder="1" applyAlignment="1"/>
    <xf numFmtId="171" fontId="83" fillId="27" borderId="0" xfId="328" applyNumberFormat="1" applyFont="1" applyFill="1" applyBorder="1" applyAlignment="1"/>
    <xf numFmtId="3" fontId="84" fillId="27" borderId="11" xfId="328" applyNumberFormat="1" applyFont="1" applyFill="1" applyBorder="1" applyAlignment="1"/>
    <xf numFmtId="3" fontId="83" fillId="27" borderId="11" xfId="328" applyNumberFormat="1" applyFont="1" applyFill="1" applyBorder="1" applyAlignment="1"/>
    <xf numFmtId="171" fontId="83" fillId="27" borderId="11" xfId="328" applyNumberFormat="1" applyFont="1" applyFill="1" applyBorder="1" applyAlignment="1"/>
    <xf numFmtId="49" fontId="54" fillId="27" borderId="20" xfId="0" applyNumberFormat="1" applyFont="1" applyFill="1" applyBorder="1" applyAlignment="1">
      <alignment horizontal="center" vertical="center"/>
    </xf>
    <xf numFmtId="49" fontId="54" fillId="27" borderId="18" xfId="0" applyNumberFormat="1" applyFont="1" applyFill="1" applyBorder="1" applyAlignment="1">
      <alignment horizontal="center" vertical="center"/>
    </xf>
    <xf numFmtId="3" fontId="84" fillId="27" borderId="20" xfId="328" applyNumberFormat="1" applyFont="1" applyFill="1" applyBorder="1" applyAlignment="1">
      <alignment horizontal="right"/>
    </xf>
    <xf numFmtId="3" fontId="84" fillId="27" borderId="18" xfId="328" applyNumberFormat="1" applyFont="1" applyFill="1" applyBorder="1" applyAlignment="1">
      <alignment horizontal="right"/>
    </xf>
    <xf numFmtId="17" fontId="83" fillId="27" borderId="20" xfId="0" applyNumberFormat="1" applyFont="1" applyFill="1" applyBorder="1" applyAlignment="1">
      <alignment horizontal="center" vertical="center"/>
    </xf>
    <xf numFmtId="17" fontId="83" fillId="27" borderId="18" xfId="0" applyNumberFormat="1" applyFont="1" applyFill="1" applyBorder="1" applyAlignment="1">
      <alignment horizontal="center" vertical="center"/>
    </xf>
    <xf numFmtId="3" fontId="84" fillId="27" borderId="20" xfId="328" applyNumberFormat="1" applyFont="1" applyFill="1" applyBorder="1" applyAlignment="1">
      <alignment vertical="center"/>
    </xf>
    <xf numFmtId="180" fontId="0" fillId="0" borderId="0" xfId="0" applyNumberFormat="1" applyBorder="1" applyAlignment="1">
      <alignment horizontal="left"/>
    </xf>
    <xf numFmtId="189" fontId="0" fillId="0" borderId="0" xfId="0" applyNumberFormat="1" applyBorder="1" applyAlignment="1">
      <alignment horizontal="left"/>
    </xf>
    <xf numFmtId="182" fontId="0" fillId="0" borderId="0" xfId="0" applyNumberFormat="1" applyBorder="1" applyAlignment="1">
      <alignment horizontal="left"/>
    </xf>
    <xf numFmtId="10" fontId="0" fillId="0" borderId="0" xfId="551" applyNumberFormat="1" applyFont="1" applyBorder="1" applyAlignment="1">
      <alignment horizontal="left"/>
    </xf>
    <xf numFmtId="192" fontId="0" fillId="0" borderId="0" xfId="0" applyNumberFormat="1" applyBorder="1" applyAlignment="1">
      <alignment horizontal="left"/>
    </xf>
    <xf numFmtId="174" fontId="72" fillId="0" borderId="0" xfId="0" applyFont="1" applyFill="1" applyBorder="1" applyAlignment="1">
      <alignment horizontal="center" vertical="center" wrapText="1"/>
    </xf>
    <xf numFmtId="43" fontId="57" fillId="27" borderId="0" xfId="323" applyFont="1" applyFill="1" applyBorder="1" applyAlignment="1">
      <alignment horizontal="center"/>
    </xf>
    <xf numFmtId="0" fontId="68" fillId="27" borderId="20" xfId="742" applyFont="1" applyFill="1" applyBorder="1" applyAlignment="1">
      <alignment horizontal="center"/>
    </xf>
    <xf numFmtId="43" fontId="68" fillId="27" borderId="24" xfId="323" applyFont="1" applyFill="1" applyBorder="1" applyAlignment="1">
      <alignment horizontal="center"/>
    </xf>
    <xf numFmtId="0" fontId="68" fillId="27" borderId="15" xfId="742" applyFont="1" applyFill="1" applyBorder="1" applyAlignment="1">
      <alignment horizontal="center"/>
    </xf>
    <xf numFmtId="0" fontId="68" fillId="27" borderId="23" xfId="742" applyFont="1" applyFill="1" applyBorder="1" applyAlignment="1">
      <alignment horizontal="center"/>
    </xf>
    <xf numFmtId="0" fontId="68" fillId="27" borderId="16" xfId="742" applyFont="1" applyFill="1" applyBorder="1" applyAlignment="1">
      <alignment horizontal="center"/>
    </xf>
    <xf numFmtId="43" fontId="68" fillId="27" borderId="23" xfId="742" applyNumberFormat="1" applyFont="1" applyFill="1" applyBorder="1" applyAlignment="1">
      <alignment horizontal="center"/>
    </xf>
    <xf numFmtId="43" fontId="68" fillId="27" borderId="16" xfId="742" applyNumberFormat="1" applyFont="1" applyFill="1" applyBorder="1" applyAlignment="1">
      <alignment horizontal="center"/>
    </xf>
    <xf numFmtId="0" fontId="68" fillId="27" borderId="23" xfId="743" applyFont="1" applyFill="1" applyBorder="1" applyAlignment="1">
      <alignment horizontal="center" vertical="center" wrapText="1"/>
    </xf>
    <xf numFmtId="0" fontId="68" fillId="27" borderId="13" xfId="743" applyFont="1" applyFill="1" applyBorder="1" applyAlignment="1">
      <alignment horizontal="center" vertical="center" wrapText="1"/>
    </xf>
    <xf numFmtId="0" fontId="68" fillId="27" borderId="19" xfId="743" applyFont="1" applyFill="1" applyBorder="1" applyAlignment="1">
      <alignment horizontal="center"/>
    </xf>
    <xf numFmtId="0" fontId="68" fillId="27" borderId="13" xfId="743" applyFont="1" applyFill="1" applyBorder="1" applyAlignment="1">
      <alignment horizontal="center"/>
    </xf>
    <xf numFmtId="43" fontId="68" fillId="27" borderId="23" xfId="323" applyFont="1" applyFill="1" applyBorder="1"/>
    <xf numFmtId="38" fontId="75" fillId="0" borderId="0" xfId="0" applyNumberFormat="1" applyFont="1" applyBorder="1" applyAlignment="1">
      <alignment horizontal="center" vertical="center"/>
    </xf>
    <xf numFmtId="171" fontId="74" fillId="0" borderId="19" xfId="0" applyNumberFormat="1" applyFont="1" applyBorder="1" applyAlignment="1">
      <alignment horizontal="center" vertical="center"/>
    </xf>
    <xf numFmtId="38" fontId="75" fillId="0" borderId="21" xfId="0" applyNumberFormat="1" applyFont="1" applyBorder="1" applyAlignment="1">
      <alignment horizontal="center" vertical="center"/>
    </xf>
    <xf numFmtId="38" fontId="74" fillId="0" borderId="25" xfId="0" applyNumberFormat="1" applyFont="1" applyBorder="1" applyAlignment="1">
      <alignment horizontal="center" vertical="center"/>
    </xf>
    <xf numFmtId="171" fontId="74" fillId="0" borderId="25" xfId="0" applyNumberFormat="1" applyFont="1" applyBorder="1" applyAlignment="1">
      <alignment horizontal="center" vertical="center"/>
    </xf>
    <xf numFmtId="38" fontId="75" fillId="0" borderId="20" xfId="0" applyNumberFormat="1" applyFont="1" applyBorder="1" applyAlignment="1">
      <alignment horizontal="center" vertical="center"/>
    </xf>
    <xf numFmtId="38" fontId="74" fillId="0" borderId="24" xfId="0" applyNumberFormat="1" applyFont="1" applyBorder="1" applyAlignment="1">
      <alignment horizontal="center" vertical="center"/>
    </xf>
    <xf numFmtId="171" fontId="74" fillId="0" borderId="24" xfId="0" applyNumberFormat="1" applyFont="1" applyBorder="1" applyAlignment="1">
      <alignment horizontal="center" vertical="center"/>
    </xf>
    <xf numFmtId="38" fontId="74" fillId="27" borderId="24" xfId="0" applyNumberFormat="1" applyFont="1" applyFill="1" applyBorder="1" applyAlignment="1">
      <alignment horizontal="center" vertical="center"/>
    </xf>
    <xf numFmtId="171" fontId="74" fillId="27" borderId="24" xfId="0" applyNumberFormat="1" applyFont="1" applyFill="1" applyBorder="1" applyAlignment="1">
      <alignment horizontal="center" vertical="center"/>
    </xf>
    <xf numFmtId="38" fontId="75" fillId="0" borderId="18" xfId="0" applyNumberFormat="1" applyFont="1" applyBorder="1" applyAlignment="1">
      <alignment horizontal="center" vertical="center"/>
    </xf>
    <xf numFmtId="38" fontId="74" fillId="27" borderId="22" xfId="0" applyNumberFormat="1" applyFont="1" applyFill="1" applyBorder="1" applyAlignment="1">
      <alignment horizontal="center" vertical="center"/>
    </xf>
    <xf numFmtId="171" fontId="74"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6" fillId="0" borderId="0" xfId="336" applyNumberFormat="1" applyFont="1" applyFill="1" applyBorder="1" applyAlignment="1"/>
    <xf numFmtId="171" fontId="83" fillId="0" borderId="24" xfId="551" applyNumberFormat="1" applyFont="1" applyFill="1" applyBorder="1" applyAlignment="1">
      <alignment horizontal="center"/>
    </xf>
    <xf numFmtId="171" fontId="123" fillId="0" borderId="24" xfId="551" applyNumberFormat="1" applyFont="1" applyFill="1" applyBorder="1" applyAlignment="1">
      <alignment horizontal="center"/>
    </xf>
    <xf numFmtId="171" fontId="123" fillId="0" borderId="22" xfId="551" applyNumberFormat="1" applyFont="1" applyFill="1" applyBorder="1" applyAlignment="1">
      <alignment horizontal="center"/>
    </xf>
    <xf numFmtId="188" fontId="0" fillId="0" borderId="0" xfId="0" applyNumberFormat="1"/>
    <xf numFmtId="3" fontId="75" fillId="27" borderId="12" xfId="328" applyNumberFormat="1" applyFont="1" applyFill="1" applyBorder="1" applyAlignment="1"/>
    <xf numFmtId="43" fontId="75" fillId="27" borderId="25" xfId="336" applyNumberFormat="1" applyFont="1" applyFill="1" applyBorder="1" applyAlignment="1"/>
    <xf numFmtId="3" fontId="75" fillId="27" borderId="20" xfId="328" applyNumberFormat="1" applyFont="1" applyFill="1" applyBorder="1" applyAlignment="1"/>
    <xf numFmtId="43" fontId="75" fillId="27" borderId="24" xfId="336" applyNumberFormat="1" applyFont="1" applyFill="1" applyBorder="1" applyAlignment="1"/>
    <xf numFmtId="3" fontId="75" fillId="27" borderId="24" xfId="328" applyNumberFormat="1" applyFont="1" applyFill="1" applyBorder="1" applyAlignment="1"/>
    <xf numFmtId="3" fontId="75" fillId="27" borderId="18" xfId="328" applyNumberFormat="1" applyFont="1" applyFill="1" applyBorder="1" applyAlignment="1"/>
    <xf numFmtId="3" fontId="75" fillId="27" borderId="22" xfId="328" applyNumberFormat="1" applyFont="1" applyFill="1" applyBorder="1" applyAlignment="1"/>
    <xf numFmtId="49" fontId="71" fillId="27" borderId="19" xfId="394" applyNumberFormat="1" applyFont="1" applyFill="1" applyBorder="1" applyAlignment="1">
      <alignment horizontal="left"/>
    </xf>
    <xf numFmtId="167" fontId="55" fillId="27" borderId="21" xfId="323" applyNumberFormat="1" applyFont="1" applyFill="1" applyBorder="1" applyAlignment="1">
      <alignment horizontal="right"/>
    </xf>
    <xf numFmtId="167" fontId="55" fillId="27" borderId="12" xfId="323" applyNumberFormat="1" applyFont="1" applyFill="1" applyBorder="1" applyAlignment="1">
      <alignment horizontal="right"/>
    </xf>
    <xf numFmtId="167" fontId="71" fillId="27" borderId="12" xfId="394" applyNumberFormat="1" applyFont="1" applyFill="1" applyBorder="1" applyAlignment="1">
      <alignment horizontal="right"/>
    </xf>
    <xf numFmtId="171" fontId="71" fillId="27" borderId="21" xfId="394" applyNumberFormat="1" applyFont="1" applyFill="1" applyBorder="1" applyAlignment="1">
      <alignment horizontal="right"/>
    </xf>
    <xf numFmtId="171" fontId="71" fillId="27" borderId="12" xfId="394" applyNumberFormat="1" applyFont="1" applyFill="1" applyBorder="1" applyAlignment="1">
      <alignment horizontal="right"/>
    </xf>
    <xf numFmtId="43" fontId="71" fillId="27" borderId="25" xfId="394" applyNumberFormat="1" applyFont="1" applyFill="1" applyBorder="1" applyAlignment="1">
      <alignment horizontal="right"/>
    </xf>
    <xf numFmtId="171" fontId="71" fillId="27" borderId="20" xfId="394" applyNumberFormat="1" applyFont="1" applyFill="1" applyBorder="1" applyAlignment="1">
      <alignment horizontal="right"/>
    </xf>
    <xf numFmtId="171" fontId="71" fillId="27" borderId="0" xfId="394" applyNumberFormat="1" applyFont="1" applyFill="1" applyBorder="1" applyAlignment="1">
      <alignment horizontal="right"/>
    </xf>
    <xf numFmtId="43" fontId="71" fillId="27" borderId="24" xfId="394" applyNumberFormat="1" applyFont="1" applyFill="1" applyBorder="1" applyAlignment="1">
      <alignment horizontal="right"/>
    </xf>
    <xf numFmtId="49" fontId="71" fillId="27" borderId="20" xfId="394" applyNumberFormat="1" applyFont="1" applyFill="1" applyBorder="1" applyAlignment="1">
      <alignment horizontal="left"/>
    </xf>
    <xf numFmtId="167" fontId="71" fillId="27" borderId="12" xfId="323" applyNumberFormat="1" applyFont="1" applyFill="1" applyBorder="1" applyAlignment="1">
      <alignment horizontal="right"/>
    </xf>
    <xf numFmtId="167" fontId="55" fillId="27" borderId="0" xfId="394" applyNumberFormat="1" applyFont="1" applyFill="1" applyBorder="1" applyAlignment="1">
      <alignment horizontal="right"/>
    </xf>
    <xf numFmtId="167" fontId="71" fillId="27" borderId="0" xfId="394" applyNumberFormat="1" applyFont="1" applyFill="1" applyBorder="1" applyAlignment="1">
      <alignment horizontal="right"/>
    </xf>
    <xf numFmtId="171" fontId="71" fillId="27" borderId="0" xfId="0" applyNumberFormat="1" applyFont="1" applyFill="1" applyBorder="1" applyAlignment="1">
      <alignment horizontal="right"/>
    </xf>
    <xf numFmtId="167" fontId="55" fillId="27" borderId="20" xfId="394" applyNumberFormat="1" applyFont="1" applyFill="1" applyBorder="1" applyAlignment="1">
      <alignment horizontal="right"/>
    </xf>
    <xf numFmtId="49" fontId="71" fillId="27" borderId="18" xfId="394" applyNumberFormat="1" applyFont="1" applyFill="1" applyBorder="1" applyAlignment="1">
      <alignment horizontal="left"/>
    </xf>
    <xf numFmtId="167" fontId="55" fillId="27" borderId="18" xfId="394" applyNumberFormat="1" applyFont="1" applyFill="1" applyBorder="1" applyAlignment="1">
      <alignment horizontal="right"/>
    </xf>
    <xf numFmtId="167" fontId="55" fillId="27" borderId="11" xfId="394" applyNumberFormat="1" applyFont="1" applyFill="1" applyBorder="1" applyAlignment="1">
      <alignment horizontal="right"/>
    </xf>
    <xf numFmtId="167" fontId="71" fillId="27" borderId="11" xfId="394" applyNumberFormat="1" applyFont="1" applyFill="1" applyBorder="1" applyAlignment="1">
      <alignment horizontal="right"/>
    </xf>
    <xf numFmtId="171" fontId="71" fillId="27" borderId="18" xfId="394" applyNumberFormat="1" applyFont="1" applyFill="1" applyBorder="1" applyAlignment="1">
      <alignment horizontal="right"/>
    </xf>
    <xf numFmtId="171" fontId="71" fillId="27" borderId="11" xfId="0" applyNumberFormat="1" applyFont="1" applyFill="1" applyBorder="1" applyAlignment="1">
      <alignment horizontal="right"/>
    </xf>
    <xf numFmtId="43" fontId="71" fillId="27" borderId="22" xfId="394" applyNumberFormat="1" applyFont="1" applyFill="1" applyBorder="1" applyAlignment="1">
      <alignment horizontal="right"/>
    </xf>
    <xf numFmtId="171" fontId="53" fillId="0" borderId="0" xfId="551" applyNumberFormat="1" applyFont="1"/>
    <xf numFmtId="171" fontId="57" fillId="27" borderId="0" xfId="551" applyNumberFormat="1" applyFont="1" applyFill="1" applyBorder="1"/>
    <xf numFmtId="174" fontId="0" fillId="27" borderId="0" xfId="0" applyFill="1" applyBorder="1" applyAlignment="1">
      <alignment horizontal="right"/>
    </xf>
    <xf numFmtId="182" fontId="0" fillId="0" borderId="0" xfId="0" applyNumberFormat="1" applyBorder="1"/>
    <xf numFmtId="182" fontId="0" fillId="0" borderId="0" xfId="551" applyNumberFormat="1" applyFont="1"/>
    <xf numFmtId="10" fontId="53" fillId="0" borderId="0" xfId="551" applyNumberFormat="1" applyFont="1" applyFill="1" applyBorder="1" applyAlignment="1"/>
    <xf numFmtId="2" fontId="0" fillId="0" borderId="0" xfId="551" applyNumberFormat="1" applyFont="1" applyBorder="1"/>
    <xf numFmtId="43" fontId="86" fillId="27" borderId="13" xfId="0" applyNumberFormat="1" applyFont="1" applyFill="1" applyBorder="1" applyAlignment="1">
      <alignment horizontal="center" vertical="center" wrapText="1"/>
    </xf>
    <xf numFmtId="43" fontId="86" fillId="27" borderId="19" xfId="0" applyNumberFormat="1" applyFont="1" applyFill="1" applyBorder="1" applyAlignment="1">
      <alignment horizontal="center"/>
    </xf>
    <xf numFmtId="3" fontId="86" fillId="27" borderId="0" xfId="0" applyNumberFormat="1" applyFont="1" applyFill="1" applyBorder="1" applyAlignment="1" applyProtection="1"/>
    <xf numFmtId="3" fontId="66" fillId="27" borderId="0" xfId="0" applyNumberFormat="1" applyFont="1" applyFill="1" applyBorder="1" applyAlignment="1" applyProtection="1"/>
    <xf numFmtId="171" fontId="66" fillId="27" borderId="0" xfId="0" applyNumberFormat="1" applyFont="1" applyFill="1" applyBorder="1"/>
    <xf numFmtId="171" fontId="66" fillId="27" borderId="24" xfId="0" applyNumberFormat="1" applyFont="1" applyFill="1" applyBorder="1"/>
    <xf numFmtId="43" fontId="86" fillId="27" borderId="13" xfId="0" applyNumberFormat="1" applyFont="1" applyFill="1" applyBorder="1" applyAlignment="1">
      <alignment horizontal="center" vertical="center"/>
    </xf>
    <xf numFmtId="167" fontId="86" fillId="27" borderId="23" xfId="0"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0" fontId="83" fillId="27" borderId="19" xfId="391" applyNumberFormat="1" applyFont="1" applyFill="1" applyBorder="1" applyAlignment="1">
      <alignment horizontal="center"/>
    </xf>
    <xf numFmtId="174" fontId="0" fillId="0" borderId="11" xfId="0" applyBorder="1"/>
    <xf numFmtId="10" fontId="71" fillId="0" borderId="0" xfId="0" applyNumberFormat="1" applyFont="1" applyFill="1" applyBorder="1" applyAlignment="1">
      <alignment horizontal="right" vertical="center"/>
    </xf>
    <xf numFmtId="43" fontId="55" fillId="0" borderId="0" xfId="0" applyNumberFormat="1" applyFont="1" applyFill="1" applyBorder="1" applyAlignment="1">
      <alignment horizontal="right" vertical="center"/>
    </xf>
    <xf numFmtId="10" fontId="71" fillId="27" borderId="0" xfId="0" applyNumberFormat="1" applyFont="1" applyFill="1" applyBorder="1" applyAlignment="1">
      <alignment horizontal="right" vertical="center"/>
    </xf>
    <xf numFmtId="43" fontId="55" fillId="27" borderId="0" xfId="0" applyNumberFormat="1" applyFont="1" applyFill="1" applyBorder="1" applyAlignment="1">
      <alignment horizontal="right" vertical="center"/>
    </xf>
    <xf numFmtId="10" fontId="71" fillId="0" borderId="23" xfId="0" applyNumberFormat="1" applyFont="1" applyFill="1" applyBorder="1" applyAlignment="1">
      <alignment horizontal="right" vertical="center"/>
    </xf>
    <xf numFmtId="10" fontId="67" fillId="0" borderId="0" xfId="551" applyNumberFormat="1" applyFont="1" applyFill="1" applyBorder="1" applyAlignment="1">
      <alignment horizontal="right"/>
    </xf>
    <xf numFmtId="43" fontId="49" fillId="0" borderId="0" xfId="742" applyNumberFormat="1"/>
    <xf numFmtId="43" fontId="49" fillId="0" borderId="0" xfId="743" applyNumberFormat="1"/>
    <xf numFmtId="10" fontId="49" fillId="0" borderId="0" xfId="551" applyNumberFormat="1"/>
    <xf numFmtId="43" fontId="68" fillId="27" borderId="15" xfId="323" applyFont="1" applyFill="1" applyBorder="1"/>
    <xf numFmtId="0" fontId="68" fillId="27" borderId="13" xfId="743" applyFont="1" applyFill="1" applyBorder="1" applyAlignment="1">
      <alignment horizontal="center" vertical="center"/>
    </xf>
    <xf numFmtId="43" fontId="68" fillId="27" borderId="19" xfId="323" applyFont="1" applyFill="1" applyBorder="1"/>
    <xf numFmtId="43" fontId="68" fillId="27" borderId="13" xfId="323" applyFont="1" applyFill="1" applyBorder="1"/>
    <xf numFmtId="49" fontId="70" fillId="32" borderId="19" xfId="0" applyNumberFormat="1" applyFont="1" applyFill="1" applyBorder="1" applyAlignment="1">
      <alignment horizontal="center" vertical="center" wrapText="1"/>
    </xf>
    <xf numFmtId="167" fontId="55" fillId="32" borderId="20" xfId="323" applyNumberFormat="1" applyFont="1" applyFill="1" applyBorder="1" applyAlignment="1">
      <alignment vertical="center"/>
    </xf>
    <xf numFmtId="167" fontId="55" fillId="32" borderId="0" xfId="323" applyNumberFormat="1" applyFont="1" applyFill="1" applyBorder="1" applyAlignment="1">
      <alignment vertical="center"/>
    </xf>
    <xf numFmtId="167" fontId="71" fillId="32" borderId="0" xfId="0" applyNumberFormat="1" applyFont="1" applyFill="1" applyBorder="1" applyAlignment="1">
      <alignment horizontal="center" vertical="center" wrapText="1"/>
    </xf>
    <xf numFmtId="10" fontId="70" fillId="32" borderId="0" xfId="0" applyNumberFormat="1" applyFont="1" applyFill="1" applyBorder="1" applyAlignment="1">
      <alignment vertical="center"/>
    </xf>
    <xf numFmtId="49" fontId="70" fillId="32" borderId="0" xfId="0" applyNumberFormat="1" applyFont="1" applyFill="1" applyBorder="1" applyAlignment="1">
      <alignment horizontal="center" vertical="center" wrapText="1"/>
    </xf>
    <xf numFmtId="49" fontId="70" fillId="32" borderId="24" xfId="0" applyNumberFormat="1" applyFont="1" applyFill="1" applyBorder="1" applyAlignment="1">
      <alignment horizontal="center" vertical="center" wrapText="1"/>
    </xf>
    <xf numFmtId="167" fontId="55" fillId="27" borderId="23" xfId="323" applyNumberFormat="1" applyFont="1" applyFill="1" applyBorder="1"/>
    <xf numFmtId="167" fontId="71" fillId="27" borderId="16" xfId="323" applyNumberFormat="1" applyFont="1" applyFill="1" applyBorder="1"/>
    <xf numFmtId="174" fontId="53" fillId="0" borderId="0" xfId="0" applyFont="1" applyAlignment="1">
      <alignment horizontal="left"/>
    </xf>
    <xf numFmtId="174" fontId="0" fillId="0" borderId="0" xfId="0" applyAlignment="1">
      <alignment horizontal="left" indent="5"/>
    </xf>
    <xf numFmtId="174" fontId="53" fillId="0" borderId="0" xfId="0" applyFont="1" applyAlignment="1">
      <alignment horizontal="left" indent="5"/>
    </xf>
    <xf numFmtId="174" fontId="0" fillId="0" borderId="0" xfId="0" applyAlignment="1">
      <alignment horizontal="left" indent="8"/>
    </xf>
    <xf numFmtId="174" fontId="0" fillId="0" borderId="0" xfId="0" applyFont="1" applyAlignment="1">
      <alignment horizontal="left" indent="5"/>
    </xf>
    <xf numFmtId="174" fontId="53" fillId="0" borderId="0" xfId="0" applyFont="1" applyAlignment="1">
      <alignment horizontal="left" indent="3"/>
    </xf>
    <xf numFmtId="195" fontId="0" fillId="0" borderId="0" xfId="0" applyNumberFormat="1"/>
    <xf numFmtId="2" fontId="83" fillId="27" borderId="24" xfId="551" applyNumberFormat="1" applyFont="1" applyFill="1" applyBorder="1" applyAlignment="1"/>
    <xf numFmtId="2" fontId="83" fillId="27" borderId="22" xfId="551" applyNumberFormat="1" applyFont="1" applyFill="1" applyBorder="1" applyAlignment="1"/>
    <xf numFmtId="0" fontId="49" fillId="0" borderId="0" xfId="919"/>
    <xf numFmtId="167" fontId="49" fillId="0" borderId="0" xfId="919" applyNumberFormat="1"/>
    <xf numFmtId="0" fontId="0" fillId="0" borderId="0" xfId="919" applyFont="1"/>
    <xf numFmtId="2" fontId="49" fillId="0" borderId="0" xfId="919" applyNumberFormat="1"/>
    <xf numFmtId="186" fontId="49" fillId="0" borderId="0" xfId="919" applyNumberFormat="1"/>
    <xf numFmtId="0" fontId="49" fillId="0" borderId="0" xfId="1092"/>
    <xf numFmtId="167" fontId="49" fillId="0" borderId="0" xfId="1092" applyNumberFormat="1"/>
    <xf numFmtId="0" fontId="49" fillId="0" borderId="0" xfId="1093"/>
    <xf numFmtId="0" fontId="49" fillId="0" borderId="0" xfId="793" applyAlignment="1">
      <alignment vertical="center"/>
    </xf>
    <xf numFmtId="0" fontId="49" fillId="0" borderId="0" xfId="793"/>
    <xf numFmtId="167" fontId="66" fillId="27" borderId="0" xfId="323" applyNumberFormat="1" applyFont="1" applyFill="1" applyBorder="1" applyAlignment="1">
      <alignment vertical="center"/>
    </xf>
    <xf numFmtId="0" fontId="86" fillId="27" borderId="21" xfId="437" applyFont="1" applyFill="1" applyBorder="1" applyAlignment="1">
      <alignment horizontal="center" vertical="center" wrapText="1"/>
    </xf>
    <xf numFmtId="167" fontId="66" fillId="27" borderId="24" xfId="323" applyNumberFormat="1" applyFont="1" applyFill="1" applyBorder="1" applyAlignment="1">
      <alignment vertical="center"/>
    </xf>
    <xf numFmtId="0" fontId="86" fillId="27" borderId="13"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86" fillId="27" borderId="17" xfId="437" applyFont="1" applyFill="1" applyBorder="1" applyAlignment="1">
      <alignment horizontal="left" vertical="center" wrapText="1"/>
    </xf>
    <xf numFmtId="0" fontId="86" fillId="27" borderId="19" xfId="437" applyFont="1" applyFill="1" applyBorder="1" applyAlignment="1">
      <alignment horizontal="left" vertical="center" wrapText="1"/>
    </xf>
    <xf numFmtId="0" fontId="64" fillId="27" borderId="13" xfId="793" applyFont="1" applyFill="1" applyBorder="1" applyAlignment="1">
      <alignment horizontal="center" vertical="center"/>
    </xf>
    <xf numFmtId="0" fontId="68" fillId="27" borderId="13" xfId="793" applyFont="1" applyFill="1" applyBorder="1" applyAlignment="1">
      <alignment horizontal="center" vertical="center"/>
    </xf>
    <xf numFmtId="0" fontId="68" fillId="27" borderId="13" xfId="793" applyFont="1" applyFill="1" applyBorder="1" applyAlignment="1">
      <alignment horizontal="center"/>
    </xf>
    <xf numFmtId="0" fontId="57" fillId="27" borderId="0" xfId="793" applyFont="1" applyFill="1" applyBorder="1" applyAlignment="1">
      <alignment horizontal="center"/>
    </xf>
    <xf numFmtId="49" fontId="68" fillId="27" borderId="23" xfId="793" applyNumberFormat="1" applyFont="1" applyFill="1" applyBorder="1" applyAlignment="1">
      <alignment horizontal="center" vertical="center"/>
    </xf>
    <xf numFmtId="49" fontId="68" fillId="27" borderId="23" xfId="793" applyNumberFormat="1" applyFont="1" applyFill="1" applyBorder="1" applyAlignment="1">
      <alignment horizontal="center" vertical="center" wrapText="1"/>
    </xf>
    <xf numFmtId="0" fontId="64" fillId="27" borderId="17" xfId="793" applyFont="1" applyFill="1" applyBorder="1" applyAlignment="1">
      <alignment horizontal="center" vertical="center"/>
    </xf>
    <xf numFmtId="0" fontId="64" fillId="27" borderId="17" xfId="793" applyFont="1" applyFill="1" applyBorder="1" applyAlignment="1">
      <alignment vertical="center"/>
    </xf>
    <xf numFmtId="0" fontId="64" fillId="27" borderId="19" xfId="793" applyFont="1" applyFill="1" applyBorder="1" applyAlignment="1">
      <alignment vertical="center"/>
    </xf>
    <xf numFmtId="0" fontId="64" fillId="27" borderId="14" xfId="793" applyFont="1" applyFill="1" applyBorder="1" applyAlignment="1">
      <alignment vertical="center"/>
    </xf>
    <xf numFmtId="0" fontId="68" fillId="27" borderId="15" xfId="793" applyFont="1" applyFill="1" applyBorder="1" applyAlignment="1">
      <alignment horizontal="center"/>
    </xf>
    <xf numFmtId="0" fontId="68" fillId="27" borderId="23" xfId="793" applyFont="1" applyFill="1" applyBorder="1" applyAlignment="1">
      <alignment horizontal="center"/>
    </xf>
    <xf numFmtId="0" fontId="68" fillId="27" borderId="19" xfId="793" applyFont="1" applyFill="1" applyBorder="1" applyAlignment="1">
      <alignment horizontal="center"/>
    </xf>
    <xf numFmtId="0" fontId="68" fillId="27" borderId="13" xfId="919" applyFont="1" applyFill="1" applyBorder="1" applyAlignment="1">
      <alignment horizontal="center" vertical="center"/>
    </xf>
    <xf numFmtId="171" fontId="57" fillId="27" borderId="24" xfId="919" applyNumberFormat="1" applyFont="1" applyFill="1" applyBorder="1"/>
    <xf numFmtId="0" fontId="68" fillId="27" borderId="23" xfId="919" applyFont="1" applyFill="1" applyBorder="1" applyAlignment="1">
      <alignment horizontal="center" vertical="center" wrapText="1"/>
    </xf>
    <xf numFmtId="0" fontId="68" fillId="27" borderId="16" xfId="919" applyFont="1" applyFill="1" applyBorder="1" applyAlignment="1">
      <alignment horizontal="center" vertical="center" wrapText="1"/>
    </xf>
    <xf numFmtId="0" fontId="68" fillId="27" borderId="19" xfId="919" applyFont="1" applyFill="1" applyBorder="1" applyAlignment="1">
      <alignment horizontal="center" vertical="center"/>
    </xf>
    <xf numFmtId="167" fontId="68" fillId="27" borderId="23" xfId="323" applyNumberFormat="1" applyFont="1" applyFill="1" applyBorder="1"/>
    <xf numFmtId="171" fontId="68" fillId="27" borderId="16" xfId="919" applyNumberFormat="1" applyFont="1" applyFill="1" applyBorder="1"/>
    <xf numFmtId="167" fontId="66" fillId="27" borderId="21" xfId="323" applyNumberFormat="1" applyFont="1" applyFill="1" applyBorder="1" applyAlignment="1">
      <alignment vertical="center"/>
    </xf>
    <xf numFmtId="167" fontId="66" fillId="27" borderId="12" xfId="323" applyNumberFormat="1" applyFont="1" applyFill="1" applyBorder="1" applyAlignment="1">
      <alignment vertical="center"/>
    </xf>
    <xf numFmtId="167" fontId="66" fillId="27" borderId="25" xfId="323" applyNumberFormat="1" applyFont="1" applyFill="1" applyBorder="1" applyAlignment="1">
      <alignment vertical="center"/>
    </xf>
    <xf numFmtId="167" fontId="66" fillId="27" borderId="20" xfId="323" applyNumberFormat="1" applyFont="1" applyFill="1" applyBorder="1" applyAlignment="1">
      <alignment vertical="center"/>
    </xf>
    <xf numFmtId="1" fontId="71" fillId="27" borderId="19" xfId="347" applyNumberFormat="1" applyFont="1" applyFill="1" applyBorder="1" applyAlignment="1">
      <alignment horizontal="center" vertical="center"/>
    </xf>
    <xf numFmtId="1" fontId="71" fillId="27" borderId="13" xfId="347" applyNumberFormat="1" applyFont="1" applyFill="1" applyBorder="1" applyAlignment="1">
      <alignment horizontal="center" vertical="center"/>
    </xf>
    <xf numFmtId="182" fontId="49" fillId="0" borderId="0" xfId="1094"/>
    <xf numFmtId="182" fontId="58" fillId="0" borderId="0" xfId="1094" applyFont="1" applyFill="1" applyBorder="1" applyAlignment="1">
      <alignment horizontal="center" vertical="center" wrapText="1"/>
    </xf>
    <xf numFmtId="182" fontId="49" fillId="0" borderId="0" xfId="1094" applyFill="1" applyBorder="1"/>
    <xf numFmtId="182" fontId="50" fillId="0" borderId="0" xfId="1094" applyFont="1" applyFill="1" applyBorder="1"/>
    <xf numFmtId="182" fontId="62" fillId="0" borderId="0" xfId="1094" applyNumberFormat="1" applyFont="1" applyFill="1" applyBorder="1" applyAlignment="1">
      <alignment horizontal="center"/>
    </xf>
    <xf numFmtId="182" fontId="58" fillId="0" borderId="0" xfId="1094" applyNumberFormat="1" applyFont="1" applyFill="1" applyBorder="1" applyAlignment="1">
      <alignment horizontal="center"/>
    </xf>
    <xf numFmtId="182" fontId="57" fillId="0" borderId="0" xfId="1094" applyFont="1" applyFill="1" applyBorder="1"/>
    <xf numFmtId="182" fontId="61" fillId="0" borderId="13" xfId="1094" applyNumberFormat="1" applyFont="1" applyFill="1" applyBorder="1" applyAlignment="1">
      <alignment horizontal="center" vertical="center" wrapText="1"/>
    </xf>
    <xf numFmtId="182" fontId="84" fillId="0" borderId="0" xfId="1094" applyFont="1" applyFill="1" applyBorder="1"/>
    <xf numFmtId="10" fontId="84" fillId="0" borderId="0" xfId="1094" applyNumberFormat="1" applyFont="1" applyFill="1" applyBorder="1"/>
    <xf numFmtId="10" fontId="58" fillId="0" borderId="13" xfId="551" applyNumberFormat="1" applyFont="1" applyFill="1" applyBorder="1" applyAlignment="1">
      <alignment vertical="center"/>
    </xf>
    <xf numFmtId="43" fontId="62" fillId="0" borderId="13" xfId="1094" applyNumberFormat="1" applyFont="1" applyFill="1" applyBorder="1" applyAlignment="1">
      <alignment horizontal="center" vertical="center"/>
    </xf>
    <xf numFmtId="43" fontId="58" fillId="0" borderId="0" xfId="1094" applyNumberFormat="1" applyFont="1" applyFill="1" applyBorder="1" applyAlignment="1">
      <alignment horizontal="center"/>
    </xf>
    <xf numFmtId="43" fontId="62" fillId="0" borderId="0" xfId="1094" applyNumberFormat="1" applyFont="1" applyFill="1" applyBorder="1" applyAlignment="1">
      <alignment horizontal="center"/>
    </xf>
    <xf numFmtId="174" fontId="83" fillId="0" borderId="17" xfId="388" applyNumberFormat="1" applyFont="1" applyFill="1" applyBorder="1" applyAlignment="1">
      <alignment horizontal="center" vertical="center"/>
    </xf>
    <xf numFmtId="41" fontId="75" fillId="27" borderId="20" xfId="328" applyNumberFormat="1" applyFont="1" applyFill="1" applyBorder="1" applyAlignment="1"/>
    <xf numFmtId="43" fontId="74" fillId="27" borderId="0" xfId="328" applyNumberFormat="1" applyFont="1" applyFill="1" applyBorder="1" applyAlignment="1">
      <alignment horizontal="right" vertical="center" wrapText="1"/>
    </xf>
    <xf numFmtId="174" fontId="83" fillId="0" borderId="19" xfId="388" applyFont="1" applyFill="1" applyBorder="1" applyAlignment="1">
      <alignment horizontal="center"/>
    </xf>
    <xf numFmtId="174" fontId="83" fillId="0" borderId="14" xfId="388" applyFont="1" applyFill="1" applyBorder="1" applyAlignment="1">
      <alignment horizontal="center"/>
    </xf>
    <xf numFmtId="174" fontId="83" fillId="0" borderId="19" xfId="388" applyNumberFormat="1" applyFont="1" applyFill="1" applyBorder="1" applyAlignment="1">
      <alignment horizontal="center" vertical="center"/>
    </xf>
    <xf numFmtId="41" fontId="75" fillId="27" borderId="21" xfId="394" applyNumberFormat="1" applyFont="1" applyFill="1" applyBorder="1" applyAlignment="1"/>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69" fillId="0" borderId="0" xfId="0" applyNumberFormat="1" applyFont="1" applyBorder="1" applyAlignment="1"/>
    <xf numFmtId="174" fontId="72" fillId="0" borderId="0" xfId="0" applyFont="1" applyFill="1" applyBorder="1" applyAlignment="1">
      <alignment horizontal="center" vertical="center" wrapText="1"/>
    </xf>
    <xf numFmtId="174" fontId="0" fillId="0" borderId="0" xfId="0" applyAlignment="1">
      <alignment horizontal="center"/>
    </xf>
    <xf numFmtId="171" fontId="66" fillId="0" borderId="0" xfId="336" applyNumberFormat="1" applyFont="1" applyFill="1" applyBorder="1" applyAlignment="1"/>
    <xf numFmtId="3" fontId="66" fillId="0" borderId="12" xfId="336" applyNumberFormat="1" applyFont="1" applyFill="1" applyBorder="1" applyAlignment="1"/>
    <xf numFmtId="171" fontId="66" fillId="0" borderId="12" xfId="336" applyNumberFormat="1" applyFont="1" applyFill="1" applyBorder="1" applyAlignment="1"/>
    <xf numFmtId="171" fontId="66" fillId="0" borderId="11" xfId="336" applyNumberFormat="1" applyFont="1" applyFill="1" applyBorder="1" applyAlignment="1"/>
    <xf numFmtId="3" fontId="86" fillId="0" borderId="12" xfId="336" applyNumberFormat="1" applyFont="1" applyFill="1" applyBorder="1" applyAlignment="1"/>
    <xf numFmtId="3" fontId="86" fillId="0" borderId="0" xfId="336" applyNumberFormat="1" applyFont="1" applyFill="1" applyBorder="1" applyAlignment="1"/>
    <xf numFmtId="3" fontId="86" fillId="27" borderId="11" xfId="336" applyNumberFormat="1" applyFont="1" applyFill="1" applyBorder="1" applyAlignment="1"/>
    <xf numFmtId="171" fontId="75" fillId="0" borderId="25" xfId="0" applyNumberFormat="1" applyFont="1" applyFill="1" applyBorder="1"/>
    <xf numFmtId="171" fontId="75" fillId="0" borderId="24" xfId="0" applyNumberFormat="1" applyFont="1" applyFill="1" applyBorder="1"/>
    <xf numFmtId="171" fontId="75" fillId="0" borderId="22" xfId="0" applyNumberFormat="1" applyFont="1" applyFill="1" applyBorder="1"/>
    <xf numFmtId="174" fontId="86" fillId="0" borderId="15" xfId="0" applyNumberFormat="1" applyFont="1" applyFill="1" applyBorder="1" applyAlignment="1">
      <alignment horizontal="center" vertical="center" wrapText="1"/>
    </xf>
    <xf numFmtId="49" fontId="86" fillId="0" borderId="0" xfId="0" applyNumberFormat="1" applyFont="1" applyFill="1" applyBorder="1" applyAlignment="1">
      <alignment horizontal="center" vertical="center"/>
    </xf>
    <xf numFmtId="49" fontId="86" fillId="0" borderId="21" xfId="0" applyNumberFormat="1" applyFont="1" applyFill="1" applyBorder="1" applyAlignment="1">
      <alignment horizontal="center" vertical="center"/>
    </xf>
    <xf numFmtId="3" fontId="66" fillId="0" borderId="21" xfId="336" applyNumberFormat="1" applyFont="1" applyFill="1" applyBorder="1" applyAlignment="1"/>
    <xf numFmtId="3" fontId="66" fillId="0" borderId="25" xfId="336" applyNumberFormat="1" applyFont="1" applyFill="1" applyBorder="1" applyAlignment="1"/>
    <xf numFmtId="3" fontId="66" fillId="0" borderId="20" xfId="336" applyNumberFormat="1" applyFont="1" applyFill="1" applyBorder="1" applyAlignment="1"/>
    <xf numFmtId="3" fontId="66" fillId="0" borderId="18" xfId="336" applyNumberFormat="1" applyFont="1" applyFill="1" applyBorder="1" applyAlignment="1"/>
    <xf numFmtId="3" fontId="66" fillId="0" borderId="11" xfId="336" applyNumberFormat="1" applyFont="1" applyFill="1" applyBorder="1" applyAlignment="1"/>
    <xf numFmtId="3" fontId="66" fillId="0" borderId="22" xfId="336" applyNumberFormat="1" applyFont="1" applyFill="1" applyBorder="1" applyAlignment="1"/>
    <xf numFmtId="174" fontId="72" fillId="0" borderId="0" xfId="0" applyFont="1" applyFill="1" applyBorder="1" applyAlignment="1">
      <alignment horizontal="center" vertical="center" wrapText="1"/>
    </xf>
    <xf numFmtId="174" fontId="68" fillId="27" borderId="23" xfId="0" applyNumberFormat="1" applyFont="1" applyFill="1" applyBorder="1" applyAlignment="1">
      <alignment horizontal="center" vertical="center" wrapText="1"/>
    </xf>
    <xf numFmtId="174" fontId="68" fillId="27" borderId="16" xfId="0" applyNumberFormat="1" applyFont="1" applyFill="1" applyBorder="1" applyAlignment="1">
      <alignment horizontal="center" vertical="center" wrapText="1"/>
    </xf>
    <xf numFmtId="17" fontId="68" fillId="27" borderId="19" xfId="394" applyNumberFormat="1" applyFont="1" applyFill="1" applyBorder="1" applyAlignment="1">
      <alignment horizontal="center"/>
    </xf>
    <xf numFmtId="17" fontId="68" fillId="27" borderId="14" xfId="394" applyNumberFormat="1" applyFont="1" applyFill="1" applyBorder="1" applyAlignment="1">
      <alignment horizontal="center"/>
    </xf>
    <xf numFmtId="167" fontId="57" fillId="27" borderId="0" xfId="394" applyNumberFormat="1" applyFont="1" applyFill="1" applyBorder="1" applyAlignment="1">
      <alignment horizontal="right"/>
    </xf>
    <xf numFmtId="167" fontId="68" fillId="27" borderId="0" xfId="394" applyNumberFormat="1" applyFont="1" applyFill="1" applyBorder="1" applyAlignment="1">
      <alignment horizontal="right"/>
    </xf>
    <xf numFmtId="167" fontId="68" fillId="27" borderId="24" xfId="394" applyNumberFormat="1" applyFont="1" applyFill="1" applyBorder="1" applyAlignment="1">
      <alignment horizontal="right"/>
    </xf>
    <xf numFmtId="2" fontId="64" fillId="27" borderId="24" xfId="394" applyNumberFormat="1" applyFont="1" applyFill="1" applyBorder="1" applyAlignment="1">
      <alignment horizontal="right"/>
    </xf>
    <xf numFmtId="167" fontId="57" fillId="27" borderId="11" xfId="394" applyNumberFormat="1" applyFont="1" applyFill="1" applyBorder="1" applyAlignment="1">
      <alignment horizontal="right"/>
    </xf>
    <xf numFmtId="167" fontId="68" fillId="27" borderId="11" xfId="394" applyNumberFormat="1" applyFont="1" applyFill="1" applyBorder="1" applyAlignment="1">
      <alignment horizontal="right"/>
    </xf>
    <xf numFmtId="2" fontId="64" fillId="27" borderId="22" xfId="394" applyNumberFormat="1" applyFont="1" applyFill="1" applyBorder="1" applyAlignment="1">
      <alignment horizontal="right"/>
    </xf>
    <xf numFmtId="167" fontId="57" fillId="27" borderId="21" xfId="394" applyNumberFormat="1" applyFont="1" applyFill="1" applyBorder="1" applyAlignment="1">
      <alignment horizontal="right"/>
    </xf>
    <xf numFmtId="167" fontId="57" fillId="27" borderId="12" xfId="394" applyNumberFormat="1" applyFont="1" applyFill="1" applyBorder="1" applyAlignment="1">
      <alignment horizontal="right"/>
    </xf>
    <xf numFmtId="167" fontId="68" fillId="27" borderId="12" xfId="394" applyNumberFormat="1" applyFont="1" applyFill="1" applyBorder="1" applyAlignment="1">
      <alignment horizontal="right"/>
    </xf>
    <xf numFmtId="167" fontId="68" fillId="27" borderId="25" xfId="394" applyNumberFormat="1" applyFont="1" applyFill="1" applyBorder="1" applyAlignment="1">
      <alignment horizontal="right"/>
    </xf>
    <xf numFmtId="167" fontId="57" fillId="27" borderId="20" xfId="394" applyNumberFormat="1" applyFont="1" applyFill="1" applyBorder="1" applyAlignment="1">
      <alignment horizontal="right"/>
    </xf>
    <xf numFmtId="167" fontId="57" fillId="27" borderId="18" xfId="394" applyNumberFormat="1" applyFont="1" applyFill="1" applyBorder="1" applyAlignment="1">
      <alignment horizontal="right"/>
    </xf>
    <xf numFmtId="171" fontId="55" fillId="27" borderId="0" xfId="328" applyNumberFormat="1" applyFont="1" applyFill="1" applyBorder="1" applyAlignment="1">
      <alignment horizontal="right" vertical="center"/>
    </xf>
    <xf numFmtId="171" fontId="84" fillId="27" borderId="0" xfId="328" applyNumberFormat="1" applyFont="1" applyFill="1" applyBorder="1" applyAlignment="1">
      <alignment horizontal="right" vertical="center"/>
    </xf>
    <xf numFmtId="3" fontId="84" fillId="27" borderId="12" xfId="328" applyNumberFormat="1" applyFont="1" applyFill="1" applyBorder="1" applyAlignment="1">
      <alignment horizontal="right" vertical="center"/>
    </xf>
    <xf numFmtId="3" fontId="84" fillId="27" borderId="12" xfId="328" applyNumberFormat="1" applyFont="1" applyFill="1" applyBorder="1" applyAlignment="1">
      <alignment vertical="center"/>
    </xf>
    <xf numFmtId="3" fontId="84" fillId="27" borderId="11" xfId="328" applyNumberFormat="1" applyFont="1" applyFill="1" applyBorder="1" applyAlignment="1">
      <alignment horizontal="right" vertical="center"/>
    </xf>
    <xf numFmtId="17" fontId="71" fillId="27" borderId="13" xfId="0" applyNumberFormat="1" applyFont="1" applyFill="1" applyBorder="1" applyAlignment="1">
      <alignment horizontal="center" vertical="center"/>
    </xf>
    <xf numFmtId="17" fontId="84" fillId="27" borderId="19" xfId="0" applyNumberFormat="1" applyFont="1" applyFill="1" applyBorder="1" applyAlignment="1">
      <alignment horizontal="center" vertical="center"/>
    </xf>
    <xf numFmtId="17" fontId="83" fillId="27" borderId="19" xfId="0" applyNumberFormat="1" applyFont="1" applyFill="1" applyBorder="1" applyAlignment="1">
      <alignment horizontal="center" vertical="center"/>
    </xf>
    <xf numFmtId="17" fontId="83" fillId="27" borderId="14" xfId="0" applyNumberFormat="1" applyFont="1" applyFill="1" applyBorder="1" applyAlignment="1">
      <alignment horizontal="center" vertical="center"/>
    </xf>
    <xf numFmtId="2" fontId="83" fillId="27" borderId="25" xfId="328" applyNumberFormat="1" applyFont="1" applyFill="1" applyBorder="1" applyAlignment="1">
      <alignment horizontal="right" vertical="center"/>
    </xf>
    <xf numFmtId="3" fontId="83" fillId="27" borderId="12" xfId="328" applyNumberFormat="1" applyFont="1" applyFill="1" applyBorder="1" applyAlignment="1">
      <alignment horizontal="right" vertical="center"/>
    </xf>
    <xf numFmtId="167" fontId="130" fillId="27" borderId="0" xfId="394" applyNumberFormat="1" applyFont="1" applyFill="1" applyBorder="1" applyAlignment="1">
      <alignment horizontal="right" indent="1"/>
    </xf>
    <xf numFmtId="167" fontId="131" fillId="27" borderId="0" xfId="323" applyNumberFormat="1" applyFont="1" applyFill="1" applyBorder="1" applyAlignment="1">
      <alignment horizontal="right" indent="1"/>
    </xf>
    <xf numFmtId="171" fontId="130" fillId="27" borderId="24" xfId="394" applyNumberFormat="1" applyFont="1" applyFill="1" applyBorder="1" applyAlignment="1">
      <alignment horizontal="right" indent="1"/>
    </xf>
    <xf numFmtId="2" fontId="130" fillId="27" borderId="24" xfId="394" applyNumberFormat="1" applyFont="1" applyFill="1" applyBorder="1" applyAlignment="1">
      <alignment horizontal="right" indent="1"/>
    </xf>
    <xf numFmtId="167" fontId="130" fillId="27" borderId="11" xfId="394" applyNumberFormat="1" applyFont="1" applyFill="1" applyBorder="1" applyAlignment="1">
      <alignment horizontal="right" indent="1"/>
    </xf>
    <xf numFmtId="167" fontId="131" fillId="27" borderId="11" xfId="323" applyNumberFormat="1" applyFont="1" applyFill="1" applyBorder="1" applyAlignment="1">
      <alignment horizontal="right" indent="1"/>
    </xf>
    <xf numFmtId="2" fontId="130" fillId="27" borderId="22" xfId="394" applyNumberFormat="1" applyFont="1" applyFill="1" applyBorder="1" applyAlignment="1">
      <alignment horizontal="right" indent="1"/>
    </xf>
    <xf numFmtId="43" fontId="64" fillId="27" borderId="23" xfId="394" applyNumberFormat="1" applyFont="1" applyFill="1" applyBorder="1" applyAlignment="1">
      <alignment horizontal="center" vertical="center" wrapText="1"/>
    </xf>
    <xf numFmtId="43" fontId="64" fillId="27" borderId="16" xfId="394" applyNumberFormat="1" applyFont="1" applyFill="1" applyBorder="1" applyAlignment="1">
      <alignment horizontal="center" vertical="center" wrapText="1"/>
    </xf>
    <xf numFmtId="43" fontId="64" fillId="27" borderId="13" xfId="394" applyNumberFormat="1" applyFont="1" applyFill="1" applyBorder="1" applyAlignment="1">
      <alignment horizontal="left" vertical="center" wrapText="1"/>
    </xf>
    <xf numFmtId="10" fontId="0" fillId="0" borderId="0" xfId="551" applyNumberFormat="1" applyFont="1" applyBorder="1" applyAlignment="1">
      <alignment horizontal="right"/>
    </xf>
    <xf numFmtId="171" fontId="57" fillId="0" borderId="0" xfId="551" applyNumberFormat="1" applyFont="1" applyFill="1" applyBorder="1" applyAlignment="1" applyProtection="1">
      <alignment horizontal="right"/>
    </xf>
    <xf numFmtId="171" fontId="0" fillId="0" borderId="0" xfId="551" applyNumberFormat="1" applyFont="1" applyBorder="1" applyAlignment="1">
      <alignment horizontal="right"/>
    </xf>
    <xf numFmtId="171" fontId="0" fillId="0" borderId="0" xfId="551" applyNumberFormat="1" applyFont="1" applyAlignment="1">
      <alignment horizontal="right"/>
    </xf>
    <xf numFmtId="174" fontId="72" fillId="0" borderId="0" xfId="0" applyFont="1" applyFill="1" applyBorder="1" applyAlignment="1">
      <alignment horizontal="center" vertical="center" wrapText="1"/>
    </xf>
    <xf numFmtId="171" fontId="71" fillId="27" borderId="0" xfId="328" applyNumberFormat="1" applyFont="1" applyFill="1" applyBorder="1" applyAlignment="1">
      <alignment horizontal="right" vertical="center"/>
    </xf>
    <xf numFmtId="171" fontId="83" fillId="27" borderId="0" xfId="328" applyNumberFormat="1" applyFont="1" applyFill="1" applyBorder="1" applyAlignment="1">
      <alignment horizontal="right" vertical="center"/>
    </xf>
    <xf numFmtId="2" fontId="83" fillId="27" borderId="0" xfId="328" applyNumberFormat="1" applyFont="1" applyFill="1" applyBorder="1" applyAlignment="1">
      <alignment horizontal="right" vertical="center"/>
    </xf>
    <xf numFmtId="49" fontId="83" fillId="27" borderId="17" xfId="0" applyNumberFormat="1" applyFont="1" applyFill="1" applyBorder="1" applyAlignment="1">
      <alignment horizontal="center" vertical="center"/>
    </xf>
    <xf numFmtId="49" fontId="83" fillId="27" borderId="19" xfId="0" applyNumberFormat="1" applyFont="1" applyFill="1" applyBorder="1" applyAlignment="1">
      <alignment horizontal="center" vertical="center"/>
    </xf>
    <xf numFmtId="49" fontId="83" fillId="27" borderId="14" xfId="0" applyNumberFormat="1" applyFont="1" applyFill="1" applyBorder="1" applyAlignment="1">
      <alignment horizontal="center" vertical="center"/>
    </xf>
    <xf numFmtId="3" fontId="84" fillId="27" borderId="21" xfId="328" applyNumberFormat="1" applyFont="1" applyFill="1" applyBorder="1" applyAlignment="1">
      <alignment horizontal="right" vertical="center"/>
    </xf>
    <xf numFmtId="188" fontId="70" fillId="0" borderId="0" xfId="0" applyNumberFormat="1" applyFont="1"/>
    <xf numFmtId="171" fontId="70" fillId="0" borderId="0" xfId="0" applyNumberFormat="1" applyFont="1"/>
    <xf numFmtId="174" fontId="132" fillId="0" borderId="0" xfId="0" applyFont="1"/>
    <xf numFmtId="174" fontId="86" fillId="0" borderId="25" xfId="0" applyNumberFormat="1" applyFont="1" applyFill="1" applyBorder="1" applyAlignment="1">
      <alignment horizontal="center" vertical="center"/>
    </xf>
    <xf numFmtId="167" fontId="86" fillId="27" borderId="15" xfId="0" applyNumberFormat="1" applyFont="1" applyFill="1" applyBorder="1" applyAlignment="1">
      <alignment horizontal="right" vertical="center"/>
    </xf>
    <xf numFmtId="171" fontId="66" fillId="27" borderId="23" xfId="0" applyNumberFormat="1" applyFont="1" applyFill="1" applyBorder="1"/>
    <xf numFmtId="171" fontId="66" fillId="27" borderId="16" xfId="0" applyNumberFormat="1" applyFont="1" applyFill="1" applyBorder="1"/>
    <xf numFmtId="174" fontId="72" fillId="0" borderId="0" xfId="0" applyFont="1" applyFill="1" applyBorder="1" applyAlignment="1">
      <alignment horizontal="center" vertical="center" wrapText="1"/>
    </xf>
    <xf numFmtId="3" fontId="83" fillId="27" borderId="2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3" fontId="83" fillId="27" borderId="25" xfId="328" applyNumberFormat="1" applyFont="1" applyFill="1" applyBorder="1" applyAlignment="1">
      <alignment horizontal="right" vertical="center"/>
    </xf>
    <xf numFmtId="3" fontId="83" fillId="27" borderId="24" xfId="328" applyNumberFormat="1" applyFont="1" applyFill="1" applyBorder="1" applyAlignment="1">
      <alignment horizontal="right" vertical="center"/>
    </xf>
    <xf numFmtId="3" fontId="83" fillId="27" borderId="22" xfId="328" applyNumberFormat="1" applyFont="1" applyFill="1" applyBorder="1" applyAlignment="1">
      <alignment horizontal="right" vertical="center"/>
    </xf>
    <xf numFmtId="43" fontId="54" fillId="0" borderId="0" xfId="0" applyNumberFormat="1" applyFont="1" applyFill="1" applyBorder="1" applyAlignment="1">
      <alignment horizontal="left"/>
    </xf>
    <xf numFmtId="174" fontId="134" fillId="0" borderId="0" xfId="0" applyFont="1" applyAlignment="1">
      <alignment horizontal="center" vertical="center"/>
    </xf>
    <xf numFmtId="174" fontId="83" fillId="27" borderId="15" xfId="391" applyFont="1" applyFill="1" applyBorder="1" applyAlignment="1">
      <alignment horizontal="center" vertical="center"/>
    </xf>
    <xf numFmtId="43" fontId="34" fillId="27" borderId="20" xfId="336" applyFont="1" applyFill="1" applyBorder="1" applyAlignment="1">
      <alignment horizontal="center" vertical="center"/>
    </xf>
    <xf numFmtId="43" fontId="83" fillId="27" borderId="15" xfId="391" applyNumberFormat="1" applyFont="1" applyFill="1" applyBorder="1" applyAlignment="1">
      <alignment horizontal="center" vertical="center"/>
    </xf>
    <xf numFmtId="171" fontId="83" fillId="27" borderId="19" xfId="391" applyNumberFormat="1" applyFont="1" applyFill="1" applyBorder="1" applyAlignment="1">
      <alignment horizontal="center" vertical="center"/>
    </xf>
    <xf numFmtId="10" fontId="83" fillId="27" borderId="19" xfId="391" applyNumberFormat="1" applyFont="1" applyFill="1" applyBorder="1" applyAlignment="1">
      <alignment horizontal="center" vertical="center"/>
    </xf>
    <xf numFmtId="10" fontId="83" fillId="27" borderId="13" xfId="391" applyNumberFormat="1" applyFont="1" applyFill="1" applyBorder="1" applyAlignment="1">
      <alignment horizontal="center" vertical="center"/>
    </xf>
    <xf numFmtId="43" fontId="71" fillId="27" borderId="15" xfId="0" applyNumberFormat="1" applyFont="1" applyFill="1" applyBorder="1" applyAlignment="1">
      <alignment horizontal="center" vertical="center"/>
    </xf>
    <xf numFmtId="43" fontId="68" fillId="27" borderId="13" xfId="394" applyNumberFormat="1" applyFont="1" applyFill="1" applyBorder="1" applyAlignment="1">
      <alignment horizontal="right"/>
    </xf>
    <xf numFmtId="174" fontId="83" fillId="27" borderId="23" xfId="0" applyFont="1" applyFill="1" applyBorder="1" applyAlignment="1">
      <alignment horizontal="center" vertical="center"/>
    </xf>
    <xf numFmtId="49" fontId="68" fillId="27" borderId="20" xfId="394" applyNumberFormat="1" applyFont="1" applyFill="1" applyBorder="1" applyAlignment="1">
      <alignment horizontal="center"/>
    </xf>
    <xf numFmtId="49" fontId="68" fillId="27" borderId="18" xfId="394" applyNumberFormat="1" applyFont="1" applyFill="1" applyBorder="1" applyAlignment="1">
      <alignment horizontal="center"/>
    </xf>
    <xf numFmtId="174" fontId="68" fillId="27" borderId="15" xfId="0" applyNumberFormat="1" applyFont="1" applyFill="1" applyBorder="1" applyAlignment="1">
      <alignment horizontal="center" vertical="center" wrapText="1"/>
    </xf>
    <xf numFmtId="171" fontId="49" fillId="0" borderId="0" xfId="551" applyNumberFormat="1" applyFont="1" applyBorder="1"/>
    <xf numFmtId="197" fontId="49" fillId="0" borderId="0" xfId="742" applyNumberFormat="1"/>
    <xf numFmtId="181" fontId="111" fillId="27" borderId="15" xfId="0" applyNumberFormat="1" applyFont="1" applyFill="1" applyBorder="1" applyAlignment="1">
      <alignment horizontal="center" vertical="center" wrapText="1"/>
    </xf>
    <xf numFmtId="174" fontId="0" fillId="0" borderId="0" xfId="0" applyAlignment="1">
      <alignment horizontal="center" wrapText="1"/>
    </xf>
    <xf numFmtId="167" fontId="66" fillId="0" borderId="20" xfId="323" applyNumberFormat="1" applyFont="1" applyFill="1" applyBorder="1" applyAlignment="1">
      <alignment vertical="center"/>
    </xf>
    <xf numFmtId="167" fontId="66" fillId="0" borderId="0" xfId="323" applyNumberFormat="1" applyFont="1" applyFill="1" applyBorder="1" applyAlignment="1">
      <alignment vertical="center"/>
    </xf>
    <xf numFmtId="0" fontId="57" fillId="0" borderId="0" xfId="793" applyFont="1" applyFill="1" applyBorder="1" applyAlignment="1">
      <alignment horizontal="center"/>
    </xf>
    <xf numFmtId="43" fontId="0" fillId="0" borderId="0" xfId="1092" applyNumberFormat="1" applyFont="1"/>
    <xf numFmtId="10" fontId="49" fillId="0" borderId="0" xfId="1092" applyNumberFormat="1"/>
    <xf numFmtId="9" fontId="49" fillId="0" borderId="0" xfId="1092" applyNumberFormat="1"/>
    <xf numFmtId="167" fontId="84" fillId="27" borderId="21" xfId="394" applyNumberFormat="1" applyFont="1" applyFill="1" applyBorder="1" applyAlignment="1">
      <alignment horizontal="center" vertical="center"/>
    </xf>
    <xf numFmtId="171" fontId="83" fillId="27" borderId="12" xfId="397" applyNumberFormat="1" applyFont="1" applyFill="1" applyBorder="1" applyAlignment="1">
      <alignment horizontal="center" vertical="center"/>
    </xf>
    <xf numFmtId="167" fontId="84" fillId="27" borderId="12" xfId="394" applyNumberFormat="1" applyFont="1" applyFill="1" applyBorder="1" applyAlignment="1">
      <alignment horizontal="center" vertical="center"/>
    </xf>
    <xf numFmtId="171" fontId="83" fillId="27" borderId="12" xfId="394" applyNumberFormat="1" applyFont="1" applyFill="1" applyBorder="1" applyAlignment="1">
      <alignment horizontal="center" vertical="center"/>
    </xf>
    <xf numFmtId="167" fontId="83" fillId="27" borderId="25" xfId="394" applyNumberFormat="1" applyFont="1" applyFill="1" applyBorder="1" applyAlignment="1">
      <alignment horizontal="center" vertical="center"/>
    </xf>
    <xf numFmtId="167" fontId="84" fillId="27" borderId="20" xfId="394" applyNumberFormat="1" applyFont="1" applyFill="1" applyBorder="1" applyAlignment="1">
      <alignment horizontal="center" vertical="center"/>
    </xf>
    <xf numFmtId="171" fontId="83" fillId="27" borderId="0" xfId="397" applyNumberFormat="1" applyFont="1" applyFill="1" applyBorder="1" applyAlignment="1">
      <alignment horizontal="center" vertical="center"/>
    </xf>
    <xf numFmtId="167" fontId="84" fillId="27" borderId="0" xfId="394" applyNumberFormat="1" applyFont="1" applyFill="1" applyBorder="1" applyAlignment="1">
      <alignment horizontal="center" vertical="center"/>
    </xf>
    <xf numFmtId="171" fontId="83" fillId="27" borderId="0" xfId="394" applyNumberFormat="1" applyFont="1" applyFill="1" applyBorder="1" applyAlignment="1">
      <alignment horizontal="center" vertical="center"/>
    </xf>
    <xf numFmtId="167" fontId="83" fillId="27" borderId="24" xfId="394" applyNumberFormat="1" applyFont="1" applyFill="1" applyBorder="1" applyAlignment="1">
      <alignment horizontal="center" vertical="center"/>
    </xf>
    <xf numFmtId="167" fontId="84" fillId="27" borderId="18" xfId="394" applyNumberFormat="1" applyFont="1" applyFill="1" applyBorder="1" applyAlignment="1">
      <alignment horizontal="center" vertical="center"/>
    </xf>
    <xf numFmtId="171" fontId="83" fillId="27" borderId="11" xfId="397" applyNumberFormat="1" applyFont="1" applyFill="1" applyBorder="1" applyAlignment="1">
      <alignment horizontal="center" vertical="center"/>
    </xf>
    <xf numFmtId="167" fontId="84" fillId="27" borderId="11" xfId="394" applyNumberFormat="1" applyFont="1" applyFill="1" applyBorder="1" applyAlignment="1">
      <alignment horizontal="center" vertical="center"/>
    </xf>
    <xf numFmtId="171" fontId="83" fillId="27" borderId="11" xfId="394" applyNumberFormat="1" applyFont="1" applyFill="1" applyBorder="1" applyAlignment="1">
      <alignment horizontal="center" vertical="center"/>
    </xf>
    <xf numFmtId="167" fontId="83" fillId="27" borderId="22" xfId="394" applyNumberFormat="1" applyFont="1" applyFill="1" applyBorder="1" applyAlignment="1">
      <alignment horizontal="center" vertical="center"/>
    </xf>
    <xf numFmtId="17" fontId="71" fillId="27" borderId="20" xfId="0" applyNumberFormat="1" applyFont="1" applyFill="1" applyBorder="1" applyAlignment="1">
      <alignment horizontal="center" vertical="center"/>
    </xf>
    <xf numFmtId="3" fontId="55" fillId="27" borderId="20" xfId="328" applyNumberFormat="1" applyFont="1" applyFill="1" applyBorder="1" applyAlignment="1">
      <alignment vertical="center"/>
    </xf>
    <xf numFmtId="3" fontId="55" fillId="27" borderId="0" xfId="328" applyNumberFormat="1" applyFont="1" applyFill="1" applyBorder="1" applyAlignment="1">
      <alignment horizontal="right" vertical="center"/>
    </xf>
    <xf numFmtId="3" fontId="71" fillId="27" borderId="0" xfId="328" applyNumberFormat="1" applyFont="1" applyFill="1" applyBorder="1" applyAlignment="1">
      <alignment horizontal="right" vertical="center"/>
    </xf>
    <xf numFmtId="174" fontId="63" fillId="0" borderId="24" xfId="0" applyFont="1" applyBorder="1"/>
    <xf numFmtId="3" fontId="55" fillId="27" borderId="20" xfId="328" applyNumberFormat="1" applyFont="1" applyFill="1" applyBorder="1" applyAlignment="1">
      <alignment horizontal="right" vertical="center"/>
    </xf>
    <xf numFmtId="2" fontId="71" fillId="27" borderId="0" xfId="328" applyNumberFormat="1" applyFont="1" applyFill="1" applyBorder="1" applyAlignment="1">
      <alignment horizontal="right" vertical="center"/>
    </xf>
    <xf numFmtId="49" fontId="71" fillId="27" borderId="17" xfId="0" applyNumberFormat="1" applyFont="1" applyFill="1" applyBorder="1" applyAlignment="1">
      <alignment horizontal="center" vertical="center"/>
    </xf>
    <xf numFmtId="3" fontId="55" fillId="27" borderId="21" xfId="328" applyNumberFormat="1" applyFont="1" applyFill="1" applyBorder="1" applyAlignment="1">
      <alignment horizontal="right" vertical="center"/>
    </xf>
    <xf numFmtId="3" fontId="55" fillId="27" borderId="12" xfId="328" applyNumberFormat="1" applyFont="1" applyFill="1" applyBorder="1" applyAlignment="1">
      <alignment horizontal="right" vertical="center"/>
    </xf>
    <xf numFmtId="3" fontId="71" fillId="27" borderId="25" xfId="328" applyNumberFormat="1" applyFont="1" applyFill="1" applyBorder="1" applyAlignment="1">
      <alignment horizontal="right" vertical="center"/>
    </xf>
    <xf numFmtId="3" fontId="71" fillId="27" borderId="24" xfId="328" applyNumberFormat="1" applyFont="1" applyFill="1" applyBorder="1" applyAlignment="1">
      <alignment horizontal="right" vertical="center"/>
    </xf>
    <xf numFmtId="3" fontId="55" fillId="27" borderId="18" xfId="328" applyNumberFormat="1" applyFont="1" applyFill="1" applyBorder="1" applyAlignment="1">
      <alignment horizontal="right" vertical="center"/>
    </xf>
    <xf numFmtId="3" fontId="55" fillId="27" borderId="11" xfId="328" applyNumberFormat="1" applyFont="1" applyFill="1" applyBorder="1" applyAlignment="1">
      <alignment horizontal="right" vertical="center"/>
    </xf>
    <xf numFmtId="3" fontId="71" fillId="27" borderId="22" xfId="328" applyNumberFormat="1" applyFont="1" applyFill="1" applyBorder="1" applyAlignment="1">
      <alignment horizontal="right" vertical="center"/>
    </xf>
    <xf numFmtId="43" fontId="86" fillId="27" borderId="15" xfId="0" applyNumberFormat="1" applyFont="1" applyFill="1" applyBorder="1" applyAlignment="1">
      <alignment horizontal="center" vertical="center" wrapText="1"/>
    </xf>
    <xf numFmtId="43" fontId="86" fillId="27" borderId="23" xfId="0" applyNumberFormat="1" applyFont="1" applyFill="1" applyBorder="1" applyAlignment="1">
      <alignment horizontal="center" vertical="center" wrapText="1"/>
    </xf>
    <xf numFmtId="43" fontId="86" fillId="27" borderId="16" xfId="0" applyNumberFormat="1" applyFont="1" applyFill="1" applyBorder="1" applyAlignment="1">
      <alignment horizontal="center" vertical="center" wrapText="1"/>
    </xf>
    <xf numFmtId="43" fontId="63" fillId="27" borderId="0" xfId="323" applyFont="1" applyFill="1"/>
    <xf numFmtId="174" fontId="63" fillId="27" borderId="0" xfId="388" applyNumberFormat="1" applyFont="1" applyFill="1"/>
    <xf numFmtId="174" fontId="63" fillId="27" borderId="0" xfId="0" applyFont="1" applyFill="1"/>
    <xf numFmtId="43" fontId="71" fillId="27" borderId="13" xfId="336" applyFont="1" applyFill="1" applyBorder="1" applyAlignment="1">
      <alignment vertical="center"/>
    </xf>
    <xf numFmtId="174" fontId="64" fillId="27" borderId="13" xfId="0" applyNumberFormat="1" applyFont="1" applyFill="1" applyBorder="1" applyAlignment="1">
      <alignment horizontal="center" vertical="center"/>
    </xf>
    <xf numFmtId="174" fontId="64" fillId="27" borderId="13" xfId="0" applyNumberFormat="1" applyFont="1" applyFill="1" applyBorder="1" applyAlignment="1">
      <alignment horizontal="center" vertical="center" wrapText="1"/>
    </xf>
    <xf numFmtId="174" fontId="64" fillId="37" borderId="23" xfId="0" applyNumberFormat="1" applyFont="1" applyFill="1" applyBorder="1" applyAlignment="1">
      <alignment horizontal="center" vertical="center" wrapText="1"/>
    </xf>
    <xf numFmtId="49" fontId="64" fillId="37" borderId="23" xfId="0" applyNumberFormat="1" applyFont="1" applyFill="1" applyBorder="1" applyAlignment="1">
      <alignment horizontal="center" vertical="center" wrapText="1"/>
    </xf>
    <xf numFmtId="49" fontId="64" fillId="37" borderId="23" xfId="0" applyNumberFormat="1" applyFont="1" applyFill="1" applyBorder="1" applyAlignment="1">
      <alignment horizontal="center" vertical="center"/>
    </xf>
    <xf numFmtId="49" fontId="64" fillId="37" borderId="16" xfId="0" applyNumberFormat="1" applyFont="1" applyFill="1" applyBorder="1" applyAlignment="1">
      <alignment horizontal="center" vertical="center"/>
    </xf>
    <xf numFmtId="174" fontId="64" fillId="27" borderId="19" xfId="0" applyNumberFormat="1" applyFont="1" applyFill="1" applyBorder="1" applyAlignment="1">
      <alignment horizontal="left" vertical="center"/>
    </xf>
    <xf numFmtId="43" fontId="64" fillId="27" borderId="19" xfId="0" applyNumberFormat="1" applyFont="1" applyFill="1" applyBorder="1" applyAlignment="1">
      <alignment horizontal="left"/>
    </xf>
    <xf numFmtId="43" fontId="64" fillId="37" borderId="0" xfId="0" applyNumberFormat="1" applyFont="1" applyFill="1" applyBorder="1" applyAlignment="1">
      <alignment horizontal="left"/>
    </xf>
    <xf numFmtId="43" fontId="82" fillId="37" borderId="0" xfId="0" applyNumberFormat="1" applyFont="1" applyFill="1" applyBorder="1" applyAlignment="1">
      <alignment horizontal="right"/>
    </xf>
    <xf numFmtId="43" fontId="82" fillId="37" borderId="24" xfId="0" applyNumberFormat="1" applyFont="1" applyFill="1" applyBorder="1" applyAlignment="1">
      <alignment horizontal="right"/>
    </xf>
    <xf numFmtId="43" fontId="64" fillId="27" borderId="0" xfId="0" applyNumberFormat="1" applyFont="1" applyFill="1" applyBorder="1" applyAlignment="1">
      <alignment horizontal="left"/>
    </xf>
    <xf numFmtId="43" fontId="82" fillId="27" borderId="0" xfId="0" applyNumberFormat="1" applyFont="1" applyFill="1" applyBorder="1" applyAlignment="1">
      <alignment horizontal="right"/>
    </xf>
    <xf numFmtId="43" fontId="64" fillId="27" borderId="13" xfId="323" applyFont="1" applyFill="1" applyBorder="1" applyAlignment="1">
      <alignment horizontal="center" vertical="center"/>
    </xf>
    <xf numFmtId="43" fontId="64" fillId="37" borderId="23" xfId="323" applyFont="1" applyFill="1" applyBorder="1" applyAlignment="1">
      <alignment horizontal="center" vertical="center"/>
    </xf>
    <xf numFmtId="43" fontId="64" fillId="37" borderId="23" xfId="323" applyFont="1" applyFill="1" applyBorder="1" applyAlignment="1">
      <alignment horizontal="right" vertical="center"/>
    </xf>
    <xf numFmtId="43" fontId="64" fillId="37" borderId="16" xfId="323" applyFont="1" applyFill="1" applyBorder="1" applyAlignment="1">
      <alignment horizontal="right" vertical="center"/>
    </xf>
    <xf numFmtId="174" fontId="135" fillId="0" borderId="0" xfId="0" applyFont="1" applyAlignment="1">
      <alignment horizontal="center" vertical="center"/>
    </xf>
    <xf numFmtId="189" fontId="57" fillId="27" borderId="0" xfId="0" applyNumberFormat="1" applyFont="1" applyFill="1" applyBorder="1"/>
    <xf numFmtId="0" fontId="65" fillId="0" borderId="0" xfId="579" applyFont="1"/>
    <xf numFmtId="4" fontId="65" fillId="0" borderId="0" xfId="579" applyNumberFormat="1" applyFont="1"/>
    <xf numFmtId="43" fontId="65" fillId="0" borderId="0" xfId="323" applyFont="1"/>
    <xf numFmtId="43" fontId="65" fillId="0" borderId="0" xfId="579" applyNumberFormat="1" applyFont="1"/>
    <xf numFmtId="171" fontId="49" fillId="0" borderId="0" xfId="551" applyNumberFormat="1"/>
    <xf numFmtId="171" fontId="49" fillId="0" borderId="0" xfId="579" applyNumberFormat="1"/>
    <xf numFmtId="176" fontId="52" fillId="0" borderId="0" xfId="551" applyNumberFormat="1" applyFont="1"/>
    <xf numFmtId="3" fontId="71" fillId="27" borderId="13" xfId="323" applyNumberFormat="1" applyFont="1" applyFill="1" applyBorder="1" applyAlignment="1">
      <alignment horizontal="center" vertical="center"/>
    </xf>
    <xf numFmtId="3" fontId="71" fillId="27" borderId="15" xfId="323" applyNumberFormat="1" applyFont="1" applyFill="1" applyBorder="1" applyAlignment="1">
      <alignment horizontal="center" vertical="center"/>
    </xf>
    <xf numFmtId="38" fontId="71" fillId="27" borderId="13" xfId="323" applyNumberFormat="1" applyFont="1" applyFill="1" applyBorder="1" applyAlignment="1">
      <alignment horizontal="center" vertical="center"/>
    </xf>
    <xf numFmtId="43" fontId="64" fillId="33" borderId="0" xfId="0" applyNumberFormat="1" applyFont="1" applyFill="1" applyBorder="1" applyAlignment="1">
      <alignment horizontal="left"/>
    </xf>
    <xf numFmtId="43" fontId="82" fillId="33" borderId="0" xfId="0" applyNumberFormat="1" applyFont="1" applyFill="1" applyBorder="1" applyAlignment="1">
      <alignment horizontal="left"/>
    </xf>
    <xf numFmtId="43" fontId="82" fillId="33" borderId="0" xfId="0" applyNumberFormat="1" applyFont="1" applyFill="1" applyBorder="1" applyAlignment="1">
      <alignment horizontal="right"/>
    </xf>
    <xf numFmtId="43" fontId="82" fillId="33" borderId="24" xfId="0" applyNumberFormat="1" applyFont="1" applyFill="1" applyBorder="1" applyAlignment="1">
      <alignment horizontal="right"/>
    </xf>
    <xf numFmtId="182" fontId="61" fillId="0" borderId="14" xfId="1094" applyNumberFormat="1" applyFont="1" applyFill="1" applyBorder="1" applyAlignment="1">
      <alignment horizontal="center" vertical="center"/>
    </xf>
    <xf numFmtId="182" fontId="58" fillId="0" borderId="14" xfId="1094" applyNumberFormat="1" applyFont="1" applyFill="1" applyBorder="1" applyAlignment="1">
      <alignment vertical="center"/>
    </xf>
    <xf numFmtId="196" fontId="58" fillId="0" borderId="14" xfId="1094" applyNumberFormat="1" applyFont="1" applyFill="1" applyBorder="1" applyAlignment="1">
      <alignment vertical="center"/>
    </xf>
    <xf numFmtId="169" fontId="58" fillId="0" borderId="14" xfId="1094" applyNumberFormat="1" applyFont="1" applyFill="1" applyBorder="1" applyAlignment="1">
      <alignment vertical="center"/>
    </xf>
    <xf numFmtId="167" fontId="62" fillId="0" borderId="14" xfId="1094" applyNumberFormat="1" applyFont="1" applyFill="1" applyBorder="1" applyAlignment="1">
      <alignment horizontal="center" vertical="center"/>
    </xf>
    <xf numFmtId="4" fontId="83" fillId="27" borderId="16" xfId="0" applyNumberFormat="1" applyFont="1" applyFill="1" applyBorder="1" applyAlignment="1">
      <alignment horizontal="right"/>
    </xf>
    <xf numFmtId="175" fontId="55" fillId="27" borderId="24" xfId="0" applyNumberFormat="1" applyFont="1" applyFill="1" applyBorder="1" applyAlignment="1">
      <alignment horizontal="right"/>
    </xf>
    <xf numFmtId="182" fontId="0" fillId="0" borderId="0" xfId="1094" applyFont="1" applyFill="1" applyBorder="1"/>
    <xf numFmtId="182" fontId="75" fillId="0" borderId="0" xfId="1094" applyFont="1" applyFill="1" applyBorder="1"/>
    <xf numFmtId="182" fontId="71" fillId="0" borderId="0" xfId="1094" applyNumberFormat="1" applyFont="1" applyFill="1" applyBorder="1" applyAlignment="1">
      <alignment horizontal="center"/>
    </xf>
    <xf numFmtId="0" fontId="49" fillId="0" borderId="0" xfId="744"/>
    <xf numFmtId="0" fontId="136" fillId="0" borderId="0" xfId="744" applyFont="1" applyBorder="1" applyAlignment="1">
      <alignment horizontal="center" vertical="center"/>
    </xf>
    <xf numFmtId="0" fontId="49" fillId="0" borderId="0" xfId="744" applyAlignment="1">
      <alignment vertical="center"/>
    </xf>
    <xf numFmtId="0" fontId="71" fillId="0" borderId="13" xfId="744" applyFont="1" applyFill="1" applyBorder="1" applyAlignment="1">
      <alignment horizontal="center" vertical="center"/>
    </xf>
    <xf numFmtId="0" fontId="71" fillId="0" borderId="13" xfId="744" applyFont="1" applyFill="1" applyBorder="1" applyAlignment="1">
      <alignment horizontal="center" vertical="center" wrapText="1"/>
    </xf>
    <xf numFmtId="0" fontId="68" fillId="0" borderId="13" xfId="744" applyFont="1" applyFill="1" applyBorder="1" applyAlignment="1">
      <alignment horizontal="center"/>
    </xf>
    <xf numFmtId="43" fontId="68" fillId="0" borderId="13" xfId="323" applyFont="1" applyFill="1" applyBorder="1"/>
    <xf numFmtId="43" fontId="57" fillId="0" borderId="0" xfId="323" applyFont="1" applyFill="1" applyBorder="1"/>
    <xf numFmtId="0" fontId="71" fillId="0" borderId="23" xfId="744" applyFont="1" applyFill="1" applyBorder="1" applyAlignment="1">
      <alignment horizontal="center" vertical="center" wrapText="1"/>
    </xf>
    <xf numFmtId="0" fontId="71" fillId="0" borderId="16" xfId="744" applyFont="1" applyFill="1" applyBorder="1" applyAlignment="1">
      <alignment horizontal="center" vertical="center"/>
    </xf>
    <xf numFmtId="0" fontId="68" fillId="0" borderId="19" xfId="744" applyFont="1" applyFill="1" applyBorder="1" applyAlignment="1">
      <alignment horizontal="center"/>
    </xf>
    <xf numFmtId="43" fontId="68" fillId="0" borderId="23" xfId="323" applyFont="1" applyFill="1" applyBorder="1"/>
    <xf numFmtId="43" fontId="68" fillId="0" borderId="16" xfId="323" applyFont="1" applyFill="1" applyBorder="1"/>
    <xf numFmtId="43" fontId="68" fillId="0" borderId="19" xfId="323" applyFont="1" applyFill="1" applyBorder="1"/>
    <xf numFmtId="10" fontId="68" fillId="0" borderId="24" xfId="551" applyNumberFormat="1"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1" fontId="0" fillId="0" borderId="0" xfId="0" applyNumberFormat="1" applyFont="1"/>
    <xf numFmtId="174" fontId="0" fillId="27" borderId="0" xfId="0" applyNumberFormat="1" applyFont="1" applyFill="1"/>
    <xf numFmtId="174" fontId="0" fillId="27" borderId="0" xfId="0" applyFont="1" applyFill="1" applyBorder="1"/>
    <xf numFmtId="3" fontId="55" fillId="27" borderId="19" xfId="328" applyNumberFormat="1" applyFont="1" applyFill="1" applyBorder="1" applyAlignment="1">
      <alignment vertical="center"/>
    </xf>
    <xf numFmtId="3" fontId="71" fillId="27" borderId="17" xfId="328" applyNumberFormat="1" applyFont="1" applyFill="1" applyBorder="1" applyAlignment="1">
      <alignment horizontal="right" vertical="center"/>
    </xf>
    <xf numFmtId="3" fontId="71" fillId="27" borderId="19" xfId="328" applyNumberFormat="1" applyFont="1" applyFill="1" applyBorder="1" applyAlignment="1">
      <alignment horizontal="right" vertical="center"/>
    </xf>
    <xf numFmtId="3" fontId="71" fillId="27" borderId="14" xfId="328" applyNumberFormat="1" applyFont="1" applyFill="1" applyBorder="1" applyAlignment="1">
      <alignment horizontal="right" vertical="center"/>
    </xf>
    <xf numFmtId="174" fontId="63" fillId="0" borderId="19" xfId="0" applyFont="1" applyBorder="1"/>
    <xf numFmtId="17" fontId="71" fillId="27" borderId="17" xfId="0" applyNumberFormat="1" applyFont="1" applyFill="1" applyBorder="1" applyAlignment="1">
      <alignment horizontal="center" vertical="center"/>
    </xf>
    <xf numFmtId="174" fontId="71" fillId="27" borderId="12" xfId="388" applyFont="1" applyFill="1" applyBorder="1" applyAlignment="1">
      <alignment horizontal="center" vertical="center"/>
    </xf>
    <xf numFmtId="3" fontId="55" fillId="0" borderId="0" xfId="325" applyNumberFormat="1" applyFont="1" applyFill="1" applyBorder="1" applyAlignment="1">
      <alignment horizontal="center" vertical="center"/>
    </xf>
    <xf numFmtId="3" fontId="55" fillId="0" borderId="0" xfId="328" applyNumberFormat="1" applyFont="1" applyFill="1" applyBorder="1" applyAlignment="1">
      <alignment horizontal="center" vertical="center"/>
    </xf>
    <xf numFmtId="171" fontId="0" fillId="0" borderId="0" xfId="0" applyNumberFormat="1" applyFill="1" applyBorder="1" applyAlignment="1">
      <alignment vertical="center"/>
    </xf>
    <xf numFmtId="171" fontId="63" fillId="0" borderId="0" xfId="0" applyNumberFormat="1" applyFont="1" applyFill="1" applyBorder="1" applyAlignment="1">
      <alignment horizontal="center" vertical="center"/>
    </xf>
    <xf numFmtId="171" fontId="70" fillId="0" borderId="0" xfId="0" applyNumberFormat="1" applyFont="1" applyFill="1" applyBorder="1" applyAlignment="1">
      <alignment horizontal="center" vertical="center"/>
    </xf>
    <xf numFmtId="174" fontId="71" fillId="27" borderId="17" xfId="388" applyFont="1" applyFill="1" applyBorder="1" applyAlignment="1">
      <alignment horizontal="center" vertical="center" wrapText="1"/>
    </xf>
    <xf numFmtId="174" fontId="71" fillId="27" borderId="12" xfId="388" applyFont="1" applyFill="1" applyBorder="1" applyAlignment="1">
      <alignment horizontal="center" vertical="center" wrapText="1"/>
    </xf>
    <xf numFmtId="174" fontId="71" fillId="27" borderId="12" xfId="0" applyFont="1" applyFill="1" applyBorder="1" applyAlignment="1">
      <alignment horizontal="center" vertical="center" wrapText="1"/>
    </xf>
    <xf numFmtId="174" fontId="71" fillId="27" borderId="17" xfId="0" applyFont="1" applyFill="1" applyBorder="1" applyAlignment="1">
      <alignment horizontal="center" vertical="center" wrapText="1"/>
    </xf>
    <xf numFmtId="174" fontId="63" fillId="0" borderId="0" xfId="0" applyFont="1" applyBorder="1" applyAlignment="1">
      <alignment vertical="center"/>
    </xf>
    <xf numFmtId="10" fontId="63" fillId="0" borderId="0" xfId="0" applyNumberFormat="1" applyFont="1" applyBorder="1" applyAlignment="1">
      <alignment vertical="center"/>
    </xf>
    <xf numFmtId="10" fontId="63" fillId="0" borderId="0" xfId="551" applyNumberFormat="1" applyFont="1" applyBorder="1"/>
    <xf numFmtId="10" fontId="63" fillId="0" borderId="0" xfId="551" applyNumberFormat="1" applyFont="1" applyBorder="1" applyAlignment="1">
      <alignment vertical="center"/>
    </xf>
    <xf numFmtId="167" fontId="55" fillId="27" borderId="12" xfId="323" applyNumberFormat="1" applyFont="1" applyFill="1" applyBorder="1" applyAlignment="1"/>
    <xf numFmtId="167" fontId="71" fillId="27" borderId="17" xfId="323" applyNumberFormat="1" applyFont="1" applyFill="1" applyBorder="1" applyAlignment="1"/>
    <xf numFmtId="10" fontId="71" fillId="27" borderId="23" xfId="0" applyNumberFormat="1" applyFont="1" applyFill="1" applyBorder="1"/>
    <xf numFmtId="9" fontId="71" fillId="27" borderId="13" xfId="0" applyNumberFormat="1" applyFont="1" applyFill="1" applyBorder="1" applyAlignment="1">
      <alignment horizontal="center"/>
    </xf>
    <xf numFmtId="17" fontId="71" fillId="0" borderId="0" xfId="336" applyNumberFormat="1" applyFont="1" applyFill="1" applyBorder="1" applyAlignment="1">
      <alignment horizontal="left" vertical="center"/>
    </xf>
    <xf numFmtId="0" fontId="55" fillId="0" borderId="0" xfId="328" applyNumberFormat="1" applyFont="1" applyFill="1" applyBorder="1" applyAlignment="1">
      <alignment horizontal="center" vertical="center"/>
    </xf>
    <xf numFmtId="17" fontId="71" fillId="0" borderId="13" xfId="336" applyNumberFormat="1" applyFont="1" applyFill="1" applyBorder="1" applyAlignment="1">
      <alignment horizontal="left" vertical="center"/>
    </xf>
    <xf numFmtId="3" fontId="55" fillId="0" borderId="12" xfId="328" applyNumberFormat="1" applyFont="1" applyFill="1" applyBorder="1" applyAlignment="1">
      <alignment horizontal="center" vertical="center"/>
    </xf>
    <xf numFmtId="171" fontId="68" fillId="0" borderId="25" xfId="0" applyNumberFormat="1" applyFont="1" applyBorder="1"/>
    <xf numFmtId="171" fontId="68" fillId="0" borderId="24" xfId="0" applyNumberFormat="1" applyFont="1" applyBorder="1"/>
    <xf numFmtId="10" fontId="63" fillId="0" borderId="0" xfId="0" applyNumberFormat="1" applyFont="1"/>
    <xf numFmtId="10" fontId="63" fillId="0" borderId="0" xfId="388" applyNumberFormat="1" applyFont="1"/>
    <xf numFmtId="0" fontId="68" fillId="27" borderId="21" xfId="742" applyFont="1" applyFill="1" applyBorder="1" applyAlignment="1">
      <alignment horizontal="center"/>
    </xf>
    <xf numFmtId="43" fontId="57" fillId="27" borderId="12" xfId="323" applyFont="1" applyFill="1" applyBorder="1" applyAlignment="1">
      <alignment horizontal="center"/>
    </xf>
    <xf numFmtId="43" fontId="57" fillId="27" borderId="25" xfId="323" applyFont="1" applyFill="1" applyBorder="1" applyAlignment="1">
      <alignment horizontal="center"/>
    </xf>
    <xf numFmtId="43" fontId="57" fillId="27" borderId="24" xfId="323" applyFont="1" applyFill="1" applyBorder="1" applyAlignment="1">
      <alignment horizontal="center"/>
    </xf>
    <xf numFmtId="0" fontId="68" fillId="27" borderId="18" xfId="742" applyFont="1" applyFill="1" applyBorder="1" applyAlignment="1">
      <alignment horizontal="center"/>
    </xf>
    <xf numFmtId="43" fontId="57" fillId="27" borderId="11" xfId="323" applyFont="1" applyFill="1" applyBorder="1" applyAlignment="1">
      <alignment horizontal="center"/>
    </xf>
    <xf numFmtId="43" fontId="68" fillId="27" borderId="22" xfId="323" applyFont="1" applyFill="1" applyBorder="1" applyAlignment="1">
      <alignment horizontal="center"/>
    </xf>
    <xf numFmtId="40" fontId="55" fillId="27" borderId="20" xfId="335" applyNumberFormat="1" applyFont="1" applyFill="1" applyBorder="1"/>
    <xf numFmtId="40" fontId="55" fillId="27" borderId="20" xfId="335" applyNumberFormat="1" applyFont="1" applyFill="1" applyBorder="1" applyAlignment="1">
      <alignment horizontal="right"/>
    </xf>
    <xf numFmtId="40" fontId="55" fillId="27" borderId="20" xfId="0" applyNumberFormat="1" applyFont="1" applyFill="1" applyBorder="1"/>
    <xf numFmtId="40" fontId="55" fillId="27" borderId="18" xfId="0" applyNumberFormat="1" applyFont="1" applyFill="1" applyBorder="1"/>
    <xf numFmtId="40" fontId="55" fillId="27" borderId="11" xfId="0" applyNumberFormat="1" applyFont="1" applyFill="1" applyBorder="1" applyAlignment="1">
      <alignment vertical="center"/>
    </xf>
    <xf numFmtId="40" fontId="71" fillId="27" borderId="22" xfId="0" applyNumberFormat="1" applyFont="1" applyFill="1" applyBorder="1"/>
    <xf numFmtId="171" fontId="0" fillId="0" borderId="0" xfId="0" applyNumberFormat="1" applyFill="1" applyBorder="1"/>
    <xf numFmtId="9" fontId="0" fillId="0" borderId="0" xfId="0" applyNumberFormat="1" applyFill="1" applyBorder="1"/>
    <xf numFmtId="1" fontId="71" fillId="27" borderId="20" xfId="0" applyNumberFormat="1" applyFont="1" applyFill="1" applyBorder="1" applyAlignment="1">
      <alignment horizontal="center"/>
    </xf>
    <xf numFmtId="1" fontId="71" fillId="27" borderId="18" xfId="0" applyNumberFormat="1" applyFont="1" applyFill="1" applyBorder="1" applyAlignment="1">
      <alignment horizontal="center"/>
    </xf>
    <xf numFmtId="2" fontId="49" fillId="0" borderId="0" xfId="446" applyNumberFormat="1" applyFont="1"/>
    <xf numFmtId="10" fontId="49" fillId="0" borderId="0" xfId="448" applyNumberFormat="1" applyFont="1"/>
    <xf numFmtId="174" fontId="83" fillId="27" borderId="15" xfId="0" applyNumberFormat="1" applyFont="1" applyFill="1" applyBorder="1" applyAlignment="1">
      <alignment horizontal="center" vertical="center" wrapText="1"/>
    </xf>
    <xf numFmtId="174" fontId="71" fillId="27" borderId="16" xfId="388" applyFont="1" applyFill="1" applyBorder="1" applyAlignment="1">
      <alignment horizontal="center" vertical="center" wrapText="1"/>
    </xf>
    <xf numFmtId="4" fontId="55" fillId="27" borderId="24" xfId="323" applyNumberFormat="1" applyFont="1" applyFill="1" applyBorder="1" applyAlignment="1">
      <alignment horizontal="right"/>
    </xf>
    <xf numFmtId="49" fontId="71" fillId="27" borderId="13" xfId="388" applyNumberFormat="1" applyFont="1" applyFill="1" applyBorder="1" applyAlignment="1">
      <alignment horizontal="center"/>
    </xf>
    <xf numFmtId="4" fontId="71" fillId="27" borderId="16" xfId="323" applyNumberFormat="1" applyFont="1" applyFill="1" applyBorder="1" applyAlignment="1">
      <alignment horizontal="right"/>
    </xf>
    <xf numFmtId="43" fontId="71" fillId="27" borderId="20" xfId="0" applyNumberFormat="1" applyFont="1" applyFill="1" applyBorder="1" applyAlignment="1">
      <alignment horizontal="center" vertical="center"/>
    </xf>
    <xf numFmtId="43" fontId="71" fillId="27" borderId="18" xfId="0" applyNumberFormat="1" applyFont="1" applyFill="1" applyBorder="1" applyAlignment="1">
      <alignment horizontal="center" vertical="center"/>
    </xf>
    <xf numFmtId="4" fontId="55" fillId="27" borderId="0" xfId="323" applyNumberFormat="1" applyFont="1" applyFill="1" applyBorder="1" applyAlignment="1">
      <alignment horizontal="right"/>
    </xf>
    <xf numFmtId="4" fontId="55" fillId="27" borderId="20" xfId="323" applyNumberFormat="1" applyFont="1" applyFill="1" applyBorder="1" applyAlignment="1">
      <alignment horizontal="right"/>
    </xf>
    <xf numFmtId="4" fontId="55" fillId="27" borderId="18" xfId="323" applyNumberFormat="1" applyFont="1" applyFill="1" applyBorder="1" applyAlignment="1">
      <alignment horizontal="right"/>
    </xf>
    <xf numFmtId="4" fontId="55" fillId="27" borderId="11" xfId="323" applyNumberFormat="1" applyFont="1" applyFill="1" applyBorder="1" applyAlignment="1">
      <alignment horizontal="right"/>
    </xf>
    <xf numFmtId="174" fontId="71" fillId="27" borderId="15" xfId="388" applyFont="1" applyFill="1" applyBorder="1" applyAlignment="1">
      <alignment horizontal="center" vertical="center" wrapText="1"/>
    </xf>
    <xf numFmtId="174" fontId="71" fillId="27" borderId="23" xfId="388" applyFont="1" applyFill="1" applyBorder="1" applyAlignment="1">
      <alignment horizontal="center" vertical="center" wrapText="1"/>
    </xf>
    <xf numFmtId="174" fontId="71" fillId="27" borderId="13" xfId="388" applyFont="1" applyFill="1" applyBorder="1" applyAlignment="1">
      <alignment horizontal="center" vertical="center" wrapText="1"/>
    </xf>
    <xf numFmtId="4" fontId="71" fillId="27" borderId="19" xfId="323" applyNumberFormat="1" applyFont="1" applyFill="1" applyBorder="1" applyAlignment="1">
      <alignment horizontal="right"/>
    </xf>
    <xf numFmtId="4" fontId="71" fillId="27" borderId="14" xfId="323" applyNumberFormat="1" applyFont="1" applyFill="1" applyBorder="1" applyAlignment="1">
      <alignment horizontal="right"/>
    </xf>
    <xf numFmtId="4" fontId="71" fillId="27" borderId="17" xfId="323" applyNumberFormat="1" applyFont="1" applyFill="1" applyBorder="1" applyAlignment="1">
      <alignment horizontal="right"/>
    </xf>
    <xf numFmtId="174" fontId="83" fillId="27" borderId="23" xfId="391" applyFont="1" applyFill="1" applyBorder="1" applyAlignment="1">
      <alignment horizontal="center" vertical="center"/>
    </xf>
    <xf numFmtId="174" fontId="83" fillId="27" borderId="13" xfId="391" applyFont="1" applyFill="1" applyBorder="1" applyAlignment="1">
      <alignment horizontal="center"/>
    </xf>
    <xf numFmtId="43" fontId="83" fillId="27" borderId="23" xfId="391" applyNumberFormat="1" applyFont="1" applyFill="1" applyBorder="1"/>
    <xf numFmtId="171" fontId="83" fillId="27" borderId="13" xfId="391" applyNumberFormat="1" applyFont="1" applyFill="1" applyBorder="1" applyAlignment="1">
      <alignment horizontal="center"/>
    </xf>
    <xf numFmtId="174" fontId="57" fillId="0" borderId="24" xfId="0" applyFont="1" applyBorder="1"/>
    <xf numFmtId="174" fontId="83" fillId="27" borderId="21" xfId="388" applyNumberFormat="1" applyFont="1" applyFill="1" applyBorder="1" applyAlignment="1">
      <alignment horizontal="center" vertical="center"/>
    </xf>
    <xf numFmtId="174" fontId="83" fillId="27" borderId="12" xfId="388" applyNumberFormat="1" applyFont="1" applyFill="1" applyBorder="1" applyAlignment="1">
      <alignment horizontal="center" vertical="center" wrapText="1"/>
    </xf>
    <xf numFmtId="174" fontId="83" fillId="27" borderId="25" xfId="388" applyNumberFormat="1" applyFont="1" applyFill="1" applyBorder="1" applyAlignment="1">
      <alignment horizontal="center" vertical="center" wrapText="1"/>
    </xf>
    <xf numFmtId="0" fontId="83" fillId="27" borderId="21" xfId="388" applyNumberFormat="1" applyFont="1" applyFill="1" applyBorder="1" applyAlignment="1">
      <alignment horizontal="center" vertical="center"/>
    </xf>
    <xf numFmtId="3" fontId="84" fillId="27" borderId="12" xfId="325" applyNumberFormat="1" applyFont="1" applyFill="1" applyBorder="1" applyAlignment="1">
      <alignment horizontal="center" vertical="center"/>
    </xf>
    <xf numFmtId="171" fontId="83" fillId="27" borderId="25" xfId="388" applyNumberFormat="1" applyFont="1" applyFill="1" applyBorder="1" applyAlignment="1">
      <alignment horizontal="center" vertical="center"/>
    </xf>
    <xf numFmtId="0" fontId="83" fillId="27" borderId="20" xfId="388" applyNumberFormat="1" applyFont="1" applyFill="1" applyBorder="1" applyAlignment="1">
      <alignment horizontal="center" vertical="center"/>
    </xf>
    <xf numFmtId="171" fontId="83" fillId="27" borderId="24" xfId="388" applyNumberFormat="1" applyFont="1" applyFill="1" applyBorder="1" applyAlignment="1">
      <alignment horizontal="center" vertical="center"/>
    </xf>
    <xf numFmtId="3" fontId="84" fillId="27" borderId="0" xfId="325" applyNumberFormat="1" applyFont="1" applyFill="1" applyBorder="1" applyAlignment="1">
      <alignment horizontal="center" vertical="center" wrapText="1"/>
    </xf>
    <xf numFmtId="0" fontId="83" fillId="27" borderId="18" xfId="388" applyNumberFormat="1" applyFont="1" applyFill="1" applyBorder="1" applyAlignment="1">
      <alignment horizontal="center" vertical="center"/>
    </xf>
    <xf numFmtId="3" fontId="84" fillId="27" borderId="11" xfId="325" applyNumberFormat="1" applyFont="1" applyFill="1" applyBorder="1" applyAlignment="1">
      <alignment horizontal="center" vertical="center"/>
    </xf>
    <xf numFmtId="171" fontId="83" fillId="27" borderId="22" xfId="388" applyNumberFormat="1" applyFont="1" applyFill="1" applyBorder="1" applyAlignment="1">
      <alignment horizontal="center" vertical="center"/>
    </xf>
    <xf numFmtId="171" fontId="83" fillId="27" borderId="24" xfId="551" applyNumberFormat="1" applyFont="1" applyFill="1" applyBorder="1" applyAlignment="1">
      <alignment vertical="center"/>
    </xf>
    <xf numFmtId="49" fontId="86" fillId="0" borderId="20" xfId="0" applyNumberFormat="1" applyFont="1" applyFill="1" applyBorder="1" applyAlignment="1">
      <alignment horizontal="center"/>
    </xf>
    <xf numFmtId="167" fontId="66" fillId="0" borderId="17" xfId="323" applyNumberFormat="1" applyFont="1" applyFill="1" applyBorder="1" applyAlignment="1">
      <alignment horizontal="center" vertical="center"/>
    </xf>
    <xf numFmtId="167" fontId="66" fillId="0" borderId="19" xfId="323" applyNumberFormat="1" applyFont="1" applyFill="1" applyBorder="1" applyAlignment="1">
      <alignment horizontal="center" vertical="center"/>
    </xf>
    <xf numFmtId="167" fontId="66" fillId="27" borderId="19" xfId="323" applyNumberFormat="1" applyFont="1" applyFill="1" applyBorder="1" applyAlignment="1">
      <alignment horizontal="center" vertical="center"/>
    </xf>
    <xf numFmtId="167" fontId="66" fillId="27" borderId="14" xfId="323" applyNumberFormat="1" applyFont="1" applyFill="1" applyBorder="1" applyAlignment="1">
      <alignment horizontal="center" vertical="center"/>
    </xf>
    <xf numFmtId="174" fontId="86" fillId="0" borderId="13" xfId="0" applyNumberFormat="1" applyFont="1" applyFill="1" applyBorder="1" applyAlignment="1">
      <alignment horizontal="center"/>
    </xf>
    <xf numFmtId="167" fontId="86" fillId="27" borderId="22" xfId="323" applyNumberFormat="1" applyFont="1" applyFill="1" applyBorder="1" applyAlignment="1">
      <alignment horizontal="center" vertical="center"/>
    </xf>
    <xf numFmtId="167" fontId="83" fillId="0" borderId="15" xfId="336" applyNumberFormat="1" applyFont="1" applyFill="1" applyBorder="1" applyAlignment="1">
      <alignment horizontal="center" vertical="center" wrapText="1"/>
    </xf>
    <xf numFmtId="174" fontId="69" fillId="0" borderId="0" xfId="0" applyNumberFormat="1" applyFont="1" applyAlignment="1">
      <alignment vertical="center"/>
    </xf>
    <xf numFmtId="174" fontId="69" fillId="0" borderId="0" xfId="0" applyFont="1" applyAlignment="1">
      <alignment vertical="center"/>
    </xf>
    <xf numFmtId="3" fontId="71" fillId="0" borderId="23" xfId="328" applyNumberFormat="1" applyFont="1" applyFill="1" applyBorder="1" applyAlignment="1">
      <alignment horizontal="center" vertical="center"/>
    </xf>
    <xf numFmtId="171" fontId="68" fillId="0" borderId="16" xfId="0" applyNumberFormat="1" applyFont="1" applyBorder="1"/>
    <xf numFmtId="17" fontId="80" fillId="0" borderId="19" xfId="336" applyNumberFormat="1" applyFont="1" applyFill="1" applyBorder="1" applyAlignment="1">
      <alignment horizontal="center" vertical="center"/>
    </xf>
    <xf numFmtId="17" fontId="71" fillId="0" borderId="17" xfId="336" applyNumberFormat="1" applyFont="1" applyFill="1" applyBorder="1" applyAlignment="1">
      <alignment horizontal="left" vertical="center"/>
    </xf>
    <xf numFmtId="17" fontId="71" fillId="0" borderId="19" xfId="336" applyNumberFormat="1" applyFont="1" applyFill="1" applyBorder="1" applyAlignment="1">
      <alignment horizontal="left" vertical="center"/>
    </xf>
    <xf numFmtId="174" fontId="53" fillId="0" borderId="20" xfId="0" applyNumberFormat="1" applyFont="1" applyBorder="1"/>
    <xf numFmtId="174" fontId="53" fillId="0" borderId="24" xfId="0" applyNumberFormat="1" applyFont="1" applyBorder="1"/>
    <xf numFmtId="174" fontId="53" fillId="0" borderId="20" xfId="0" applyFont="1" applyBorder="1"/>
    <xf numFmtId="174" fontId="53" fillId="0" borderId="24" xfId="0" applyFont="1" applyBorder="1"/>
    <xf numFmtId="3" fontId="71" fillId="0" borderId="21" xfId="328" applyNumberFormat="1" applyFont="1" applyFill="1" applyBorder="1" applyAlignment="1">
      <alignment horizontal="center" vertical="center"/>
    </xf>
    <xf numFmtId="3" fontId="71" fillId="0" borderId="20" xfId="328" applyNumberFormat="1" applyFont="1" applyFill="1" applyBorder="1" applyAlignment="1">
      <alignment horizontal="center" vertical="center"/>
    </xf>
    <xf numFmtId="3" fontId="71" fillId="0" borderId="15" xfId="328" applyNumberFormat="1" applyFont="1" applyFill="1" applyBorder="1" applyAlignment="1">
      <alignment horizontal="center" vertical="center"/>
    </xf>
    <xf numFmtId="174" fontId="71" fillId="27" borderId="15" xfId="446" applyFont="1" applyFill="1" applyBorder="1" applyAlignment="1">
      <alignment horizontal="center" vertical="center" wrapText="1"/>
    </xf>
    <xf numFmtId="174" fontId="71" fillId="27" borderId="23" xfId="446" applyFont="1" applyFill="1" applyBorder="1" applyAlignment="1">
      <alignment horizontal="center" vertical="center" wrapText="1"/>
    </xf>
    <xf numFmtId="174" fontId="71" fillId="27" borderId="16" xfId="446" applyFont="1" applyFill="1" applyBorder="1" applyAlignment="1">
      <alignment horizontal="center" vertical="center" wrapText="1"/>
    </xf>
    <xf numFmtId="182" fontId="54" fillId="0" borderId="13" xfId="1094" applyNumberFormat="1" applyFont="1" applyFill="1" applyBorder="1" applyAlignment="1">
      <alignment horizontal="center" vertical="center"/>
    </xf>
    <xf numFmtId="182" fontId="54" fillId="0" borderId="23" xfId="1094" applyNumberFormat="1" applyFont="1" applyFill="1" applyBorder="1" applyAlignment="1">
      <alignment horizontal="center" vertical="center" wrapText="1"/>
    </xf>
    <xf numFmtId="182" fontId="83" fillId="0" borderId="23" xfId="1094" applyNumberFormat="1" applyFont="1" applyFill="1" applyBorder="1" applyAlignment="1">
      <alignment horizontal="center" vertical="center" wrapText="1"/>
    </xf>
    <xf numFmtId="182" fontId="54" fillId="0" borderId="16" xfId="1094" applyNumberFormat="1" applyFont="1" applyFill="1" applyBorder="1" applyAlignment="1">
      <alignment horizontal="center" vertical="center" wrapText="1"/>
    </xf>
    <xf numFmtId="17" fontId="54" fillId="0" borderId="19" xfId="393" applyNumberFormat="1" applyFont="1" applyFill="1" applyBorder="1" applyAlignment="1">
      <alignment horizontal="center" vertical="center"/>
    </xf>
    <xf numFmtId="3" fontId="69" fillId="0" borderId="0" xfId="1094" applyNumberFormat="1" applyFont="1" applyFill="1" applyBorder="1" applyAlignment="1">
      <alignment horizontal="right" vertical="center"/>
    </xf>
    <xf numFmtId="3" fontId="54" fillId="0" borderId="24" xfId="1094" applyNumberFormat="1" applyFont="1" applyFill="1" applyBorder="1" applyAlignment="1">
      <alignment horizontal="right" vertical="center"/>
    </xf>
    <xf numFmtId="3" fontId="69" fillId="0" borderId="0" xfId="1094" applyNumberFormat="1" applyFont="1" applyFill="1" applyBorder="1" applyAlignment="1">
      <alignment horizontal="right"/>
    </xf>
    <xf numFmtId="17" fontId="54" fillId="0" borderId="14" xfId="393" applyNumberFormat="1" applyFont="1" applyFill="1" applyBorder="1" applyAlignment="1">
      <alignment horizontal="center" vertical="center"/>
    </xf>
    <xf numFmtId="3" fontId="69" fillId="0" borderId="11" xfId="1094" applyNumberFormat="1" applyFont="1" applyFill="1" applyBorder="1" applyAlignment="1">
      <alignment horizontal="right"/>
    </xf>
    <xf numFmtId="3" fontId="69" fillId="0" borderId="11" xfId="1094" applyNumberFormat="1" applyFont="1" applyFill="1" applyBorder="1" applyAlignment="1">
      <alignment horizontal="right" vertical="center"/>
    </xf>
    <xf numFmtId="3" fontId="54" fillId="0" borderId="22" xfId="1094" applyNumberFormat="1" applyFont="1" applyFill="1" applyBorder="1" applyAlignment="1">
      <alignment horizontal="right" vertical="center"/>
    </xf>
    <xf numFmtId="174" fontId="69" fillId="0" borderId="0" xfId="0" applyFont="1"/>
    <xf numFmtId="174" fontId="83" fillId="27" borderId="13" xfId="0" applyNumberFormat="1" applyFont="1" applyFill="1" applyBorder="1" applyAlignment="1">
      <alignment horizontal="center" vertical="center" wrapText="1"/>
    </xf>
    <xf numFmtId="174" fontId="83" fillId="27" borderId="23" xfId="0" applyNumberFormat="1" applyFont="1" applyFill="1" applyBorder="1" applyAlignment="1">
      <alignment horizontal="center" vertical="center" wrapText="1"/>
    </xf>
    <xf numFmtId="174" fontId="83" fillId="27" borderId="16" xfId="0" applyNumberFormat="1" applyFont="1" applyFill="1" applyBorder="1" applyAlignment="1">
      <alignment horizontal="center" vertical="center" wrapText="1"/>
    </xf>
    <xf numFmtId="49" fontId="83" fillId="27" borderId="19" xfId="0" applyNumberFormat="1" applyFont="1" applyFill="1" applyBorder="1" applyAlignment="1">
      <alignment horizontal="center"/>
    </xf>
    <xf numFmtId="3" fontId="84" fillId="27" borderId="20" xfId="323" applyNumberFormat="1" applyFont="1" applyFill="1" applyBorder="1" applyAlignment="1">
      <alignment horizontal="center"/>
    </xf>
    <xf numFmtId="3" fontId="84" fillId="27" borderId="0" xfId="323" applyNumberFormat="1" applyFont="1" applyFill="1" applyBorder="1" applyAlignment="1">
      <alignment horizontal="center"/>
    </xf>
    <xf numFmtId="3" fontId="83" fillId="27" borderId="0" xfId="323" applyNumberFormat="1" applyFont="1" applyFill="1" applyBorder="1" applyAlignment="1">
      <alignment horizontal="center"/>
    </xf>
    <xf numFmtId="171" fontId="83" fillId="27" borderId="0" xfId="0" applyNumberFormat="1" applyFont="1" applyFill="1" applyBorder="1" applyAlignment="1">
      <alignment horizontal="center"/>
    </xf>
    <xf numFmtId="171" fontId="83" fillId="27" borderId="24" xfId="0" applyNumberFormat="1" applyFont="1" applyFill="1" applyBorder="1" applyAlignment="1">
      <alignment horizontal="center"/>
    </xf>
    <xf numFmtId="3" fontId="84" fillId="27" borderId="20" xfId="323" applyNumberFormat="1" applyFont="1" applyFill="1" applyBorder="1" applyAlignment="1">
      <alignment horizontal="center" vertical="center"/>
    </xf>
    <xf numFmtId="3" fontId="84" fillId="27" borderId="0" xfId="323" applyNumberFormat="1" applyFont="1" applyFill="1" applyBorder="1" applyAlignment="1">
      <alignment horizontal="center" vertical="center"/>
    </xf>
    <xf numFmtId="3" fontId="84" fillId="32" borderId="0" xfId="323" applyNumberFormat="1" applyFont="1" applyFill="1" applyBorder="1" applyAlignment="1">
      <alignment horizontal="center"/>
    </xf>
    <xf numFmtId="174" fontId="83" fillId="27" borderId="13" xfId="0" applyNumberFormat="1" applyFont="1" applyFill="1" applyBorder="1" applyAlignment="1">
      <alignment horizontal="center" vertical="center"/>
    </xf>
    <xf numFmtId="3" fontId="83" fillId="27" borderId="15" xfId="0" applyNumberFormat="1" applyFont="1" applyFill="1" applyBorder="1" applyAlignment="1">
      <alignment horizontal="center" vertical="center"/>
    </xf>
    <xf numFmtId="3" fontId="83" fillId="27" borderId="23" xfId="0" applyNumberFormat="1" applyFont="1" applyFill="1" applyBorder="1" applyAlignment="1">
      <alignment horizontal="center" vertical="center"/>
    </xf>
    <xf numFmtId="3" fontId="83" fillId="27" borderId="16" xfId="0" applyNumberFormat="1" applyFont="1" applyFill="1" applyBorder="1" applyAlignment="1">
      <alignment horizontal="center" vertical="center"/>
    </xf>
    <xf numFmtId="174" fontId="111" fillId="27" borderId="0" xfId="0" applyFont="1" applyFill="1" applyBorder="1" applyAlignment="1">
      <alignment horizontal="left" vertical="center" wrapText="1"/>
    </xf>
    <xf numFmtId="0" fontId="86" fillId="27" borderId="13" xfId="437" applyFont="1" applyFill="1" applyBorder="1" applyAlignment="1">
      <alignment horizontal="left" vertical="center" wrapText="1"/>
    </xf>
    <xf numFmtId="167" fontId="86" fillId="27" borderId="15" xfId="323" applyNumberFormat="1" applyFont="1" applyFill="1" applyBorder="1" applyAlignment="1">
      <alignment horizontal="center" vertical="center" wrapText="1"/>
    </xf>
    <xf numFmtId="167" fontId="86" fillId="27" borderId="23" xfId="323" applyNumberFormat="1" applyFont="1" applyFill="1" applyBorder="1" applyAlignment="1">
      <alignment horizontal="center" vertical="center" wrapText="1"/>
    </xf>
    <xf numFmtId="167" fontId="86" fillId="27" borderId="16" xfId="323" applyNumberFormat="1" applyFont="1" applyFill="1" applyBorder="1" applyAlignment="1">
      <alignment horizontal="center" vertical="center" wrapText="1"/>
    </xf>
    <xf numFmtId="174" fontId="83" fillId="0" borderId="16" xfId="0" applyNumberFormat="1" applyFont="1" applyFill="1" applyBorder="1" applyAlignment="1" applyProtection="1">
      <alignment horizontal="center" vertical="center" wrapText="1"/>
    </xf>
    <xf numFmtId="174" fontId="83" fillId="0" borderId="15" xfId="0" applyNumberFormat="1" applyFont="1" applyFill="1" applyBorder="1" applyAlignment="1" applyProtection="1">
      <alignment horizontal="center" vertical="center" wrapText="1"/>
    </xf>
    <xf numFmtId="3" fontId="83" fillId="0" borderId="17" xfId="0" applyNumberFormat="1" applyFont="1" applyFill="1" applyBorder="1" applyAlignment="1" applyProtection="1"/>
    <xf numFmtId="174" fontId="69" fillId="0" borderId="12" xfId="0" applyFont="1" applyBorder="1"/>
    <xf numFmtId="171" fontId="69" fillId="0" borderId="0" xfId="0" applyNumberFormat="1" applyFont="1" applyBorder="1" applyAlignment="1">
      <alignment horizontal="center"/>
    </xf>
    <xf numFmtId="171" fontId="69" fillId="0" borderId="12" xfId="0" applyNumberFormat="1" applyFont="1" applyBorder="1" applyAlignment="1">
      <alignment horizontal="center"/>
    </xf>
    <xf numFmtId="167" fontId="54" fillId="0" borderId="17" xfId="323" applyNumberFormat="1" applyFont="1" applyBorder="1"/>
    <xf numFmtId="3" fontId="83" fillId="0" borderId="19" xfId="0" applyNumberFormat="1" applyFont="1" applyFill="1" applyBorder="1" applyAlignment="1" applyProtection="1"/>
    <xf numFmtId="174" fontId="69" fillId="0" borderId="0" xfId="0" applyFont="1" applyBorder="1"/>
    <xf numFmtId="167" fontId="54" fillId="0" borderId="19" xfId="323" applyNumberFormat="1" applyFont="1" applyBorder="1"/>
    <xf numFmtId="167" fontId="84" fillId="27" borderId="0" xfId="0" applyNumberFormat="1" applyFont="1" applyFill="1" applyBorder="1" applyAlignment="1" applyProtection="1">
      <alignment horizontal="center" vertical="center"/>
    </xf>
    <xf numFmtId="174" fontId="69" fillId="27" borderId="0" xfId="0" applyNumberFormat="1" applyFont="1" applyFill="1" applyBorder="1"/>
    <xf numFmtId="3" fontId="83" fillId="0" borderId="14" xfId="0" applyNumberFormat="1" applyFont="1" applyFill="1" applyBorder="1" applyAlignment="1" applyProtection="1"/>
    <xf numFmtId="3" fontId="83" fillId="0" borderId="15" xfId="0" applyNumberFormat="1" applyFont="1" applyFill="1" applyBorder="1" applyAlignment="1" applyProtection="1"/>
    <xf numFmtId="167" fontId="54" fillId="27" borderId="15" xfId="323" applyNumberFormat="1" applyFont="1" applyFill="1" applyBorder="1"/>
    <xf numFmtId="174" fontId="54" fillId="27" borderId="23" xfId="0" applyNumberFormat="1" applyFont="1" applyFill="1" applyBorder="1"/>
    <xf numFmtId="167" fontId="54" fillId="27" borderId="23" xfId="323" applyNumberFormat="1" applyFont="1" applyFill="1" applyBorder="1"/>
    <xf numFmtId="167" fontId="54" fillId="0" borderId="13" xfId="323" applyNumberFormat="1" applyFont="1" applyBorder="1"/>
    <xf numFmtId="174" fontId="86" fillId="0" borderId="18" xfId="0" applyNumberFormat="1" applyFont="1" applyFill="1" applyBorder="1" applyAlignment="1">
      <alignment horizontal="center" vertical="center" wrapText="1"/>
    </xf>
    <xf numFmtId="174" fontId="86" fillId="0" borderId="11" xfId="0" applyNumberFormat="1" applyFont="1" applyFill="1" applyBorder="1" applyAlignment="1">
      <alignment horizontal="center" vertical="center" wrapText="1"/>
    </xf>
    <xf numFmtId="174" fontId="71" fillId="0" borderId="13" xfId="347" applyNumberFormat="1" applyFont="1" applyFill="1" applyBorder="1" applyAlignment="1">
      <alignment horizontal="center" vertical="center"/>
    </xf>
    <xf numFmtId="174" fontId="71" fillId="0" borderId="23" xfId="347" applyFont="1" applyFill="1" applyBorder="1" applyAlignment="1">
      <alignment horizontal="center" vertical="center" wrapText="1"/>
    </xf>
    <xf numFmtId="174" fontId="71" fillId="0" borderId="16" xfId="347" applyFont="1" applyFill="1" applyBorder="1" applyAlignment="1">
      <alignment horizontal="center" vertical="center" wrapText="1"/>
    </xf>
    <xf numFmtId="17" fontId="68" fillId="0" borderId="19" xfId="394" applyNumberFormat="1" applyFont="1" applyFill="1" applyBorder="1" applyAlignment="1">
      <alignment horizontal="center"/>
    </xf>
    <xf numFmtId="41" fontId="57" fillId="0" borderId="0" xfId="347" applyNumberFormat="1" applyFont="1" applyFill="1" applyBorder="1" applyAlignment="1">
      <alignment horizontal="center"/>
    </xf>
    <xf numFmtId="171" fontId="57" fillId="0" borderId="24" xfId="324" applyNumberFormat="1" applyFont="1" applyFill="1" applyBorder="1"/>
    <xf numFmtId="41" fontId="57" fillId="0" borderId="0" xfId="347" applyNumberFormat="1" applyFont="1" applyFill="1" applyBorder="1" applyAlignment="1">
      <alignment horizontal="right"/>
    </xf>
    <xf numFmtId="171" fontId="68" fillId="0" borderId="24" xfId="324" applyNumberFormat="1" applyFont="1" applyFill="1" applyBorder="1" applyAlignment="1">
      <alignment horizontal="right"/>
    </xf>
    <xf numFmtId="41" fontId="57" fillId="27" borderId="21" xfId="347" applyNumberFormat="1" applyFont="1" applyFill="1" applyBorder="1" applyAlignment="1">
      <alignment horizontal="right"/>
    </xf>
    <xf numFmtId="10" fontId="68" fillId="27" borderId="25" xfId="324" applyNumberFormat="1" applyFont="1" applyFill="1" applyBorder="1" applyAlignment="1">
      <alignment horizontal="right"/>
    </xf>
    <xf numFmtId="41" fontId="57" fillId="27" borderId="20" xfId="347" applyNumberFormat="1" applyFont="1" applyFill="1" applyBorder="1" applyAlignment="1">
      <alignment horizontal="right"/>
    </xf>
    <xf numFmtId="10" fontId="68" fillId="27" borderId="24" xfId="324" applyNumberFormat="1" applyFont="1" applyFill="1" applyBorder="1" applyAlignment="1">
      <alignment horizontal="right"/>
    </xf>
    <xf numFmtId="17" fontId="68" fillId="0" borderId="14" xfId="394" applyNumberFormat="1" applyFont="1" applyFill="1" applyBorder="1" applyAlignment="1">
      <alignment horizontal="center"/>
    </xf>
    <xf numFmtId="41" fontId="57" fillId="27" borderId="18" xfId="347" applyNumberFormat="1" applyFont="1" applyFill="1" applyBorder="1" applyAlignment="1">
      <alignment horizontal="right"/>
    </xf>
    <xf numFmtId="10" fontId="68" fillId="27" borderId="22" xfId="324" applyNumberFormat="1" applyFont="1" applyFill="1" applyBorder="1" applyAlignment="1">
      <alignment horizontal="right"/>
    </xf>
    <xf numFmtId="174" fontId="69" fillId="0" borderId="0" xfId="442" applyFont="1"/>
    <xf numFmtId="0" fontId="49" fillId="0" borderId="0" xfId="744" applyFill="1" applyBorder="1"/>
    <xf numFmtId="0" fontId="49" fillId="0" borderId="0" xfId="744" applyBorder="1"/>
    <xf numFmtId="174" fontId="62" fillId="27" borderId="0" xfId="0" applyFont="1" applyFill="1" applyBorder="1" applyAlignment="1">
      <alignment horizontal="center" vertical="center" wrapText="1"/>
    </xf>
    <xf numFmtId="0" fontId="64" fillId="27" borderId="13" xfId="579" applyFont="1" applyFill="1" applyBorder="1" applyAlignment="1">
      <alignment horizontal="center"/>
    </xf>
    <xf numFmtId="43" fontId="64" fillId="27" borderId="13" xfId="579" applyNumberFormat="1" applyFont="1" applyFill="1" applyBorder="1" applyAlignment="1">
      <alignment horizontal="center"/>
    </xf>
    <xf numFmtId="43" fontId="82" fillId="27" borderId="0" xfId="323" applyFont="1" applyFill="1" applyBorder="1"/>
    <xf numFmtId="43" fontId="82" fillId="27" borderId="0" xfId="323" applyFont="1" applyFill="1" applyBorder="1" applyAlignment="1">
      <alignment horizontal="right"/>
    </xf>
    <xf numFmtId="0" fontId="82" fillId="27" borderId="12" xfId="579" applyFont="1" applyFill="1" applyBorder="1"/>
    <xf numFmtId="0" fontId="82" fillId="27" borderId="25" xfId="579" applyFont="1" applyFill="1" applyBorder="1"/>
    <xf numFmtId="0" fontId="64" fillId="27" borderId="23" xfId="579" applyFont="1" applyFill="1" applyBorder="1" applyAlignment="1">
      <alignment horizontal="center"/>
    </xf>
    <xf numFmtId="43" fontId="64" fillId="27" borderId="23" xfId="579" applyNumberFormat="1" applyFont="1" applyFill="1" applyBorder="1" applyAlignment="1">
      <alignment horizontal="center"/>
    </xf>
    <xf numFmtId="0" fontId="3" fillId="27" borderId="19" xfId="1101" applyFont="1" applyFill="1" applyBorder="1" applyAlignment="1">
      <alignment vertical="center"/>
    </xf>
    <xf numFmtId="43" fontId="64" fillId="27" borderId="19" xfId="323" applyFont="1" applyFill="1" applyBorder="1"/>
    <xf numFmtId="171" fontId="71" fillId="27" borderId="19" xfId="448" applyNumberFormat="1" applyFont="1" applyFill="1" applyBorder="1" applyAlignment="1">
      <alignment horizontal="center" vertical="center"/>
    </xf>
    <xf numFmtId="10" fontId="71" fillId="27" borderId="19" xfId="448" applyNumberFormat="1" applyFont="1" applyFill="1" applyBorder="1" applyAlignment="1">
      <alignment horizontal="center" vertical="center"/>
    </xf>
    <xf numFmtId="171" fontId="71" fillId="27" borderId="13" xfId="448" applyNumberFormat="1" applyFont="1" applyFill="1" applyBorder="1" applyAlignment="1">
      <alignment horizontal="center" vertical="center"/>
    </xf>
    <xf numFmtId="174" fontId="138" fillId="0" borderId="0" xfId="0" applyFont="1"/>
    <xf numFmtId="174" fontId="138" fillId="0" borderId="0" xfId="0" applyFont="1" applyBorder="1" applyAlignment="1">
      <alignment vertical="top"/>
    </xf>
    <xf numFmtId="174" fontId="139" fillId="25" borderId="0" xfId="0" applyFont="1" applyFill="1" applyBorder="1" applyAlignment="1">
      <alignment horizontal="center" vertical="center" wrapText="1"/>
    </xf>
    <xf numFmtId="171" fontId="141" fillId="0" borderId="0" xfId="0" applyNumberFormat="1" applyFont="1" applyFill="1" applyBorder="1" applyAlignment="1">
      <alignment horizontal="center"/>
    </xf>
    <xf numFmtId="174" fontId="137" fillId="0" borderId="0" xfId="0" applyFont="1" applyBorder="1"/>
    <xf numFmtId="174" fontId="139" fillId="29" borderId="0" xfId="0" applyFont="1" applyFill="1" applyBorder="1" applyAlignment="1">
      <alignment horizontal="center" vertical="center" wrapText="1"/>
    </xf>
    <xf numFmtId="17" fontId="140" fillId="29" borderId="0" xfId="0" applyNumberFormat="1" applyFont="1" applyFill="1" applyBorder="1" applyAlignment="1">
      <alignment horizontal="center"/>
    </xf>
    <xf numFmtId="3" fontId="141" fillId="0" borderId="0" xfId="0" applyNumberFormat="1" applyFont="1" applyFill="1" applyBorder="1" applyAlignment="1">
      <alignment horizontal="center"/>
    </xf>
    <xf numFmtId="179" fontId="141" fillId="0" borderId="0" xfId="0" applyNumberFormat="1" applyFont="1" applyFill="1" applyBorder="1" applyAlignment="1">
      <alignment horizontal="center"/>
    </xf>
    <xf numFmtId="43" fontId="142" fillId="26" borderId="0" xfId="0" applyNumberFormat="1" applyFont="1" applyFill="1" applyBorder="1" applyAlignment="1">
      <alignment horizontal="center" vertical="center" wrapText="1"/>
    </xf>
    <xf numFmtId="43" fontId="142" fillId="26" borderId="0" xfId="0" applyNumberFormat="1" applyFont="1" applyFill="1" applyBorder="1" applyAlignment="1">
      <alignment horizontal="center"/>
    </xf>
    <xf numFmtId="179" fontId="143" fillId="27" borderId="0" xfId="0" applyNumberFormat="1" applyFont="1" applyFill="1" applyBorder="1" applyAlignment="1" applyProtection="1"/>
    <xf numFmtId="3" fontId="143" fillId="27" borderId="0" xfId="0" applyNumberFormat="1" applyFont="1" applyFill="1" applyBorder="1" applyAlignment="1" applyProtection="1"/>
    <xf numFmtId="0" fontId="63" fillId="0" borderId="0" xfId="605" applyFont="1"/>
    <xf numFmtId="40" fontId="71" fillId="27" borderId="21" xfId="323" applyNumberFormat="1" applyFont="1" applyFill="1" applyBorder="1"/>
    <xf numFmtId="40" fontId="71" fillId="27" borderId="12" xfId="323" applyNumberFormat="1" applyFont="1" applyFill="1" applyBorder="1"/>
    <xf numFmtId="40" fontId="71" fillId="27" borderId="25" xfId="323" applyNumberFormat="1" applyFont="1" applyFill="1" applyBorder="1"/>
    <xf numFmtId="174" fontId="0" fillId="0" borderId="0" xfId="0" applyBorder="1" applyAlignment="1">
      <alignment horizontal="center"/>
    </xf>
    <xf numFmtId="174" fontId="84" fillId="0" borderId="0" xfId="0" applyFont="1" applyFill="1" applyBorder="1" applyAlignment="1">
      <alignment horizontal="left" vertical="center" wrapText="1"/>
    </xf>
    <xf numFmtId="174" fontId="66" fillId="27" borderId="12" xfId="0" applyNumberFormat="1" applyFont="1" applyFill="1" applyBorder="1" applyAlignment="1">
      <alignment horizontal="left" vertical="center" wrapText="1"/>
    </xf>
    <xf numFmtId="174" fontId="62" fillId="27" borderId="0" xfId="0" applyNumberFormat="1" applyFont="1" applyFill="1" applyBorder="1" applyAlignment="1" applyProtection="1">
      <alignment horizontal="center" vertical="center" wrapText="1"/>
    </xf>
    <xf numFmtId="174" fontId="75"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89" fillId="0" borderId="0" xfId="0" applyFont="1" applyAlignment="1">
      <alignment horizontal="justify" vertical="justify" wrapText="1"/>
    </xf>
    <xf numFmtId="174" fontId="69" fillId="0" borderId="0" xfId="0" applyNumberFormat="1" applyFont="1" applyBorder="1" applyAlignment="1">
      <alignment horizontal="left"/>
    </xf>
    <xf numFmtId="174" fontId="72" fillId="27" borderId="0" xfId="0" applyFont="1" applyFill="1" applyBorder="1" applyAlignment="1">
      <alignment horizontal="center" vertical="center" wrapText="1"/>
    </xf>
    <xf numFmtId="174" fontId="72" fillId="0" borderId="0" xfId="0" applyFont="1" applyFill="1" applyBorder="1" applyAlignment="1">
      <alignment horizontal="center" vertical="center" wrapText="1"/>
    </xf>
    <xf numFmtId="174" fontId="75" fillId="0" borderId="0" xfId="0" applyNumberFormat="1" applyFont="1" applyBorder="1" applyAlignment="1">
      <alignment horizontal="left"/>
    </xf>
    <xf numFmtId="174" fontId="69" fillId="0" borderId="0" xfId="0" applyNumberFormat="1" applyFont="1" applyBorder="1" applyAlignment="1">
      <alignment horizontal="left" wrapText="1"/>
    </xf>
    <xf numFmtId="174" fontId="86" fillId="0" borderId="15" xfId="0" applyNumberFormat="1" applyFont="1" applyFill="1" applyBorder="1" applyAlignment="1">
      <alignment horizontal="center" vertical="center"/>
    </xf>
    <xf numFmtId="174" fontId="86" fillId="0" borderId="23" xfId="0" applyNumberFormat="1" applyFont="1" applyFill="1" applyBorder="1" applyAlignment="1">
      <alignment horizontal="center" vertical="center"/>
    </xf>
    <xf numFmtId="174" fontId="86" fillId="0" borderId="16" xfId="0" applyNumberFormat="1" applyFont="1" applyFill="1" applyBorder="1" applyAlignment="1">
      <alignment horizontal="center" vertical="center"/>
    </xf>
    <xf numFmtId="174" fontId="74" fillId="0" borderId="23" xfId="0" applyFont="1" applyBorder="1" applyAlignment="1">
      <alignment horizontal="center"/>
    </xf>
    <xf numFmtId="174" fontId="74" fillId="0" borderId="16" xfId="0" applyFont="1" applyBorder="1" applyAlignment="1">
      <alignment horizontal="center"/>
    </xf>
    <xf numFmtId="174" fontId="56" fillId="0" borderId="0" xfId="0" applyFont="1" applyFill="1" applyBorder="1" applyAlignment="1">
      <alignment horizontal="center" vertical="center" wrapText="1"/>
    </xf>
    <xf numFmtId="174" fontId="86" fillId="0" borderId="13" xfId="388" applyFont="1" applyFill="1" applyBorder="1" applyAlignment="1">
      <alignment horizontal="center" vertical="center" wrapText="1"/>
    </xf>
    <xf numFmtId="174" fontId="88" fillId="27" borderId="0" xfId="0" applyFont="1" applyFill="1" applyBorder="1" applyAlignment="1">
      <alignment horizontal="center" vertical="center" wrapText="1"/>
    </xf>
    <xf numFmtId="174" fontId="88" fillId="27" borderId="13" xfId="0" applyFont="1" applyFill="1" applyBorder="1" applyAlignment="1">
      <alignment horizontal="center" vertical="center" wrapText="1"/>
    </xf>
    <xf numFmtId="174" fontId="71" fillId="27" borderId="25"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174" fontId="58" fillId="0" borderId="15" xfId="0" applyFont="1" applyFill="1" applyBorder="1" applyAlignment="1">
      <alignment horizontal="center" vertical="center" wrapText="1"/>
    </xf>
    <xf numFmtId="174" fontId="58" fillId="0" borderId="23" xfId="0" applyFont="1" applyFill="1" applyBorder="1" applyAlignment="1">
      <alignment horizontal="center" vertical="center" wrapText="1"/>
    </xf>
    <xf numFmtId="174" fontId="71" fillId="27" borderId="21" xfId="0" applyNumberFormat="1" applyFont="1" applyFill="1" applyBorder="1" applyAlignment="1">
      <alignment horizontal="center" vertical="center" wrapText="1"/>
    </xf>
    <xf numFmtId="174" fontId="71" fillId="27" borderId="18" xfId="0" applyNumberFormat="1" applyFont="1" applyFill="1" applyBorder="1" applyAlignment="1">
      <alignment horizontal="center" vertical="center" wrapText="1"/>
    </xf>
    <xf numFmtId="174" fontId="71" fillId="27" borderId="17" xfId="0" applyNumberFormat="1" applyFont="1" applyFill="1" applyBorder="1" applyAlignment="1">
      <alignment horizontal="center" vertical="center" wrapText="1"/>
    </xf>
    <xf numFmtId="174" fontId="71" fillId="27" borderId="14" xfId="0" applyNumberFormat="1" applyFont="1" applyFill="1" applyBorder="1" applyAlignment="1">
      <alignment horizontal="center" vertical="center" wrapText="1"/>
    </xf>
    <xf numFmtId="17" fontId="71" fillId="27" borderId="17" xfId="0" applyNumberFormat="1" applyFont="1" applyFill="1" applyBorder="1" applyAlignment="1">
      <alignment horizontal="center" vertical="center"/>
    </xf>
    <xf numFmtId="17" fontId="71" fillId="27" borderId="14" xfId="0" applyNumberFormat="1" applyFont="1" applyFill="1" applyBorder="1" applyAlignment="1">
      <alignment horizontal="center" vertical="center"/>
    </xf>
    <xf numFmtId="174" fontId="87" fillId="27" borderId="13" xfId="0" applyFont="1" applyFill="1" applyBorder="1" applyAlignment="1">
      <alignment horizontal="center" vertical="center" wrapText="1"/>
    </xf>
    <xf numFmtId="174" fontId="80" fillId="27" borderId="13" xfId="0" applyFont="1" applyFill="1" applyBorder="1" applyAlignment="1">
      <alignment horizontal="center" vertical="center" wrapText="1"/>
    </xf>
    <xf numFmtId="49" fontId="68" fillId="27" borderId="12" xfId="394" applyNumberFormat="1" applyFont="1" applyFill="1" applyBorder="1" applyAlignment="1">
      <alignment horizontal="left"/>
    </xf>
    <xf numFmtId="174" fontId="80" fillId="27" borderId="0" xfId="0" applyFont="1" applyFill="1" applyBorder="1" applyAlignment="1">
      <alignment horizontal="center" vertical="center" wrapText="1"/>
    </xf>
    <xf numFmtId="174" fontId="71" fillId="0" borderId="15" xfId="0" applyFont="1" applyFill="1" applyBorder="1" applyAlignment="1">
      <alignment horizontal="center" vertical="center" wrapText="1"/>
    </xf>
    <xf numFmtId="174" fontId="71" fillId="0" borderId="23"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69" fillId="0" borderId="0" xfId="0" applyFont="1" applyBorder="1" applyAlignment="1">
      <alignment horizontal="left" vertical="top" wrapText="1"/>
    </xf>
    <xf numFmtId="174" fontId="90" fillId="38" borderId="20" xfId="651" applyFont="1" applyFill="1" applyBorder="1" applyAlignment="1">
      <alignment horizontal="center" vertical="center" wrapText="1"/>
    </xf>
    <xf numFmtId="174" fontId="90" fillId="38" borderId="0" xfId="651" applyFont="1" applyFill="1" applyBorder="1" applyAlignment="1">
      <alignment horizontal="center" vertical="center" wrapText="1"/>
    </xf>
    <xf numFmtId="174" fontId="49" fillId="0" borderId="0" xfId="651" applyFill="1" applyBorder="1" applyAlignment="1">
      <alignment horizontal="left" wrapText="1"/>
    </xf>
    <xf numFmtId="174" fontId="93" fillId="27" borderId="0" xfId="0" applyFont="1" applyFill="1" applyBorder="1" applyAlignment="1">
      <alignment horizontal="center" vertical="center" wrapText="1"/>
    </xf>
    <xf numFmtId="174" fontId="62" fillId="27" borderId="0" xfId="0" applyFont="1" applyFill="1" applyBorder="1" applyAlignment="1">
      <alignment horizontal="center" vertical="center" wrapText="1"/>
    </xf>
    <xf numFmtId="174" fontId="55" fillId="27" borderId="0" xfId="0" applyFont="1" applyFill="1" applyBorder="1" applyAlignment="1">
      <alignment horizontal="left" vertical="center" wrapText="1"/>
    </xf>
    <xf numFmtId="174" fontId="90" fillId="27" borderId="0" xfId="0" applyFont="1" applyFill="1" applyBorder="1" applyAlignment="1">
      <alignment horizontal="center" vertical="center" wrapText="1"/>
    </xf>
    <xf numFmtId="174" fontId="56" fillId="27" borderId="0" xfId="0" applyFont="1" applyFill="1" applyBorder="1" applyAlignment="1">
      <alignment horizontal="center" vertical="top" wrapText="1"/>
    </xf>
    <xf numFmtId="174" fontId="66" fillId="27" borderId="0" xfId="0" applyFont="1" applyFill="1" applyBorder="1" applyAlignment="1">
      <alignment horizontal="left" vertical="center" wrapText="1"/>
    </xf>
    <xf numFmtId="174" fontId="87" fillId="27" borderId="0" xfId="0" applyFont="1" applyFill="1" applyBorder="1" applyAlignment="1">
      <alignment horizontal="center" vertical="top" wrapText="1"/>
    </xf>
    <xf numFmtId="174" fontId="83" fillId="27" borderId="0" xfId="0" applyFont="1" applyFill="1" applyBorder="1" applyAlignment="1">
      <alignment horizontal="center" vertical="center" wrapText="1"/>
    </xf>
    <xf numFmtId="174" fontId="84" fillId="0" borderId="0" xfId="0" applyFont="1" applyBorder="1" applyAlignment="1">
      <alignment horizontal="left" vertical="center" wrapText="1"/>
    </xf>
    <xf numFmtId="174" fontId="84" fillId="0" borderId="0" xfId="0" applyFont="1" applyBorder="1" applyAlignment="1">
      <alignment horizontal="left" vertical="center"/>
    </xf>
    <xf numFmtId="0" fontId="87" fillId="27" borderId="0" xfId="626" applyFont="1" applyFill="1" applyBorder="1" applyAlignment="1">
      <alignment horizontal="center" vertical="center" wrapText="1"/>
    </xf>
    <xf numFmtId="174" fontId="114" fillId="0" borderId="17" xfId="0" applyFont="1" applyFill="1" applyBorder="1" applyAlignment="1">
      <alignment horizontal="center" vertical="center" wrapText="1"/>
    </xf>
    <xf numFmtId="174" fontId="114" fillId="0" borderId="14" xfId="0" applyFont="1" applyFill="1" applyBorder="1" applyAlignment="1">
      <alignment horizontal="center" vertical="center" wrapText="1"/>
    </xf>
    <xf numFmtId="174" fontId="114" fillId="0" borderId="15" xfId="0" applyFont="1" applyFill="1" applyBorder="1" applyAlignment="1">
      <alignment horizontal="center" vertical="center" wrapText="1"/>
    </xf>
    <xf numFmtId="174" fontId="114" fillId="0" borderId="23" xfId="0" applyFont="1" applyFill="1" applyBorder="1" applyAlignment="1">
      <alignment horizontal="center" vertical="center" wrapText="1"/>
    </xf>
    <xf numFmtId="174" fontId="114" fillId="0" borderId="16" xfId="0" applyFont="1" applyFill="1" applyBorder="1" applyAlignment="1">
      <alignment horizontal="center" vertical="center" wrapText="1"/>
    </xf>
    <xf numFmtId="174" fontId="72" fillId="27" borderId="0" xfId="0" applyFont="1" applyFill="1" applyBorder="1" applyAlignment="1">
      <alignment horizontal="center" vertical="top" wrapText="1"/>
    </xf>
    <xf numFmtId="174" fontId="86" fillId="0" borderId="17" xfId="0" applyNumberFormat="1" applyFont="1" applyFill="1" applyBorder="1" applyAlignment="1">
      <alignment horizontal="center" vertical="center"/>
    </xf>
    <xf numFmtId="174" fontId="84" fillId="27" borderId="0" xfId="0" applyFont="1" applyFill="1" applyBorder="1" applyAlignment="1">
      <alignment horizontal="left" vertical="top" wrapText="1"/>
    </xf>
    <xf numFmtId="174" fontId="70" fillId="27" borderId="15" xfId="0" applyNumberFormat="1" applyFont="1" applyFill="1" applyBorder="1" applyAlignment="1">
      <alignment horizontal="center" vertical="center"/>
    </xf>
    <xf numFmtId="174" fontId="70" fillId="27" borderId="23" xfId="0" applyNumberFormat="1" applyFont="1" applyFill="1" applyBorder="1" applyAlignment="1">
      <alignment horizontal="center" vertical="center"/>
    </xf>
    <xf numFmtId="174" fontId="70" fillId="27" borderId="16" xfId="0" applyNumberFormat="1" applyFont="1" applyFill="1" applyBorder="1" applyAlignment="1">
      <alignment horizontal="center" vertical="center"/>
    </xf>
    <xf numFmtId="174" fontId="86" fillId="27" borderId="15" xfId="0" applyNumberFormat="1" applyFont="1" applyFill="1" applyBorder="1" applyAlignment="1">
      <alignment horizontal="center" vertical="center"/>
    </xf>
    <xf numFmtId="174" fontId="86" fillId="27" borderId="23" xfId="0" applyNumberFormat="1" applyFont="1" applyFill="1" applyBorder="1" applyAlignment="1">
      <alignment horizontal="center" vertical="center"/>
    </xf>
    <xf numFmtId="174" fontId="86" fillId="27" borderId="16" xfId="0" applyNumberFormat="1" applyFont="1" applyFill="1" applyBorder="1" applyAlignment="1">
      <alignment horizontal="center" vertical="center"/>
    </xf>
    <xf numFmtId="174" fontId="84" fillId="0" borderId="0" xfId="0" applyNumberFormat="1" applyFont="1" applyBorder="1" applyAlignment="1">
      <alignment horizontal="left" vertical="center" wrapText="1"/>
    </xf>
    <xf numFmtId="174" fontId="54" fillId="27" borderId="15"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xf>
    <xf numFmtId="174" fontId="54" fillId="27" borderId="16" xfId="0" applyNumberFormat="1" applyFont="1" applyFill="1" applyBorder="1" applyAlignment="1">
      <alignment horizontal="center" vertical="center"/>
    </xf>
    <xf numFmtId="174" fontId="90" fillId="39" borderId="13" xfId="0" applyFont="1" applyFill="1" applyBorder="1" applyAlignment="1">
      <alignment horizontal="center" vertical="center" wrapText="1"/>
    </xf>
    <xf numFmtId="43" fontId="56" fillId="27" borderId="0" xfId="0" applyNumberFormat="1" applyFont="1" applyFill="1" applyBorder="1" applyAlignment="1">
      <alignment horizontal="center" vertical="center" wrapText="1"/>
    </xf>
    <xf numFmtId="43" fontId="142" fillId="26" borderId="0" xfId="0" applyNumberFormat="1" applyFont="1" applyFill="1" applyBorder="1" applyAlignment="1">
      <alignment horizontal="center" vertical="center" wrapText="1"/>
    </xf>
    <xf numFmtId="43" fontId="53" fillId="26" borderId="15" xfId="0" applyNumberFormat="1" applyFont="1" applyFill="1" applyBorder="1" applyAlignment="1">
      <alignment horizontal="center" vertical="center" wrapText="1"/>
    </xf>
    <xf numFmtId="43" fontId="53" fillId="26" borderId="23" xfId="0" applyNumberFormat="1" applyFont="1" applyFill="1" applyBorder="1" applyAlignment="1">
      <alignment horizontal="center" vertical="center" wrapText="1"/>
    </xf>
    <xf numFmtId="174" fontId="56" fillId="27" borderId="0" xfId="0" applyFont="1" applyFill="1" applyBorder="1" applyAlignment="1">
      <alignment horizontal="center" vertical="center" wrapText="1"/>
    </xf>
    <xf numFmtId="174" fontId="66" fillId="0" borderId="0" xfId="0" applyNumberFormat="1" applyFont="1" applyFill="1" applyBorder="1" applyAlignment="1">
      <alignment horizontal="left" vertical="top" wrapText="1"/>
    </xf>
    <xf numFmtId="174" fontId="83" fillId="27" borderId="21" xfId="0" applyNumberFormat="1" applyFont="1" applyFill="1" applyBorder="1" applyAlignment="1" applyProtection="1">
      <alignment horizontal="center" vertical="center"/>
    </xf>
    <xf numFmtId="174" fontId="83" fillId="27" borderId="14" xfId="0" applyNumberFormat="1" applyFont="1" applyFill="1" applyBorder="1" applyAlignment="1" applyProtection="1">
      <alignment horizontal="center" vertical="center"/>
    </xf>
    <xf numFmtId="174" fontId="83" fillId="27" borderId="15" xfId="0" applyNumberFormat="1" applyFont="1" applyFill="1" applyBorder="1" applyAlignment="1">
      <alignment horizontal="center" vertical="center" wrapText="1"/>
    </xf>
    <xf numFmtId="174" fontId="83" fillId="27" borderId="23" xfId="0" applyNumberFormat="1" applyFont="1" applyFill="1" applyBorder="1" applyAlignment="1">
      <alignment horizontal="center" vertical="center"/>
    </xf>
    <xf numFmtId="174" fontId="83" fillId="27" borderId="16" xfId="0" applyNumberFormat="1" applyFont="1" applyFill="1" applyBorder="1" applyAlignment="1">
      <alignment horizontal="center" vertical="center"/>
    </xf>
    <xf numFmtId="174" fontId="83" fillId="27" borderId="0" xfId="0" applyFont="1" applyFill="1" applyBorder="1" applyAlignment="1">
      <alignment horizontal="left" vertical="center" wrapText="1"/>
    </xf>
    <xf numFmtId="174" fontId="100" fillId="0" borderId="0" xfId="0" applyFont="1" applyFill="1" applyBorder="1" applyAlignment="1">
      <alignment horizontal="left" vertical="center" wrapText="1"/>
    </xf>
    <xf numFmtId="174" fontId="71" fillId="27" borderId="17" xfId="388" applyNumberFormat="1" applyFont="1" applyFill="1" applyBorder="1" applyAlignment="1">
      <alignment horizontal="center" vertical="center"/>
    </xf>
    <xf numFmtId="174" fontId="71" fillId="27" borderId="14" xfId="388" applyNumberFormat="1" applyFont="1" applyFill="1" applyBorder="1" applyAlignment="1">
      <alignment horizontal="center" vertical="center"/>
    </xf>
    <xf numFmtId="174" fontId="71" fillId="27" borderId="12" xfId="388" applyFont="1" applyFill="1" applyBorder="1" applyAlignment="1">
      <alignment horizontal="center" vertical="center"/>
    </xf>
    <xf numFmtId="174" fontId="71" fillId="27" borderId="15" xfId="388" applyFont="1" applyFill="1" applyBorder="1" applyAlignment="1">
      <alignment horizontal="center" vertical="center"/>
    </xf>
    <xf numFmtId="174" fontId="71" fillId="27" borderId="23" xfId="388" applyFont="1" applyFill="1" applyBorder="1" applyAlignment="1">
      <alignment horizontal="center" vertical="center"/>
    </xf>
    <xf numFmtId="174" fontId="71" fillId="27" borderId="16" xfId="388" applyFont="1" applyFill="1" applyBorder="1" applyAlignment="1">
      <alignment horizontal="center" vertical="center"/>
    </xf>
    <xf numFmtId="0" fontId="87" fillId="27" borderId="0" xfId="742" applyFont="1" applyFill="1" applyBorder="1" applyAlignment="1">
      <alignment horizontal="center" vertical="center" wrapText="1"/>
    </xf>
    <xf numFmtId="0" fontId="62" fillId="27" borderId="0" xfId="743" applyFont="1" applyFill="1" applyBorder="1" applyAlignment="1">
      <alignment horizontal="center" vertical="center" wrapText="1"/>
    </xf>
    <xf numFmtId="0" fontId="62" fillId="27" borderId="0" xfId="743" applyFont="1" applyFill="1" applyBorder="1" applyAlignment="1">
      <alignment horizontal="center" vertical="center"/>
    </xf>
    <xf numFmtId="0" fontId="90" fillId="0" borderId="0" xfId="744" applyFont="1" applyFill="1" applyBorder="1" applyAlignment="1">
      <alignment horizontal="center" vertical="center" wrapText="1"/>
    </xf>
    <xf numFmtId="174" fontId="84" fillId="27" borderId="0" xfId="0" applyNumberFormat="1" applyFont="1" applyFill="1" applyBorder="1" applyAlignment="1">
      <alignment horizontal="left" vertical="center" wrapText="1"/>
    </xf>
    <xf numFmtId="174" fontId="84" fillId="27" borderId="0" xfId="0" applyNumberFormat="1" applyFont="1" applyFill="1" applyBorder="1" applyAlignment="1">
      <alignment horizontal="left" vertical="center"/>
    </xf>
    <xf numFmtId="174" fontId="63" fillId="0" borderId="0" xfId="0" applyNumberFormat="1" applyFont="1" applyBorder="1" applyAlignment="1">
      <alignment horizontal="left" wrapText="1"/>
    </xf>
    <xf numFmtId="174" fontId="87" fillId="0" borderId="0" xfId="0" applyFont="1" applyFill="1" applyBorder="1" applyAlignment="1">
      <alignment horizontal="center" vertical="center" wrapText="1"/>
    </xf>
    <xf numFmtId="174" fontId="0" fillId="0" borderId="0" xfId="388" applyFont="1" applyBorder="1" applyAlignment="1">
      <alignment horizontal="left" vertical="center" wrapText="1"/>
    </xf>
    <xf numFmtId="174" fontId="49" fillId="0" borderId="0" xfId="388" applyFont="1" applyBorder="1" applyAlignment="1">
      <alignment horizontal="left" vertical="center" wrapText="1"/>
    </xf>
    <xf numFmtId="174" fontId="90" fillId="0"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6" fillId="0" borderId="0" xfId="0" applyNumberFormat="1" applyFont="1" applyFill="1" applyBorder="1" applyAlignment="1">
      <alignment horizontal="left" vertical="center" wrapText="1"/>
    </xf>
    <xf numFmtId="174" fontId="62" fillId="0" borderId="0" xfId="442" applyFont="1" applyFill="1" applyBorder="1" applyAlignment="1">
      <alignment horizontal="center" vertical="center" wrapText="1"/>
    </xf>
    <xf numFmtId="174" fontId="56" fillId="0" borderId="0" xfId="442" applyFont="1" applyFill="1" applyBorder="1" applyAlignment="1">
      <alignment horizontal="center" vertical="center" wrapText="1"/>
    </xf>
    <xf numFmtId="174" fontId="84" fillId="27" borderId="0" xfId="0" applyFont="1" applyFill="1" applyBorder="1" applyAlignment="1">
      <alignment horizontal="left" vertical="center" wrapText="1"/>
    </xf>
    <xf numFmtId="49" fontId="103" fillId="27" borderId="21" xfId="388" applyNumberFormat="1" applyFont="1" applyFill="1" applyBorder="1" applyAlignment="1">
      <alignment horizontal="left" wrapText="1"/>
    </xf>
    <xf numFmtId="49" fontId="103" fillId="27" borderId="12" xfId="388" applyNumberFormat="1" applyFont="1" applyFill="1" applyBorder="1" applyAlignment="1">
      <alignment horizontal="left" wrapText="1"/>
    </xf>
    <xf numFmtId="0" fontId="87" fillId="27" borderId="21" xfId="579" applyFont="1" applyFill="1" applyBorder="1" applyAlignment="1">
      <alignment horizontal="center" vertical="center" wrapText="1"/>
    </xf>
    <xf numFmtId="0" fontId="87" fillId="27" borderId="12" xfId="579" applyFont="1" applyFill="1" applyBorder="1" applyAlignment="1">
      <alignment horizontal="center" vertical="center" wrapText="1"/>
    </xf>
    <xf numFmtId="0" fontId="87" fillId="27" borderId="12" xfId="579" applyFont="1" applyFill="1" applyBorder="1" applyAlignment="1">
      <alignment horizontal="center" vertical="center"/>
    </xf>
    <xf numFmtId="0" fontId="64" fillId="27" borderId="21" xfId="579" applyFont="1" applyFill="1" applyBorder="1" applyAlignment="1">
      <alignment horizontal="center" vertical="center"/>
    </xf>
    <xf numFmtId="0" fontId="64" fillId="27" borderId="12" xfId="579" applyFont="1" applyFill="1" applyBorder="1" applyAlignment="1">
      <alignment horizontal="center" vertical="center"/>
    </xf>
    <xf numFmtId="0" fontId="0" fillId="0" borderId="0" xfId="579" applyFont="1" applyBorder="1" applyAlignment="1">
      <alignment horizontal="left"/>
    </xf>
    <xf numFmtId="174" fontId="87" fillId="0" borderId="0" xfId="446" applyFont="1" applyFill="1" applyBorder="1" applyAlignment="1">
      <alignment horizontal="center" vertical="center" wrapText="1"/>
    </xf>
    <xf numFmtId="174" fontId="55" fillId="0" borderId="0" xfId="0" applyFont="1" applyBorder="1" applyAlignment="1">
      <alignment horizontal="left" vertical="center" wrapText="1" readingOrder="1"/>
    </xf>
    <xf numFmtId="174" fontId="59" fillId="0" borderId="0" xfId="448" applyFont="1" applyBorder="1" applyAlignment="1">
      <alignment horizontal="left"/>
    </xf>
    <xf numFmtId="0" fontId="90" fillId="27" borderId="0" xfId="579" applyFont="1" applyFill="1" applyBorder="1" applyAlignment="1">
      <alignment horizontal="center" vertical="center" wrapText="1"/>
    </xf>
    <xf numFmtId="0" fontId="90" fillId="27" borderId="0" xfId="579" applyFont="1" applyFill="1" applyBorder="1" applyAlignment="1">
      <alignment horizontal="center" vertical="center"/>
    </xf>
    <xf numFmtId="0" fontId="67" fillId="0" borderId="0" xfId="579" applyFont="1" applyBorder="1" applyAlignment="1">
      <alignment horizontal="center" vertical="center"/>
    </xf>
    <xf numFmtId="174" fontId="83" fillId="27" borderId="15" xfId="450" applyFont="1" applyFill="1" applyBorder="1" applyAlignment="1">
      <alignment horizontal="center" vertical="center" wrapText="1"/>
    </xf>
    <xf numFmtId="174" fontId="83" fillId="27" borderId="23" xfId="450" applyFont="1" applyFill="1" applyBorder="1" applyAlignment="1">
      <alignment horizontal="center" vertical="center" wrapText="1"/>
    </xf>
    <xf numFmtId="174" fontId="83" fillId="27" borderId="16" xfId="450" applyFont="1" applyFill="1" applyBorder="1" applyAlignment="1">
      <alignment horizontal="center" vertical="center" wrapText="1"/>
    </xf>
    <xf numFmtId="174" fontId="84" fillId="27" borderId="0" xfId="450" applyFont="1" applyFill="1" applyBorder="1" applyAlignment="1">
      <alignment horizontal="left" vertical="top" wrapText="1"/>
    </xf>
    <xf numFmtId="174" fontId="56" fillId="27" borderId="0" xfId="636" applyFont="1" applyFill="1" applyBorder="1" applyAlignment="1">
      <alignment horizontal="center" vertical="center" wrapText="1"/>
    </xf>
    <xf numFmtId="174" fontId="63" fillId="0" borderId="0" xfId="633" applyFont="1" applyBorder="1" applyAlignment="1">
      <alignment horizontal="left" vertical="top" wrapText="1"/>
    </xf>
    <xf numFmtId="174" fontId="83" fillId="0" borderId="15" xfId="633" applyFont="1" applyFill="1" applyBorder="1" applyAlignment="1">
      <alignment horizontal="center" vertical="center" wrapText="1"/>
    </xf>
    <xf numFmtId="174" fontId="83" fillId="0" borderId="23" xfId="633" applyFont="1" applyFill="1" applyBorder="1" applyAlignment="1">
      <alignment horizontal="center" vertical="center" wrapText="1"/>
    </xf>
    <xf numFmtId="174" fontId="83" fillId="0" borderId="16" xfId="633" applyFont="1" applyFill="1" applyBorder="1" applyAlignment="1">
      <alignment horizontal="center" vertical="center" wrapText="1"/>
    </xf>
    <xf numFmtId="174" fontId="126" fillId="27" borderId="0" xfId="0" applyFont="1" applyFill="1" applyBorder="1" applyAlignment="1">
      <alignment horizontal="center" vertical="center" wrapText="1"/>
    </xf>
    <xf numFmtId="174" fontId="55" fillId="0" borderId="0" xfId="0" applyNumberFormat="1" applyFont="1" applyBorder="1" applyAlignment="1">
      <alignment horizontal="left" vertical="center" wrapText="1"/>
    </xf>
    <xf numFmtId="43" fontId="71" fillId="0" borderId="15" xfId="0" applyNumberFormat="1" applyFont="1" applyFill="1" applyBorder="1" applyAlignment="1">
      <alignment horizontal="center" vertical="center" wrapText="1"/>
    </xf>
    <xf numFmtId="43" fontId="71" fillId="0" borderId="23" xfId="0" applyNumberFormat="1" applyFont="1" applyFill="1" applyBorder="1" applyAlignment="1">
      <alignment horizontal="center" vertical="center" wrapText="1"/>
    </xf>
    <xf numFmtId="43" fontId="71" fillId="0" borderId="16" xfId="0" applyNumberFormat="1" applyFont="1" applyFill="1" applyBorder="1" applyAlignment="1">
      <alignment horizontal="center" vertical="center" wrapText="1"/>
    </xf>
    <xf numFmtId="43" fontId="90" fillId="27" borderId="0" xfId="323" applyNumberFormat="1" applyFont="1" applyFill="1" applyBorder="1" applyAlignment="1">
      <alignment horizontal="center" vertical="center" wrapText="1"/>
    </xf>
    <xf numFmtId="43" fontId="83" fillId="27" borderId="21" xfId="0" applyNumberFormat="1" applyFont="1" applyFill="1" applyBorder="1" applyAlignment="1">
      <alignment horizontal="center" vertical="center"/>
    </xf>
    <xf numFmtId="43" fontId="83" fillId="27" borderId="12" xfId="0" applyNumberFormat="1" applyFont="1" applyFill="1" applyBorder="1" applyAlignment="1">
      <alignment horizontal="center" vertical="center"/>
    </xf>
    <xf numFmtId="43" fontId="83"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74" fontId="100" fillId="0" borderId="0" xfId="0" applyFont="1" applyAlignment="1">
      <alignment horizontal="left" vertical="top" wrapText="1"/>
    </xf>
    <xf numFmtId="174" fontId="69" fillId="0" borderId="0" xfId="0" applyFont="1" applyAlignment="1">
      <alignment horizontal="left" vertical="top" wrapText="1"/>
    </xf>
    <xf numFmtId="0" fontId="87" fillId="27" borderId="0" xfId="0" applyNumberFormat="1" applyFont="1" applyFill="1" applyBorder="1" applyAlignment="1">
      <alignment horizontal="center" vertical="center" wrapText="1"/>
    </xf>
    <xf numFmtId="0" fontId="87" fillId="27" borderId="0" xfId="0" applyNumberFormat="1" applyFont="1" applyFill="1" applyBorder="1" applyAlignment="1">
      <alignment horizontal="center" vertical="center"/>
    </xf>
    <xf numFmtId="174" fontId="0" fillId="0" borderId="0" xfId="0" applyAlignment="1">
      <alignment horizontal="left" vertical="top"/>
    </xf>
    <xf numFmtId="174" fontId="83" fillId="27" borderId="15" xfId="0" applyNumberFormat="1" applyFont="1" applyFill="1" applyBorder="1" applyAlignment="1">
      <alignment horizontal="center" vertical="center"/>
    </xf>
    <xf numFmtId="174" fontId="29" fillId="0" borderId="0" xfId="0" applyFont="1" applyBorder="1" applyAlignment="1">
      <alignment horizontal="center"/>
    </xf>
    <xf numFmtId="174" fontId="108" fillId="0" borderId="0" xfId="0" applyFont="1" applyBorder="1" applyAlignment="1">
      <alignment horizontal="center" vertical="center"/>
    </xf>
    <xf numFmtId="174" fontId="113"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1" fillId="0" borderId="24" xfId="0" applyFont="1" applyFill="1" applyBorder="1" applyAlignment="1">
      <alignment horizontal="center" vertical="center" wrapText="1"/>
    </xf>
    <xf numFmtId="49" fontId="87" fillId="27" borderId="0" xfId="0" applyNumberFormat="1" applyFont="1" applyFill="1" applyBorder="1" applyAlignment="1">
      <alignment horizontal="center" vertical="center" wrapText="1"/>
    </xf>
    <xf numFmtId="49" fontId="90" fillId="27" borderId="0" xfId="0" applyNumberFormat="1" applyFont="1" applyFill="1" applyBorder="1" applyAlignment="1">
      <alignment horizontal="center" vertical="center" wrapText="1"/>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24" xfId="0" applyFont="1" applyFill="1" applyBorder="1" applyAlignment="1">
      <alignment horizontal="center" vertical="center" wrapText="1"/>
    </xf>
    <xf numFmtId="49" fontId="62" fillId="27" borderId="0" xfId="0" applyNumberFormat="1" applyFont="1" applyFill="1" applyBorder="1" applyAlignment="1">
      <alignment horizontal="center" vertical="center" wrapText="1"/>
    </xf>
    <xf numFmtId="174" fontId="0" fillId="0" borderId="0" xfId="0" applyFont="1" applyBorder="1" applyAlignment="1">
      <alignment horizontal="left" vertical="center" wrapText="1"/>
    </xf>
    <xf numFmtId="49" fontId="70" fillId="0" borderId="0" xfId="0" applyNumberFormat="1"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0" fontId="87" fillId="27" borderId="15" xfId="437" applyFont="1" applyFill="1" applyBorder="1" applyAlignment="1">
      <alignment horizontal="center" vertical="center" wrapText="1"/>
    </xf>
    <xf numFmtId="0" fontId="87" fillId="27" borderId="23" xfId="437" applyFont="1" applyFill="1" applyBorder="1" applyAlignment="1">
      <alignment horizontal="center" vertical="center" wrapText="1"/>
    </xf>
    <xf numFmtId="0" fontId="64" fillId="27" borderId="15" xfId="793" applyFont="1" applyFill="1" applyBorder="1" applyAlignment="1">
      <alignment horizontal="center" vertical="center" wrapText="1"/>
    </xf>
    <xf numFmtId="0" fontId="64" fillId="27" borderId="16" xfId="793" applyFont="1" applyFill="1" applyBorder="1" applyAlignment="1">
      <alignment horizontal="center" vertical="center" wrapText="1"/>
    </xf>
    <xf numFmtId="0" fontId="87" fillId="27" borderId="13" xfId="437" applyFont="1" applyFill="1" applyBorder="1" applyAlignment="1">
      <alignment horizontal="center" vertical="center" wrapText="1"/>
    </xf>
    <xf numFmtId="0" fontId="53" fillId="0" borderId="0" xfId="919" applyFont="1" applyAlignment="1">
      <alignment horizontal="center"/>
    </xf>
    <xf numFmtId="0" fontId="88" fillId="27" borderId="13"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174" fontId="62"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7" fillId="27" borderId="0" xfId="0" applyNumberFormat="1" applyFont="1" applyFill="1" applyBorder="1" applyAlignment="1">
      <alignment horizontal="center" vertical="center" wrapText="1"/>
    </xf>
    <xf numFmtId="174" fontId="56"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104"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0" fillId="0" borderId="0" xfId="0" applyFont="1" applyAlignment="1">
      <alignment horizontal="left" vertical="center" wrapText="1"/>
    </xf>
    <xf numFmtId="174" fontId="105" fillId="0" borderId="0" xfId="0" applyFont="1" applyAlignment="1">
      <alignment horizontal="center" wrapText="1"/>
    </xf>
    <xf numFmtId="174" fontId="88"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0" fillId="0" borderId="0" xfId="0" applyFont="1" applyBorder="1" applyAlignment="1">
      <alignment horizontal="left" vertical="top" wrapText="1"/>
    </xf>
    <xf numFmtId="174" fontId="70" fillId="0" borderId="0" xfId="0" applyFont="1" applyAlignment="1">
      <alignment horizontal="left" vertical="top" wrapText="1"/>
    </xf>
    <xf numFmtId="174" fontId="0" fillId="0" borderId="0" xfId="0" applyAlignment="1">
      <alignment horizontal="center"/>
    </xf>
    <xf numFmtId="174" fontId="8" fillId="0" borderId="0" xfId="0" applyFont="1" applyBorder="1" applyAlignment="1">
      <alignment horizontal="left" vertical="center" wrapText="1"/>
    </xf>
    <xf numFmtId="174" fontId="70" fillId="0" borderId="0" xfId="0" applyFont="1" applyBorder="1" applyAlignment="1">
      <alignment horizontal="left" vertical="center" wrapText="1"/>
    </xf>
  </cellXfs>
  <cellStyles count="110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5" xfId="324"/>
    <cellStyle name="Millares 16" xfId="709"/>
    <cellStyle name="Millares 16 2" xfId="1046"/>
    <cellStyle name="Millares 17" xfId="1047"/>
    <cellStyle name="Millares 18" xfId="1090"/>
    <cellStyle name="Millares 18 2" xfId="1097"/>
    <cellStyle name="Millares 2" xfId="325"/>
    <cellStyle name="Millares 2 10" xfId="71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4" xfId="1089"/>
    <cellStyle name="Normal 114 2" xfId="1101"/>
    <cellStyle name="Normal 115" xfId="1094"/>
    <cellStyle name="Normal 116" xfId="1095"/>
    <cellStyle name="Normal 117" xfId="1100"/>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FF6600"/>
      <color rgb="FFFF3399"/>
      <color rgb="FF249AA6"/>
      <color rgb="FF66FF33"/>
      <color rgb="FF19F333"/>
      <color rgb="FF0000FF"/>
      <color rgb="FF2AB2E2"/>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16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powerPivotData" Target="model/item.data"/><Relationship Id="rId16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51579743824"/>
          <c:y val="4.2429140797008671E-2"/>
        </c:manualLayout>
      </c:layout>
      <c:overlay val="0"/>
    </c:title>
    <c:autoTitleDeleted val="0"/>
    <c:plotArea>
      <c:layout>
        <c:manualLayout>
          <c:layoutTarget val="inner"/>
          <c:xMode val="edge"/>
          <c:yMode val="edge"/>
          <c:x val="6.9917989028060568E-2"/>
          <c:y val="0.20777141043428884"/>
          <c:w val="0.87658876558398158"/>
          <c:h val="0.62126251520037723"/>
        </c:manualLayout>
      </c:layout>
      <c:barChart>
        <c:barDir val="col"/>
        <c:grouping val="clustered"/>
        <c:varyColors val="0"/>
        <c:ser>
          <c:idx val="1"/>
          <c:order val="0"/>
          <c:tx>
            <c:strRef>
              <c:f>'Empl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 sector '!$A$4:$A$11</c:f>
              <c:strCache>
                <c:ptCount val="8"/>
                <c:pt idx="0">
                  <c:v>Dic.08</c:v>
                </c:pt>
                <c:pt idx="1">
                  <c:v>Dic.09</c:v>
                </c:pt>
                <c:pt idx="2">
                  <c:v>Dic.10</c:v>
                </c:pt>
                <c:pt idx="3">
                  <c:v>Dic.11</c:v>
                </c:pt>
                <c:pt idx="4">
                  <c:v>Dic.12</c:v>
                </c:pt>
                <c:pt idx="5">
                  <c:v>Dic.13</c:v>
                </c:pt>
                <c:pt idx="6">
                  <c:v>Dic.14</c:v>
                </c:pt>
                <c:pt idx="7">
                  <c:v>Ene.15</c:v>
                </c:pt>
              </c:strCache>
            </c:strRef>
          </c:cat>
          <c:val>
            <c:numRef>
              <c:f>'Empl x sector '!$I$4:$I$11</c:f>
              <c:numCache>
                <c:formatCode>#,##0</c:formatCode>
                <c:ptCount val="8"/>
                <c:pt idx="0">
                  <c:v>1188229</c:v>
                </c:pt>
                <c:pt idx="1">
                  <c:v>1227725</c:v>
                </c:pt>
                <c:pt idx="2">
                  <c:v>1299087</c:v>
                </c:pt>
                <c:pt idx="3">
                  <c:v>1363921</c:v>
                </c:pt>
                <c:pt idx="4">
                  <c:v>1427902</c:v>
                </c:pt>
                <c:pt idx="5">
                  <c:v>1526658</c:v>
                </c:pt>
                <c:pt idx="6">
                  <c:v>1651202</c:v>
                </c:pt>
                <c:pt idx="7">
                  <c:v>1654484</c:v>
                </c:pt>
              </c:numCache>
            </c:numRef>
          </c:val>
        </c:ser>
        <c:ser>
          <c:idx val="0"/>
          <c:order val="1"/>
          <c:tx>
            <c:strRef>
              <c:f>'Empl x sector '!$E$3</c:f>
              <c:strCache>
                <c:ptCount val="1"/>
                <c:pt idx="0">
                  <c:v>Total Empresas</c:v>
                </c:pt>
              </c:strCache>
            </c:strRef>
          </c:tx>
          <c:spPr>
            <a:solidFill>
              <a:schemeClr val="accent3">
                <a:lumMod val="75000"/>
              </a:schemeClr>
            </a:solidFill>
          </c:spPr>
          <c:invertIfNegative val="0"/>
          <c:dLbls>
            <c:dLbl>
              <c:idx val="7"/>
              <c:layout>
                <c:manualLayout>
                  <c:x val="-2.0903321397866001E-3"/>
                  <c:y val="-6.3782992184193751E-3"/>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 sector '!$A$4:$A$11</c:f>
              <c:strCache>
                <c:ptCount val="8"/>
                <c:pt idx="0">
                  <c:v>Dic.08</c:v>
                </c:pt>
                <c:pt idx="1">
                  <c:v>Dic.09</c:v>
                </c:pt>
                <c:pt idx="2">
                  <c:v>Dic.10</c:v>
                </c:pt>
                <c:pt idx="3">
                  <c:v>Dic.11</c:v>
                </c:pt>
                <c:pt idx="4">
                  <c:v>Dic.12</c:v>
                </c:pt>
                <c:pt idx="5">
                  <c:v>Dic.13</c:v>
                </c:pt>
                <c:pt idx="6">
                  <c:v>Dic.14</c:v>
                </c:pt>
                <c:pt idx="7">
                  <c:v>Ene.15</c:v>
                </c:pt>
              </c:strCache>
            </c:strRef>
          </c:cat>
          <c:val>
            <c:numRef>
              <c:f>'Empl x sector '!$E$4:$E$11</c:f>
              <c:numCache>
                <c:formatCode>#,##0</c:formatCode>
                <c:ptCount val="8"/>
                <c:pt idx="0">
                  <c:v>41757</c:v>
                </c:pt>
                <c:pt idx="1">
                  <c:v>41671</c:v>
                </c:pt>
                <c:pt idx="2">
                  <c:v>44179</c:v>
                </c:pt>
                <c:pt idx="3">
                  <c:v>47222</c:v>
                </c:pt>
                <c:pt idx="4">
                  <c:v>51351</c:v>
                </c:pt>
                <c:pt idx="5">
                  <c:v>59335</c:v>
                </c:pt>
                <c:pt idx="6">
                  <c:v>65666</c:v>
                </c:pt>
                <c:pt idx="7">
                  <c:v>65877</c:v>
                </c:pt>
              </c:numCache>
            </c:numRef>
          </c:val>
        </c:ser>
        <c:dLbls>
          <c:showLegendKey val="0"/>
          <c:showVal val="0"/>
          <c:showCatName val="0"/>
          <c:showSerName val="0"/>
          <c:showPercent val="0"/>
          <c:showBubbleSize val="0"/>
        </c:dLbls>
        <c:gapWidth val="49"/>
        <c:overlap val="69"/>
        <c:axId val="300392688"/>
        <c:axId val="300393080"/>
      </c:barChart>
      <c:lineChart>
        <c:grouping val="standard"/>
        <c:varyColors val="0"/>
        <c:ser>
          <c:idx val="2"/>
          <c:order val="2"/>
          <c:tx>
            <c:strRef>
              <c:f>'Empl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 sector '!$A$4:$A$11</c:f>
              <c:strCache>
                <c:ptCount val="8"/>
                <c:pt idx="0">
                  <c:v>Dic.08</c:v>
                </c:pt>
                <c:pt idx="1">
                  <c:v>Dic.09</c:v>
                </c:pt>
                <c:pt idx="2">
                  <c:v>Dic.10</c:v>
                </c:pt>
                <c:pt idx="3">
                  <c:v>Dic.11</c:v>
                </c:pt>
                <c:pt idx="4">
                  <c:v>Dic.12</c:v>
                </c:pt>
                <c:pt idx="5">
                  <c:v>Dic.13</c:v>
                </c:pt>
                <c:pt idx="6">
                  <c:v>Dic.14</c:v>
                </c:pt>
                <c:pt idx="7">
                  <c:v>Ene.15</c:v>
                </c:pt>
              </c:strCache>
            </c:strRef>
          </c:cat>
          <c:val>
            <c:numRef>
              <c:f>'Empl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25.114744144390304</c:v>
                </c:pt>
              </c:numCache>
            </c:numRef>
          </c:val>
          <c:smooth val="0"/>
        </c:ser>
        <c:dLbls>
          <c:showLegendKey val="0"/>
          <c:showVal val="0"/>
          <c:showCatName val="0"/>
          <c:showSerName val="0"/>
          <c:showPercent val="0"/>
          <c:showBubbleSize val="0"/>
        </c:dLbls>
        <c:marker val="1"/>
        <c:smooth val="0"/>
        <c:axId val="300393864"/>
        <c:axId val="300393472"/>
      </c:lineChart>
      <c:catAx>
        <c:axId val="300392688"/>
        <c:scaling>
          <c:orientation val="minMax"/>
        </c:scaling>
        <c:delete val="0"/>
        <c:axPos val="b"/>
        <c:numFmt formatCode="General" sourceLinked="0"/>
        <c:majorTickMark val="none"/>
        <c:minorTickMark val="none"/>
        <c:tickLblPos val="nextTo"/>
        <c:txPr>
          <a:bodyPr/>
          <a:lstStyle/>
          <a:p>
            <a:pPr>
              <a:defRPr sz="1200"/>
            </a:pPr>
            <a:endParaRPr lang="es-ES"/>
          </a:p>
        </c:txPr>
        <c:crossAx val="300393080"/>
        <c:crosses val="autoZero"/>
        <c:auto val="1"/>
        <c:lblAlgn val="ctr"/>
        <c:lblOffset val="100"/>
        <c:noMultiLvlLbl val="0"/>
      </c:catAx>
      <c:valAx>
        <c:axId val="300393080"/>
        <c:scaling>
          <c:orientation val="minMax"/>
        </c:scaling>
        <c:delete val="0"/>
        <c:axPos val="l"/>
        <c:numFmt formatCode="#,##0" sourceLinked="1"/>
        <c:majorTickMark val="none"/>
        <c:minorTickMark val="none"/>
        <c:tickLblPos val="nextTo"/>
        <c:crossAx val="300392688"/>
        <c:crosses val="autoZero"/>
        <c:crossBetween val="between"/>
      </c:valAx>
      <c:valAx>
        <c:axId val="300393472"/>
        <c:scaling>
          <c:orientation val="minMax"/>
          <c:max val="100"/>
        </c:scaling>
        <c:delete val="0"/>
        <c:axPos val="r"/>
        <c:numFmt formatCode="#,##0.0" sourceLinked="1"/>
        <c:majorTickMark val="out"/>
        <c:minorTickMark val="none"/>
        <c:tickLblPos val="nextTo"/>
        <c:crossAx val="300393864"/>
        <c:crosses val="max"/>
        <c:crossBetween val="between"/>
      </c:valAx>
      <c:catAx>
        <c:axId val="300393864"/>
        <c:scaling>
          <c:orientation val="minMax"/>
        </c:scaling>
        <c:delete val="1"/>
        <c:axPos val="b"/>
        <c:numFmt formatCode="General" sourceLinked="1"/>
        <c:majorTickMark val="out"/>
        <c:minorTickMark val="none"/>
        <c:tickLblPos val="nextTo"/>
        <c:crossAx val="300393472"/>
        <c:crosses val="autoZero"/>
        <c:auto val="1"/>
        <c:lblAlgn val="ctr"/>
        <c:lblOffset val="100"/>
        <c:noMultiLvlLbl val="0"/>
      </c:catAx>
    </c:plotArea>
    <c:legend>
      <c:legendPos val="t"/>
      <c:layout>
        <c:manualLayout>
          <c:xMode val="edge"/>
          <c:yMode val="edge"/>
          <c:x val="0.22837043220250475"/>
          <c:y val="8.9624135520401993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7318203901490277"/>
          <c:y val="5.2499853046791216E-2"/>
        </c:manualLayout>
      </c:layout>
      <c:overlay val="0"/>
    </c:title>
    <c:autoTitleDeleted val="0"/>
    <c:plotArea>
      <c:layout>
        <c:manualLayout>
          <c:layoutTarget val="inner"/>
          <c:xMode val="edge"/>
          <c:yMode val="edge"/>
          <c:x val="6.7560025898171132E-3"/>
          <c:y val="0.14236474200042468"/>
          <c:w val="0.97911781017692889"/>
          <c:h val="0.7713996522860832"/>
        </c:manualLayout>
      </c:layout>
      <c:barChart>
        <c:barDir val="col"/>
        <c:grouping val="clustered"/>
        <c:varyColors val="0"/>
        <c:ser>
          <c:idx val="1"/>
          <c:order val="0"/>
          <c:tx>
            <c:strRef>
              <c:f>'Afil. SFS RC Anual '!$C$3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 RC Anual '!$A$4:$A$12</c:f>
              <c:strCache>
                <c:ptCount val="9"/>
                <c:pt idx="0">
                  <c:v>Dic.2007</c:v>
                </c:pt>
                <c:pt idx="1">
                  <c:v>Dic.2008</c:v>
                </c:pt>
                <c:pt idx="2">
                  <c:v>Dic.2009</c:v>
                </c:pt>
                <c:pt idx="3">
                  <c:v>Dic.2010</c:v>
                </c:pt>
                <c:pt idx="4">
                  <c:v>Dic.2011</c:v>
                </c:pt>
                <c:pt idx="5">
                  <c:v>Dic.2012</c:v>
                </c:pt>
                <c:pt idx="6">
                  <c:v>Dic.2013</c:v>
                </c:pt>
                <c:pt idx="7">
                  <c:v>Dic.2014</c:v>
                </c:pt>
                <c:pt idx="8">
                  <c:v>Ene.2015</c:v>
                </c:pt>
              </c:strCache>
            </c:strRef>
          </c:cat>
          <c:val>
            <c:numRef>
              <c:f>'Afil. SFS RC Anual '!$C$4:$C$12</c:f>
              <c:numCache>
                <c:formatCode>#,##0</c:formatCode>
                <c:ptCount val="9"/>
                <c:pt idx="0">
                  <c:v>557270</c:v>
                </c:pt>
                <c:pt idx="1">
                  <c:v>726113</c:v>
                </c:pt>
                <c:pt idx="2">
                  <c:v>1008697</c:v>
                </c:pt>
                <c:pt idx="3">
                  <c:v>1211222</c:v>
                </c:pt>
                <c:pt idx="4">
                  <c:v>1329078</c:v>
                </c:pt>
                <c:pt idx="5">
                  <c:v>1445581</c:v>
                </c:pt>
                <c:pt idx="6">
                  <c:v>1561485</c:v>
                </c:pt>
                <c:pt idx="7">
                  <c:v>1718613</c:v>
                </c:pt>
                <c:pt idx="8">
                  <c:v>1729358</c:v>
                </c:pt>
              </c:numCache>
            </c:numRef>
          </c:val>
        </c:ser>
        <c:ser>
          <c:idx val="0"/>
          <c:order val="1"/>
          <c:tx>
            <c:strRef>
              <c:f>'Afil. SFS RC Anual '!$B$3</c:f>
              <c:strCache>
                <c:ptCount val="1"/>
                <c:pt idx="0">
                  <c:v>Afiliados Titulares RC</c:v>
                </c:pt>
              </c:strCache>
            </c:strRef>
          </c:tx>
          <c:spPr>
            <a:solidFill>
              <a:srgbClr val="0070C0"/>
            </a:solidFill>
          </c:spPr>
          <c:invertIfNegative val="0"/>
          <c:dLbls>
            <c:dLbl>
              <c:idx val="3"/>
              <c:layout>
                <c:manualLayout>
                  <c:x val="5.5555555555555558E-3"/>
                  <c:y val="6.402421103267221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 RC Anual '!$A$4:$A$12</c:f>
              <c:strCache>
                <c:ptCount val="9"/>
                <c:pt idx="0">
                  <c:v>Dic.2007</c:v>
                </c:pt>
                <c:pt idx="1">
                  <c:v>Dic.2008</c:v>
                </c:pt>
                <c:pt idx="2">
                  <c:v>Dic.2009</c:v>
                </c:pt>
                <c:pt idx="3">
                  <c:v>Dic.2010</c:v>
                </c:pt>
                <c:pt idx="4">
                  <c:v>Dic.2011</c:v>
                </c:pt>
                <c:pt idx="5">
                  <c:v>Dic.2012</c:v>
                </c:pt>
                <c:pt idx="6">
                  <c:v>Dic.2013</c:v>
                </c:pt>
                <c:pt idx="7">
                  <c:v>Dic.2014</c:v>
                </c:pt>
                <c:pt idx="8">
                  <c:v>Ene.2015</c:v>
                </c:pt>
              </c:strCache>
            </c:strRef>
          </c:cat>
          <c:val>
            <c:numRef>
              <c:f>'Afil. SFS RC Anual '!$B$4:$B$12</c:f>
              <c:numCache>
                <c:formatCode>#,##0</c:formatCode>
                <c:ptCount val="9"/>
                <c:pt idx="0">
                  <c:v>919911</c:v>
                </c:pt>
                <c:pt idx="1">
                  <c:v>966146</c:v>
                </c:pt>
                <c:pt idx="2">
                  <c:v>1079602</c:v>
                </c:pt>
                <c:pt idx="3">
                  <c:v>1152861</c:v>
                </c:pt>
                <c:pt idx="4">
                  <c:v>1188345</c:v>
                </c:pt>
                <c:pt idx="5">
                  <c:v>1242830</c:v>
                </c:pt>
                <c:pt idx="6">
                  <c:v>1297821</c:v>
                </c:pt>
                <c:pt idx="7">
                  <c:v>1422986</c:v>
                </c:pt>
                <c:pt idx="8">
                  <c:v>1426011</c:v>
                </c:pt>
              </c:numCache>
            </c:numRef>
          </c:val>
        </c:ser>
        <c:dLbls>
          <c:showLegendKey val="0"/>
          <c:showVal val="1"/>
          <c:showCatName val="0"/>
          <c:showSerName val="0"/>
          <c:showPercent val="0"/>
          <c:showBubbleSize val="0"/>
        </c:dLbls>
        <c:gapWidth val="58"/>
        <c:overlap val="51"/>
        <c:axId val="308808728"/>
        <c:axId val="308809120"/>
      </c:barChart>
      <c:catAx>
        <c:axId val="308808728"/>
        <c:scaling>
          <c:orientation val="minMax"/>
        </c:scaling>
        <c:delete val="0"/>
        <c:axPos val="b"/>
        <c:numFmt formatCode="General" sourceLinked="0"/>
        <c:majorTickMark val="none"/>
        <c:minorTickMark val="none"/>
        <c:tickLblPos val="nextTo"/>
        <c:txPr>
          <a:bodyPr/>
          <a:lstStyle/>
          <a:p>
            <a:pPr>
              <a:defRPr sz="1600"/>
            </a:pPr>
            <a:endParaRPr lang="es-ES"/>
          </a:p>
        </c:txPr>
        <c:crossAx val="308809120"/>
        <c:crosses val="autoZero"/>
        <c:auto val="1"/>
        <c:lblAlgn val="ctr"/>
        <c:lblOffset val="100"/>
        <c:noMultiLvlLbl val="0"/>
      </c:catAx>
      <c:valAx>
        <c:axId val="308809120"/>
        <c:scaling>
          <c:orientation val="minMax"/>
        </c:scaling>
        <c:delete val="1"/>
        <c:axPos val="l"/>
        <c:numFmt formatCode="#,##0" sourceLinked="1"/>
        <c:majorTickMark val="out"/>
        <c:minorTickMark val="none"/>
        <c:tickLblPos val="nextTo"/>
        <c:crossAx val="308808728"/>
        <c:crosses val="autoZero"/>
        <c:crossBetween val="between"/>
      </c:valAx>
    </c:plotArea>
    <c:legend>
      <c:legendPos val="t"/>
      <c:layout>
        <c:manualLayout>
          <c:xMode val="edge"/>
          <c:yMode val="edge"/>
          <c:x val="0.32687453128067584"/>
          <c:y val="0.10267345948421894"/>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6545195008518671E-2"/>
          <c:y val="0.20848733672996755"/>
          <c:w val="0.94831602891743794"/>
          <c:h val="0.68373283927744322"/>
        </c:manualLayout>
      </c:layout>
      <c:bar3DChart>
        <c:barDir val="col"/>
        <c:grouping val="standard"/>
        <c:varyColors val="0"/>
        <c:ser>
          <c:idx val="0"/>
          <c:order val="0"/>
          <c:tx>
            <c:strRef>
              <c:f>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Apelaciones1!$A$5:$A$12</c:f>
              <c:strCache>
                <c:ptCount val="8"/>
                <c:pt idx="0">
                  <c:v>2009</c:v>
                </c:pt>
                <c:pt idx="1">
                  <c:v>2010</c:v>
                </c:pt>
                <c:pt idx="2">
                  <c:v>2011</c:v>
                </c:pt>
                <c:pt idx="3">
                  <c:v>2012</c:v>
                </c:pt>
                <c:pt idx="4">
                  <c:v>2013</c:v>
                </c:pt>
                <c:pt idx="5">
                  <c:v>2014</c:v>
                </c:pt>
                <c:pt idx="6">
                  <c:v>Ene.2015</c:v>
                </c:pt>
                <c:pt idx="7">
                  <c:v>Fecha no especificada</c:v>
                </c:pt>
              </c:strCache>
            </c:strRef>
          </c:cat>
          <c:val>
            <c:numRef>
              <c:f>Apelaciones1!$B$5:$B$12</c:f>
              <c:numCache>
                <c:formatCode>_(* #,##0_);_(* \(#,##0\);_(* "-"??_);_(@_)</c:formatCode>
                <c:ptCount val="8"/>
                <c:pt idx="0">
                  <c:v>81</c:v>
                </c:pt>
                <c:pt idx="1">
                  <c:v>61</c:v>
                </c:pt>
                <c:pt idx="2">
                  <c:v>78</c:v>
                </c:pt>
                <c:pt idx="3">
                  <c:v>313</c:v>
                </c:pt>
                <c:pt idx="4">
                  <c:v>527</c:v>
                </c:pt>
                <c:pt idx="5">
                  <c:v>287</c:v>
                </c:pt>
                <c:pt idx="6">
                  <c:v>22</c:v>
                </c:pt>
                <c:pt idx="7">
                  <c:v>5</c:v>
                </c:pt>
              </c:numCache>
            </c:numRef>
          </c:val>
        </c:ser>
        <c:ser>
          <c:idx val="1"/>
          <c:order val="1"/>
          <c:tx>
            <c:strRef>
              <c:f>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Apelaciones1!$A$5:$A$12</c:f>
              <c:strCache>
                <c:ptCount val="8"/>
                <c:pt idx="0">
                  <c:v>2009</c:v>
                </c:pt>
                <c:pt idx="1">
                  <c:v>2010</c:v>
                </c:pt>
                <c:pt idx="2">
                  <c:v>2011</c:v>
                </c:pt>
                <c:pt idx="3">
                  <c:v>2012</c:v>
                </c:pt>
                <c:pt idx="4">
                  <c:v>2013</c:v>
                </c:pt>
                <c:pt idx="5">
                  <c:v>2014</c:v>
                </c:pt>
                <c:pt idx="6">
                  <c:v>Ene.2015</c:v>
                </c:pt>
                <c:pt idx="7">
                  <c:v>Fecha no especificada</c:v>
                </c:pt>
              </c:strCache>
            </c:strRef>
          </c:cat>
          <c:val>
            <c:numRef>
              <c:f>Apelaciones1!$C$5:$C$12</c:f>
              <c:numCache>
                <c:formatCode>_(* #,##0_);_(* \(#,##0\);_(* "-"??_);_(@_)</c:formatCode>
                <c:ptCount val="8"/>
                <c:pt idx="0">
                  <c:v>13</c:v>
                </c:pt>
                <c:pt idx="1">
                  <c:v>25</c:v>
                </c:pt>
                <c:pt idx="2">
                  <c:v>45</c:v>
                </c:pt>
                <c:pt idx="3">
                  <c:v>186</c:v>
                </c:pt>
                <c:pt idx="4">
                  <c:v>218</c:v>
                </c:pt>
                <c:pt idx="5">
                  <c:v>99</c:v>
                </c:pt>
                <c:pt idx="6">
                  <c:v>5</c:v>
                </c:pt>
                <c:pt idx="7">
                  <c:v>0</c:v>
                </c:pt>
              </c:numCache>
            </c:numRef>
          </c:val>
        </c:ser>
        <c:ser>
          <c:idx val="2"/>
          <c:order val="2"/>
          <c:tx>
            <c:strRef>
              <c:f>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Apelaciones1!$A$5:$A$12</c:f>
              <c:strCache>
                <c:ptCount val="8"/>
                <c:pt idx="0">
                  <c:v>2009</c:v>
                </c:pt>
                <c:pt idx="1">
                  <c:v>2010</c:v>
                </c:pt>
                <c:pt idx="2">
                  <c:v>2011</c:v>
                </c:pt>
                <c:pt idx="3">
                  <c:v>2012</c:v>
                </c:pt>
                <c:pt idx="4">
                  <c:v>2013</c:v>
                </c:pt>
                <c:pt idx="5">
                  <c:v>2014</c:v>
                </c:pt>
                <c:pt idx="6">
                  <c:v>Ene.2015</c:v>
                </c:pt>
                <c:pt idx="7">
                  <c:v>Fecha no especificada</c:v>
                </c:pt>
              </c:strCache>
            </c:strRef>
          </c:cat>
          <c:val>
            <c:numRef>
              <c:f>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375126008"/>
        <c:axId val="375126400"/>
        <c:axId val="372373768"/>
      </c:bar3DChart>
      <c:catAx>
        <c:axId val="375126008"/>
        <c:scaling>
          <c:orientation val="minMax"/>
        </c:scaling>
        <c:delete val="0"/>
        <c:axPos val="b"/>
        <c:numFmt formatCode="General" sourceLinked="0"/>
        <c:majorTickMark val="none"/>
        <c:minorTickMark val="none"/>
        <c:tickLblPos val="nextTo"/>
        <c:txPr>
          <a:bodyPr/>
          <a:lstStyle/>
          <a:p>
            <a:pPr>
              <a:defRPr sz="1800"/>
            </a:pPr>
            <a:endParaRPr lang="es-ES"/>
          </a:p>
        </c:txPr>
        <c:crossAx val="375126400"/>
        <c:crosses val="autoZero"/>
        <c:auto val="1"/>
        <c:lblAlgn val="ctr"/>
        <c:lblOffset val="100"/>
        <c:noMultiLvlLbl val="0"/>
      </c:catAx>
      <c:valAx>
        <c:axId val="375126400"/>
        <c:scaling>
          <c:orientation val="minMax"/>
        </c:scaling>
        <c:delete val="1"/>
        <c:axPos val="r"/>
        <c:numFmt formatCode="_(* #,##0_);_(* \(#,##0\);_(* &quot;-&quot;??_);_(@_)" sourceLinked="1"/>
        <c:majorTickMark val="none"/>
        <c:minorTickMark val="none"/>
        <c:tickLblPos val="nextTo"/>
        <c:crossAx val="375126008"/>
        <c:crosses val="autoZero"/>
        <c:crossBetween val="between"/>
      </c:valAx>
      <c:serAx>
        <c:axId val="372373768"/>
        <c:scaling>
          <c:orientation val="minMax"/>
        </c:scaling>
        <c:delete val="1"/>
        <c:axPos val="b"/>
        <c:majorTickMark val="out"/>
        <c:minorTickMark val="none"/>
        <c:tickLblPos val="nextTo"/>
        <c:crossAx val="375126400"/>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207295960163398"/>
          <c:y val="1.8316497539531906E-2"/>
        </c:manualLayout>
      </c:layout>
      <c:overlay val="1"/>
    </c:title>
    <c:autoTitleDeleted val="0"/>
    <c:plotArea>
      <c:layout>
        <c:manualLayout>
          <c:layoutTarget val="inner"/>
          <c:xMode val="edge"/>
          <c:yMode val="edge"/>
          <c:x val="1.2260180960112832E-2"/>
          <c:y val="0.25303051499645207"/>
          <c:w val="0.96662691710423365"/>
          <c:h val="0.60050294650428937"/>
        </c:manualLayout>
      </c:layout>
      <c:lineChart>
        <c:grouping val="standard"/>
        <c:varyColors val="0"/>
        <c:ser>
          <c:idx val="0"/>
          <c:order val="0"/>
          <c:tx>
            <c:strRef>
              <c:f>'Ocup. formal '!$A$4</c:f>
              <c:strCache>
                <c:ptCount val="1"/>
                <c:pt idx="0">
                  <c:v> Agricultura y Ganadería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'Ocup. formal '!$A$5</c:f>
              <c:strCache>
                <c:ptCount val="1"/>
                <c:pt idx="0">
                  <c:v> Explotación de Minas y Canteras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'Ocup. formal '!$A$6</c:f>
              <c:strCache>
                <c:ptCount val="1"/>
                <c:pt idx="0">
                  <c:v> Industrias Manufactureras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'Ocup. formal '!$A$7</c:f>
              <c:strCache>
                <c:ptCount val="1"/>
                <c:pt idx="0">
                  <c:v> Electricidad, Gas y Agua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'Ocup. formal '!$A$8</c:f>
              <c:strCache>
                <c:ptCount val="1"/>
                <c:pt idx="0">
                  <c:v> Construcción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'Ocup. formal '!$A$9</c:f>
              <c:strCache>
                <c:ptCount val="1"/>
                <c:pt idx="0">
                  <c:v> Comercio al por Mayor y Menor </c:v>
                </c:pt>
              </c:strCache>
            </c:strRef>
          </c:tx>
          <c:marker>
            <c:symbol val="none"/>
          </c:marker>
          <c:dPt>
            <c:idx val="2"/>
            <c:bubble3D val="0"/>
          </c:dPt>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'Ocup. formal '!$A$10</c:f>
              <c:strCache>
                <c:ptCount val="1"/>
                <c:pt idx="0">
                  <c:v> Hoteles, Bares y Restaurantes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'Ocup. formal '!$A$11</c:f>
              <c:strCache>
                <c:ptCount val="1"/>
                <c:pt idx="0">
                  <c:v> Transporte y Comunicaciones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'Ocup. formal '!$A$12</c:f>
              <c:strCache>
                <c:ptCount val="1"/>
                <c:pt idx="0">
                  <c:v> Intermediación Financiera y Seguros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'Ocup. formal '!$A$13</c:f>
              <c:strCache>
                <c:ptCount val="1"/>
                <c:pt idx="0">
                  <c:v> Administración Pública y Defensa </c:v>
                </c:pt>
              </c:strCache>
            </c:strRef>
          </c:tx>
          <c:marker>
            <c:symbol val="none"/>
          </c:marker>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'Ocup. formal '!$A$14</c:f>
              <c:strCache>
                <c:ptCount val="1"/>
                <c:pt idx="0">
                  <c:v> Otros Servicios </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'Ocup. formal '!$B$3:$N$3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'Ocup. formal '!$B$14:$N$14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375127184"/>
        <c:axId val="375127576"/>
      </c:lineChart>
      <c:catAx>
        <c:axId val="375127184"/>
        <c:scaling>
          <c:orientation val="minMax"/>
        </c:scaling>
        <c:delete val="0"/>
        <c:axPos val="b"/>
        <c:numFmt formatCode="General" sourceLinked="1"/>
        <c:majorTickMark val="none"/>
        <c:minorTickMark val="none"/>
        <c:tickLblPos val="nextTo"/>
        <c:txPr>
          <a:bodyPr/>
          <a:lstStyle/>
          <a:p>
            <a:pPr>
              <a:defRPr lang="en-US" sz="1050"/>
            </a:pPr>
            <a:endParaRPr lang="es-ES"/>
          </a:p>
        </c:txPr>
        <c:crossAx val="375127576"/>
        <c:crosses val="autoZero"/>
        <c:auto val="1"/>
        <c:lblAlgn val="ctr"/>
        <c:lblOffset val="100"/>
        <c:noMultiLvlLbl val="0"/>
      </c:catAx>
      <c:valAx>
        <c:axId val="375127576"/>
        <c:scaling>
          <c:orientation val="minMax"/>
        </c:scaling>
        <c:delete val="1"/>
        <c:axPos val="l"/>
        <c:numFmt formatCode="_(* #,##0_);_(* \(#,##0\);_(* &quot;-&quot;??_);_(@_)" sourceLinked="1"/>
        <c:majorTickMark val="out"/>
        <c:minorTickMark val="none"/>
        <c:tickLblPos val="nextTo"/>
        <c:crossAx val="375127184"/>
        <c:crosses val="autoZero"/>
        <c:crossBetween val="between"/>
      </c:valAx>
    </c:plotArea>
    <c:legend>
      <c:legendPos val="b"/>
      <c:layout>
        <c:manualLayout>
          <c:xMode val="edge"/>
          <c:yMode val="edge"/>
          <c:x val="3.6438059179344687E-2"/>
          <c:y val="0.15000418250731221"/>
          <c:w val="0.84671698044664834"/>
          <c:h val="0.1249533073537132"/>
        </c:manualLayout>
      </c:layout>
      <c:overlay val="0"/>
      <c:txPr>
        <a:bodyPr/>
        <a:lstStyle/>
        <a:p>
          <a:pPr>
            <a:defRPr lang="en-US" sz="105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 Pob. econ. '!$B$3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 Pob. econ. '!$C$3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 Pob. econ. '!$D$3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 Pob. econ. '!$E$3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 Pob. econ. '!$F$3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 Pob. econ. '!$G$3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 Pob. econ. '!$A$4:$A$16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 Pob. econ. '!$G$4:$G$16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375128360"/>
        <c:axId val="375128752"/>
      </c:lineChart>
      <c:catAx>
        <c:axId val="37512836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5128752"/>
        <c:crosses val="autoZero"/>
        <c:auto val="1"/>
        <c:lblAlgn val="ctr"/>
        <c:lblOffset val="100"/>
        <c:noMultiLvlLbl val="0"/>
      </c:catAx>
      <c:valAx>
        <c:axId val="375128752"/>
        <c:scaling>
          <c:orientation val="minMax"/>
          <c:max val="10000000"/>
          <c:min val="0"/>
        </c:scaling>
        <c:delete val="1"/>
        <c:axPos val="l"/>
        <c:numFmt formatCode="#,##0" sourceLinked="1"/>
        <c:majorTickMark val="out"/>
        <c:minorTickMark val="none"/>
        <c:tickLblPos val="nextTo"/>
        <c:crossAx val="37512836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(2)'!$I$2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(2)'!$I$3:$I$11</c:f>
              <c:numCache>
                <c:formatCode>_([$€-2]* #,##0_);_([$€-2]* \(#,##0\);_([$€-2]* "-"??_)</c:formatCode>
                <c:ptCount val="9"/>
              </c:numCache>
            </c:numRef>
          </c:val>
        </c:ser>
        <c:ser>
          <c:idx val="1"/>
          <c:order val="1"/>
          <c:tx>
            <c:strRef>
              <c:f>' SDSS Definiciones (2)'!$J$2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(2)'!$J$3:$J$11</c:f>
              <c:numCache>
                <c:formatCode>_([$€-2]* #,##0_);_([$€-2]* \(#,##0\);_([$€-2]* "-"??_)</c:formatCode>
                <c:ptCount val="9"/>
              </c:numCache>
            </c:numRef>
          </c:val>
        </c:ser>
        <c:ser>
          <c:idx val="2"/>
          <c:order val="2"/>
          <c:tx>
            <c:strRef>
              <c:f>' SDSS Definiciones (2)'!$K$2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(2)'!$K$3:$K$11</c:f>
              <c:numCache>
                <c:formatCode>_([$€-2]* #,##0_);_([$€-2]* \(#,##0\);_([$€-2]* "-"??_)</c:formatCode>
                <c:ptCount val="9"/>
              </c:numCache>
            </c:numRef>
          </c:val>
        </c:ser>
        <c:dLbls>
          <c:showLegendKey val="0"/>
          <c:showVal val="0"/>
          <c:showCatName val="0"/>
          <c:showSerName val="0"/>
          <c:showPercent val="0"/>
          <c:showBubbleSize val="0"/>
        </c:dLbls>
        <c:gapWidth val="22"/>
        <c:shape val="cylinder"/>
        <c:axId val="375129536"/>
        <c:axId val="375129928"/>
        <c:axId val="0"/>
      </c:bar3DChart>
      <c:catAx>
        <c:axId val="375129536"/>
        <c:scaling>
          <c:orientation val="minMax"/>
        </c:scaling>
        <c:delete val="0"/>
        <c:axPos val="b"/>
        <c:numFmt formatCode="_([$€-2]* #,##0_);_([$€-2]* \(#,##0\);_([$€-2]* &quot;-&quot;??_)" sourceLinked="1"/>
        <c:majorTickMark val="none"/>
        <c:minorTickMark val="none"/>
        <c:tickLblPos val="nextTo"/>
        <c:crossAx val="375129928"/>
        <c:crosses val="autoZero"/>
        <c:auto val="1"/>
        <c:lblAlgn val="ctr"/>
        <c:lblOffset val="100"/>
        <c:noMultiLvlLbl val="0"/>
      </c:catAx>
      <c:valAx>
        <c:axId val="375129928"/>
        <c:scaling>
          <c:orientation val="minMax"/>
        </c:scaling>
        <c:delete val="0"/>
        <c:axPos val="l"/>
        <c:numFmt formatCode="_([$€-2]* #,##0_);_([$€-2]* \(#,##0\);_([$€-2]* &quot;-&quot;??_)" sourceLinked="1"/>
        <c:majorTickMark val="none"/>
        <c:minorTickMark val="none"/>
        <c:tickLblPos val="none"/>
        <c:spPr>
          <a:ln w="9525">
            <a:noFill/>
          </a:ln>
        </c:spPr>
        <c:crossAx val="37512953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(2)'!$E$2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(2)'!$E$3:$E$11</c:f>
              <c:numCache>
                <c:formatCode>_([$€-2]* #,##0_);_([$€-2]* \(#,##0\);_([$€-2]* "-"??_)</c:formatCode>
                <c:ptCount val="9"/>
              </c:numCache>
            </c:numRef>
          </c:val>
        </c:ser>
        <c:ser>
          <c:idx val="1"/>
          <c:order val="1"/>
          <c:tx>
            <c:strRef>
              <c:f>' SDSS Definiciones (2)'!$L$2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(2)'!$L$3:$L$11</c:f>
              <c:numCache>
                <c:formatCode>_([$€-2]* #,##0_);_([$€-2]* \(#,##0\);_([$€-2]* "-"??_)</c:formatCode>
                <c:ptCount val="9"/>
              </c:numCache>
            </c:numRef>
          </c:val>
        </c:ser>
        <c:dLbls>
          <c:showLegendKey val="0"/>
          <c:showVal val="0"/>
          <c:showCatName val="0"/>
          <c:showSerName val="0"/>
          <c:showPercent val="0"/>
          <c:showBubbleSize val="0"/>
        </c:dLbls>
        <c:gapWidth val="150"/>
        <c:shape val="cylinder"/>
        <c:axId val="375130712"/>
        <c:axId val="375131104"/>
        <c:axId val="0"/>
      </c:bar3DChart>
      <c:catAx>
        <c:axId val="375130712"/>
        <c:scaling>
          <c:orientation val="minMax"/>
        </c:scaling>
        <c:delete val="0"/>
        <c:axPos val="b"/>
        <c:title>
          <c:overlay val="0"/>
        </c:title>
        <c:numFmt formatCode="_([$€-2]* #,##0_);_([$€-2]* \(#,##0\);_([$€-2]* &quot;-&quot;??_)" sourceLinked="1"/>
        <c:majorTickMark val="none"/>
        <c:minorTickMark val="none"/>
        <c:tickLblPos val="nextTo"/>
        <c:crossAx val="375131104"/>
        <c:crosses val="autoZero"/>
        <c:auto val="1"/>
        <c:lblAlgn val="ctr"/>
        <c:lblOffset val="100"/>
        <c:noMultiLvlLbl val="0"/>
      </c:catAx>
      <c:valAx>
        <c:axId val="375131104"/>
        <c:scaling>
          <c:orientation val="minMax"/>
        </c:scaling>
        <c:delete val="0"/>
        <c:axPos val="l"/>
        <c:title>
          <c:overlay val="0"/>
        </c:title>
        <c:numFmt formatCode="_([$€-2]* #,##0_);_([$€-2]* \(#,##0\);_([$€-2]* &quot;-&quot;??_)" sourceLinked="1"/>
        <c:majorTickMark val="out"/>
        <c:minorTickMark val="none"/>
        <c:tickLblPos val="nextTo"/>
        <c:crossAx val="375130712"/>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(2)'!$E$2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(2)'!$E$3:$E$11</c:f>
              <c:numCache>
                <c:formatCode>_([$€-2]* #,##0_);_([$€-2]* \(#,##0\);_([$€-2]* "-"??_)</c:formatCode>
                <c:ptCount val="9"/>
              </c:numCache>
            </c:numRef>
          </c:val>
          <c:smooth val="0"/>
        </c:ser>
        <c:ser>
          <c:idx val="1"/>
          <c:order val="1"/>
          <c:tx>
            <c:strRef>
              <c:f>' SDSS Definiciones (2)'!$L$2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(2)'!$L$3:$L$11</c:f>
              <c:numCache>
                <c:formatCode>_([$€-2]* #,##0_);_([$€-2]* \(#,##0\);_([$€-2]* "-"??_)</c:formatCode>
                <c:ptCount val="9"/>
              </c:numCache>
            </c:numRef>
          </c:val>
          <c:smooth val="0"/>
        </c:ser>
        <c:dLbls>
          <c:showLegendKey val="0"/>
          <c:showVal val="0"/>
          <c:showCatName val="0"/>
          <c:showSerName val="0"/>
          <c:showPercent val="0"/>
          <c:showBubbleSize val="0"/>
        </c:dLbls>
        <c:marker val="1"/>
        <c:smooth val="0"/>
        <c:axId val="375131888"/>
        <c:axId val="375132280"/>
      </c:lineChart>
      <c:catAx>
        <c:axId val="375131888"/>
        <c:scaling>
          <c:orientation val="minMax"/>
        </c:scaling>
        <c:delete val="0"/>
        <c:axPos val="b"/>
        <c:numFmt formatCode="_([$€-2]* #,##0_);_([$€-2]* \(#,##0\);_([$€-2]* &quot;-&quot;??_)" sourceLinked="1"/>
        <c:majorTickMark val="none"/>
        <c:minorTickMark val="none"/>
        <c:tickLblPos val="nextTo"/>
        <c:crossAx val="375132280"/>
        <c:crosses val="autoZero"/>
        <c:auto val="1"/>
        <c:lblAlgn val="ctr"/>
        <c:lblOffset val="100"/>
        <c:noMultiLvlLbl val="0"/>
      </c:catAx>
      <c:valAx>
        <c:axId val="375132280"/>
        <c:scaling>
          <c:orientation val="minMax"/>
        </c:scaling>
        <c:delete val="0"/>
        <c:axPos val="l"/>
        <c:numFmt formatCode="_([$€-2]* #,##0_);_([$€-2]* \(#,##0\);_([$€-2]* &quot;-&quot;??_)" sourceLinked="1"/>
        <c:majorTickMark val="none"/>
        <c:minorTickMark val="none"/>
        <c:tickLblPos val="nextTo"/>
        <c:spPr>
          <a:ln w="9525">
            <a:noFill/>
          </a:ln>
        </c:spPr>
        <c:crossAx val="37513188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(3)'!$I$2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(3)'!$I$3:$I$11</c:f>
              <c:numCache>
                <c:formatCode>_([$€-2]* #,##0_);_([$€-2]* \(#,##0\);_([$€-2]* "-"??_)</c:formatCode>
                <c:ptCount val="9"/>
              </c:numCache>
            </c:numRef>
          </c:val>
        </c:ser>
        <c:ser>
          <c:idx val="1"/>
          <c:order val="1"/>
          <c:tx>
            <c:strRef>
              <c:f>' SDSS Definiciones (3)'!$J$2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(3)'!$J$3:$J$11</c:f>
              <c:numCache>
                <c:formatCode>_([$€-2]* #,##0_);_([$€-2]* \(#,##0\);_([$€-2]* "-"??_)</c:formatCode>
                <c:ptCount val="9"/>
              </c:numCache>
            </c:numRef>
          </c:val>
        </c:ser>
        <c:ser>
          <c:idx val="2"/>
          <c:order val="2"/>
          <c:tx>
            <c:strRef>
              <c:f>' SDSS Definiciones (3)'!$K$2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(3)'!$K$3:$K$11</c:f>
              <c:numCache>
                <c:formatCode>_([$€-2]* #,##0_);_([$€-2]* \(#,##0\);_([$€-2]* "-"??_)</c:formatCode>
                <c:ptCount val="9"/>
              </c:numCache>
            </c:numRef>
          </c:val>
        </c:ser>
        <c:dLbls>
          <c:showLegendKey val="0"/>
          <c:showVal val="0"/>
          <c:showCatName val="0"/>
          <c:showSerName val="0"/>
          <c:showPercent val="0"/>
          <c:showBubbleSize val="0"/>
        </c:dLbls>
        <c:gapWidth val="22"/>
        <c:shape val="cylinder"/>
        <c:axId val="375133064"/>
        <c:axId val="375133456"/>
        <c:axId val="0"/>
      </c:bar3DChart>
      <c:catAx>
        <c:axId val="375133064"/>
        <c:scaling>
          <c:orientation val="minMax"/>
        </c:scaling>
        <c:delete val="0"/>
        <c:axPos val="b"/>
        <c:numFmt formatCode="_([$€-2]* #,##0_);_([$€-2]* \(#,##0\);_([$€-2]* &quot;-&quot;??_)" sourceLinked="1"/>
        <c:majorTickMark val="none"/>
        <c:minorTickMark val="none"/>
        <c:tickLblPos val="nextTo"/>
        <c:crossAx val="375133456"/>
        <c:crosses val="autoZero"/>
        <c:auto val="1"/>
        <c:lblAlgn val="ctr"/>
        <c:lblOffset val="100"/>
        <c:noMultiLvlLbl val="0"/>
      </c:catAx>
      <c:valAx>
        <c:axId val="375133456"/>
        <c:scaling>
          <c:orientation val="minMax"/>
        </c:scaling>
        <c:delete val="0"/>
        <c:axPos val="l"/>
        <c:numFmt formatCode="_([$€-2]* #,##0_);_([$€-2]* \(#,##0\);_([$€-2]* &quot;-&quot;??_)" sourceLinked="1"/>
        <c:majorTickMark val="none"/>
        <c:minorTickMark val="none"/>
        <c:tickLblPos val="none"/>
        <c:spPr>
          <a:ln w="9525">
            <a:noFill/>
          </a:ln>
        </c:spPr>
        <c:crossAx val="37513306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(3)'!$E$2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(3)'!$E$3:$E$11</c:f>
              <c:numCache>
                <c:formatCode>_([$€-2]* #,##0_);_([$€-2]* \(#,##0\);_([$€-2]* "-"??_)</c:formatCode>
                <c:ptCount val="9"/>
              </c:numCache>
            </c:numRef>
          </c:val>
        </c:ser>
        <c:ser>
          <c:idx val="1"/>
          <c:order val="1"/>
          <c:tx>
            <c:strRef>
              <c:f>' SDSS Definiciones (3)'!$L$2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(3)'!$L$3:$L$11</c:f>
              <c:numCache>
                <c:formatCode>_([$€-2]* #,##0_);_([$€-2]* \(#,##0\);_([$€-2]* "-"??_)</c:formatCode>
                <c:ptCount val="9"/>
              </c:numCache>
            </c:numRef>
          </c:val>
        </c:ser>
        <c:dLbls>
          <c:showLegendKey val="0"/>
          <c:showVal val="0"/>
          <c:showCatName val="0"/>
          <c:showSerName val="0"/>
          <c:showPercent val="0"/>
          <c:showBubbleSize val="0"/>
        </c:dLbls>
        <c:gapWidth val="150"/>
        <c:shape val="cylinder"/>
        <c:axId val="375134240"/>
        <c:axId val="375134632"/>
        <c:axId val="0"/>
      </c:bar3DChart>
      <c:catAx>
        <c:axId val="375134240"/>
        <c:scaling>
          <c:orientation val="minMax"/>
        </c:scaling>
        <c:delete val="0"/>
        <c:axPos val="b"/>
        <c:title>
          <c:overlay val="0"/>
        </c:title>
        <c:numFmt formatCode="_([$€-2]* #,##0_);_([$€-2]* \(#,##0\);_([$€-2]* &quot;-&quot;??_)" sourceLinked="1"/>
        <c:majorTickMark val="none"/>
        <c:minorTickMark val="none"/>
        <c:tickLblPos val="nextTo"/>
        <c:crossAx val="375134632"/>
        <c:crosses val="autoZero"/>
        <c:auto val="1"/>
        <c:lblAlgn val="ctr"/>
        <c:lblOffset val="100"/>
        <c:noMultiLvlLbl val="0"/>
      </c:catAx>
      <c:valAx>
        <c:axId val="375134632"/>
        <c:scaling>
          <c:orientation val="minMax"/>
        </c:scaling>
        <c:delete val="0"/>
        <c:axPos val="l"/>
        <c:title>
          <c:overlay val="0"/>
        </c:title>
        <c:numFmt formatCode="_([$€-2]* #,##0_);_([$€-2]* \(#,##0\);_([$€-2]* &quot;-&quot;??_)" sourceLinked="1"/>
        <c:majorTickMark val="out"/>
        <c:minorTickMark val="none"/>
        <c:tickLblPos val="nextTo"/>
        <c:crossAx val="375134240"/>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(3)'!$E$2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(3)'!$E$3:$E$11</c:f>
              <c:numCache>
                <c:formatCode>_([$€-2]* #,##0_);_([$€-2]* \(#,##0\);_([$€-2]* "-"??_)</c:formatCode>
                <c:ptCount val="9"/>
              </c:numCache>
            </c:numRef>
          </c:val>
          <c:smooth val="0"/>
        </c:ser>
        <c:ser>
          <c:idx val="1"/>
          <c:order val="1"/>
          <c:tx>
            <c:strRef>
              <c:f>' SDSS Definiciones (3)'!$L$2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(3)'!$L$3:$L$11</c:f>
              <c:numCache>
                <c:formatCode>_([$€-2]* #,##0_);_([$€-2]* \(#,##0\);_([$€-2]* "-"??_)</c:formatCode>
                <c:ptCount val="9"/>
              </c:numCache>
            </c:numRef>
          </c:val>
          <c:smooth val="0"/>
        </c:ser>
        <c:dLbls>
          <c:showLegendKey val="0"/>
          <c:showVal val="0"/>
          <c:showCatName val="0"/>
          <c:showSerName val="0"/>
          <c:showPercent val="0"/>
          <c:showBubbleSize val="0"/>
        </c:dLbls>
        <c:marker val="1"/>
        <c:smooth val="0"/>
        <c:axId val="375135416"/>
        <c:axId val="375135808"/>
      </c:lineChart>
      <c:catAx>
        <c:axId val="375135416"/>
        <c:scaling>
          <c:orientation val="minMax"/>
        </c:scaling>
        <c:delete val="0"/>
        <c:axPos val="b"/>
        <c:numFmt formatCode="_([$€-2]* #,##0_);_([$€-2]* \(#,##0\);_([$€-2]* &quot;-&quot;??_)" sourceLinked="1"/>
        <c:majorTickMark val="none"/>
        <c:minorTickMark val="none"/>
        <c:tickLblPos val="nextTo"/>
        <c:crossAx val="375135808"/>
        <c:crosses val="autoZero"/>
        <c:auto val="1"/>
        <c:lblAlgn val="ctr"/>
        <c:lblOffset val="100"/>
        <c:noMultiLvlLbl val="0"/>
      </c:catAx>
      <c:valAx>
        <c:axId val="375135808"/>
        <c:scaling>
          <c:orientation val="minMax"/>
        </c:scaling>
        <c:delete val="0"/>
        <c:axPos val="l"/>
        <c:numFmt formatCode="_([$€-2]* #,##0_);_([$€-2]* \(#,##0\);_([$€-2]* &quot;-&quot;??_)" sourceLinked="1"/>
        <c:majorTickMark val="none"/>
        <c:minorTickMark val="none"/>
        <c:tickLblPos val="nextTo"/>
        <c:spPr>
          <a:ln w="9525">
            <a:noFill/>
          </a:ln>
        </c:spPr>
        <c:crossAx val="375135416"/>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(4)'!$I$2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(4)'!$I$3:$I$11</c:f>
              <c:numCache>
                <c:formatCode>_([$€-2]* #,##0_);_([$€-2]* \(#,##0\);_([$€-2]* "-"??_)</c:formatCode>
                <c:ptCount val="9"/>
              </c:numCache>
            </c:numRef>
          </c:val>
        </c:ser>
        <c:ser>
          <c:idx val="1"/>
          <c:order val="1"/>
          <c:tx>
            <c:strRef>
              <c:f>' SDSS Definiciones (4)'!$J$2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(4)'!$J$3:$J$11</c:f>
              <c:numCache>
                <c:formatCode>_([$€-2]* #,##0_);_([$€-2]* \(#,##0\);_([$€-2]* "-"??_)</c:formatCode>
                <c:ptCount val="9"/>
              </c:numCache>
            </c:numRef>
          </c:val>
        </c:ser>
        <c:ser>
          <c:idx val="2"/>
          <c:order val="2"/>
          <c:tx>
            <c:strRef>
              <c:f>' SDSS Definiciones (4)'!$K$2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(4)'!$K$3:$K$11</c:f>
              <c:numCache>
                <c:formatCode>_([$€-2]* #,##0_);_([$€-2]* \(#,##0\);_([$€-2]* "-"??_)</c:formatCode>
                <c:ptCount val="9"/>
              </c:numCache>
            </c:numRef>
          </c:val>
        </c:ser>
        <c:dLbls>
          <c:showLegendKey val="0"/>
          <c:showVal val="0"/>
          <c:showCatName val="0"/>
          <c:showSerName val="0"/>
          <c:showPercent val="0"/>
          <c:showBubbleSize val="0"/>
        </c:dLbls>
        <c:gapWidth val="22"/>
        <c:shape val="cylinder"/>
        <c:axId val="375136592"/>
        <c:axId val="375136984"/>
        <c:axId val="0"/>
      </c:bar3DChart>
      <c:catAx>
        <c:axId val="375136592"/>
        <c:scaling>
          <c:orientation val="minMax"/>
        </c:scaling>
        <c:delete val="0"/>
        <c:axPos val="b"/>
        <c:numFmt formatCode="_([$€-2]* #,##0_);_([$€-2]* \(#,##0\);_([$€-2]* &quot;-&quot;??_)" sourceLinked="1"/>
        <c:majorTickMark val="none"/>
        <c:minorTickMark val="none"/>
        <c:tickLblPos val="nextTo"/>
        <c:crossAx val="375136984"/>
        <c:crosses val="autoZero"/>
        <c:auto val="1"/>
        <c:lblAlgn val="ctr"/>
        <c:lblOffset val="100"/>
        <c:noMultiLvlLbl val="0"/>
      </c:catAx>
      <c:valAx>
        <c:axId val="375136984"/>
        <c:scaling>
          <c:orientation val="minMax"/>
        </c:scaling>
        <c:delete val="0"/>
        <c:axPos val="l"/>
        <c:numFmt formatCode="_([$€-2]* #,##0_);_([$€-2]* \(#,##0\);_([$€-2]* &quot;-&quot;??_)" sourceLinked="1"/>
        <c:majorTickMark val="none"/>
        <c:minorTickMark val="none"/>
        <c:tickLblPos val="none"/>
        <c:spPr>
          <a:ln w="9525">
            <a:noFill/>
          </a:ln>
        </c:spPr>
        <c:crossAx val="37513659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5098682004158562"/>
          <c:w val="0.93233821292809482"/>
          <c:h val="0.73237817490625912"/>
        </c:manualLayout>
      </c:layout>
      <c:barChart>
        <c:barDir val="col"/>
        <c:grouping val="clustered"/>
        <c:varyColors val="0"/>
        <c:ser>
          <c:idx val="0"/>
          <c:order val="0"/>
          <c:tx>
            <c:strRef>
              <c:f>'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 RC Mensual'!$A$4:$A$35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 SFS RC Mensual'!$B$4:$B$35</c:f>
              <c:numCache>
                <c:formatCode>#,##0</c:formatCode>
                <c:ptCount val="13"/>
                <c:pt idx="0">
                  <c:v>1321340</c:v>
                </c:pt>
                <c:pt idx="1">
                  <c:v>1322877</c:v>
                </c:pt>
                <c:pt idx="2">
                  <c:v>1333694</c:v>
                </c:pt>
                <c:pt idx="3">
                  <c:v>1347792</c:v>
                </c:pt>
                <c:pt idx="4">
                  <c:v>1364259</c:v>
                </c:pt>
                <c:pt idx="5">
                  <c:v>1374315</c:v>
                </c:pt>
                <c:pt idx="6">
                  <c:v>1375864</c:v>
                </c:pt>
                <c:pt idx="7">
                  <c:v>1390935</c:v>
                </c:pt>
                <c:pt idx="8">
                  <c:v>1391699</c:v>
                </c:pt>
                <c:pt idx="9">
                  <c:v>1400550</c:v>
                </c:pt>
                <c:pt idx="10">
                  <c:v>1417590</c:v>
                </c:pt>
                <c:pt idx="11">
                  <c:v>1422986</c:v>
                </c:pt>
                <c:pt idx="12">
                  <c:v>1426011</c:v>
                </c:pt>
              </c:numCache>
            </c:numRef>
          </c:val>
        </c:ser>
        <c:ser>
          <c:idx val="1"/>
          <c:order val="1"/>
          <c:tx>
            <c:strRef>
              <c:f>'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 RC Mensual'!$A$4:$A$35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 SFS RC Mensual'!$C$4:$C$35</c:f>
              <c:numCache>
                <c:formatCode>#,##0</c:formatCode>
                <c:ptCount val="13"/>
                <c:pt idx="0">
                  <c:v>1581000</c:v>
                </c:pt>
                <c:pt idx="1">
                  <c:v>1585470</c:v>
                </c:pt>
                <c:pt idx="2">
                  <c:v>1600905</c:v>
                </c:pt>
                <c:pt idx="3">
                  <c:v>1621062</c:v>
                </c:pt>
                <c:pt idx="4">
                  <c:v>1641278</c:v>
                </c:pt>
                <c:pt idx="5">
                  <c:v>1656102</c:v>
                </c:pt>
                <c:pt idx="6">
                  <c:v>1661532</c:v>
                </c:pt>
                <c:pt idx="7">
                  <c:v>1678476</c:v>
                </c:pt>
                <c:pt idx="8">
                  <c:v>1688073</c:v>
                </c:pt>
                <c:pt idx="9">
                  <c:v>1701350</c:v>
                </c:pt>
                <c:pt idx="10">
                  <c:v>1710872</c:v>
                </c:pt>
                <c:pt idx="11">
                  <c:v>1718613</c:v>
                </c:pt>
                <c:pt idx="12">
                  <c:v>1729358</c:v>
                </c:pt>
              </c:numCache>
            </c:numRef>
          </c:val>
        </c:ser>
        <c:dLbls>
          <c:showLegendKey val="0"/>
          <c:showVal val="0"/>
          <c:showCatName val="0"/>
          <c:showSerName val="0"/>
          <c:showPercent val="0"/>
          <c:showBubbleSize val="0"/>
        </c:dLbls>
        <c:gapWidth val="17"/>
        <c:axId val="300391512"/>
        <c:axId val="300390336"/>
      </c:barChart>
      <c:lineChart>
        <c:grouping val="standard"/>
        <c:varyColors val="0"/>
        <c:ser>
          <c:idx val="2"/>
          <c:order val="2"/>
          <c:tx>
            <c:strRef>
              <c:f>'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1.028037496655842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 RC Mensual'!$A$4:$A$35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 SFS RC Mensual'!$G$4:$G$35</c:f>
              <c:numCache>
                <c:formatCode>0.00</c:formatCode>
                <c:ptCount val="13"/>
                <c:pt idx="0">
                  <c:v>1.1965126311168965</c:v>
                </c:pt>
                <c:pt idx="1">
                  <c:v>1.1985014479804246</c:v>
                </c:pt>
                <c:pt idx="2">
                  <c:v>1.2003540542283313</c:v>
                </c:pt>
                <c:pt idx="3">
                  <c:v>1.2027538373873714</c:v>
                </c:pt>
                <c:pt idx="4">
                  <c:v>1.2030545519582425</c:v>
                </c:pt>
                <c:pt idx="5">
                  <c:v>1.2050381462765087</c:v>
                </c:pt>
                <c:pt idx="6">
                  <c:v>1.2076280795194874</c:v>
                </c:pt>
                <c:pt idx="7">
                  <c:v>1.206724972770115</c:v>
                </c:pt>
                <c:pt idx="8">
                  <c:v>1.2129584055172851</c:v>
                </c:pt>
                <c:pt idx="9">
                  <c:v>1.2147727678412052</c:v>
                </c:pt>
                <c:pt idx="10">
                  <c:v>1.2068877461043037</c:v>
                </c:pt>
                <c:pt idx="11">
                  <c:v>1.2077511655068989</c:v>
                </c:pt>
                <c:pt idx="12">
                  <c:v>1.2127241655218648</c:v>
                </c:pt>
              </c:numCache>
            </c:numRef>
          </c:val>
          <c:smooth val="0"/>
        </c:ser>
        <c:dLbls>
          <c:showLegendKey val="0"/>
          <c:showVal val="0"/>
          <c:showCatName val="0"/>
          <c:showSerName val="0"/>
          <c:showPercent val="0"/>
          <c:showBubbleSize val="0"/>
        </c:dLbls>
        <c:marker val="1"/>
        <c:smooth val="0"/>
        <c:axId val="308809904"/>
        <c:axId val="308809512"/>
      </c:lineChart>
      <c:catAx>
        <c:axId val="300391512"/>
        <c:scaling>
          <c:orientation val="minMax"/>
        </c:scaling>
        <c:delete val="0"/>
        <c:axPos val="b"/>
        <c:numFmt formatCode="General" sourceLinked="1"/>
        <c:majorTickMark val="none"/>
        <c:minorTickMark val="none"/>
        <c:tickLblPos val="nextTo"/>
        <c:txPr>
          <a:bodyPr/>
          <a:lstStyle/>
          <a:p>
            <a:pPr>
              <a:defRPr sz="1400"/>
            </a:pPr>
            <a:endParaRPr lang="es-ES"/>
          </a:p>
        </c:txPr>
        <c:crossAx val="300390336"/>
        <c:crosses val="autoZero"/>
        <c:auto val="1"/>
        <c:lblAlgn val="ctr"/>
        <c:lblOffset val="100"/>
        <c:noMultiLvlLbl val="0"/>
      </c:catAx>
      <c:valAx>
        <c:axId val="300390336"/>
        <c:scaling>
          <c:orientation val="minMax"/>
        </c:scaling>
        <c:delete val="0"/>
        <c:axPos val="l"/>
        <c:numFmt formatCode="#,##0" sourceLinked="1"/>
        <c:majorTickMark val="none"/>
        <c:minorTickMark val="none"/>
        <c:tickLblPos val="nextTo"/>
        <c:spPr>
          <a:ln w="9525">
            <a:noFill/>
          </a:ln>
        </c:spPr>
        <c:crossAx val="300391512"/>
        <c:crosses val="autoZero"/>
        <c:crossBetween val="between"/>
      </c:valAx>
      <c:valAx>
        <c:axId val="308809512"/>
        <c:scaling>
          <c:orientation val="minMax"/>
        </c:scaling>
        <c:delete val="0"/>
        <c:axPos val="r"/>
        <c:numFmt formatCode="0.00" sourceLinked="1"/>
        <c:majorTickMark val="out"/>
        <c:minorTickMark val="none"/>
        <c:tickLblPos val="nextTo"/>
        <c:crossAx val="308809904"/>
        <c:crosses val="max"/>
        <c:crossBetween val="between"/>
      </c:valAx>
      <c:catAx>
        <c:axId val="308809904"/>
        <c:scaling>
          <c:orientation val="minMax"/>
        </c:scaling>
        <c:delete val="1"/>
        <c:axPos val="b"/>
        <c:numFmt formatCode="General" sourceLinked="1"/>
        <c:majorTickMark val="out"/>
        <c:minorTickMark val="none"/>
        <c:tickLblPos val="nextTo"/>
        <c:crossAx val="308809512"/>
        <c:crosses val="autoZero"/>
        <c:auto val="1"/>
        <c:lblAlgn val="ctr"/>
        <c:lblOffset val="100"/>
        <c:noMultiLvlLbl val="0"/>
      </c:catAx>
    </c:plotArea>
    <c:legend>
      <c:legendPos val="t"/>
      <c:layout>
        <c:manualLayout>
          <c:xMode val="edge"/>
          <c:yMode val="edge"/>
          <c:x val="0.34134764932491368"/>
          <c:y val="7.6072663405304011E-2"/>
          <c:w val="0.3606266199371988"/>
          <c:h val="6.8418026349098507E-2"/>
        </c:manualLayout>
      </c:layout>
      <c:overlay val="0"/>
      <c:txPr>
        <a:bodyPr/>
        <a:lstStyle/>
        <a:p>
          <a:pPr>
            <a:defRPr sz="14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(4)'!$E$2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(4)'!$E$3:$E$11</c:f>
              <c:numCache>
                <c:formatCode>_([$€-2]* #,##0_);_([$€-2]* \(#,##0\);_([$€-2]* "-"??_)</c:formatCode>
                <c:ptCount val="9"/>
              </c:numCache>
            </c:numRef>
          </c:val>
        </c:ser>
        <c:ser>
          <c:idx val="1"/>
          <c:order val="1"/>
          <c:tx>
            <c:strRef>
              <c:f>' SDSS Definiciones (4)'!$L$2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(4)'!$L$3:$L$11</c:f>
              <c:numCache>
                <c:formatCode>_([$€-2]* #,##0_);_([$€-2]* \(#,##0\);_([$€-2]* "-"??_)</c:formatCode>
                <c:ptCount val="9"/>
              </c:numCache>
            </c:numRef>
          </c:val>
        </c:ser>
        <c:dLbls>
          <c:showLegendKey val="0"/>
          <c:showVal val="0"/>
          <c:showCatName val="0"/>
          <c:showSerName val="0"/>
          <c:showPercent val="0"/>
          <c:showBubbleSize val="0"/>
        </c:dLbls>
        <c:gapWidth val="150"/>
        <c:shape val="cylinder"/>
        <c:axId val="375137768"/>
        <c:axId val="375138160"/>
        <c:axId val="0"/>
      </c:bar3DChart>
      <c:catAx>
        <c:axId val="375137768"/>
        <c:scaling>
          <c:orientation val="minMax"/>
        </c:scaling>
        <c:delete val="0"/>
        <c:axPos val="b"/>
        <c:title>
          <c:overlay val="0"/>
        </c:title>
        <c:numFmt formatCode="_([$€-2]* #,##0_);_([$€-2]* \(#,##0\);_([$€-2]* &quot;-&quot;??_)" sourceLinked="1"/>
        <c:majorTickMark val="none"/>
        <c:minorTickMark val="none"/>
        <c:tickLblPos val="nextTo"/>
        <c:crossAx val="375138160"/>
        <c:crosses val="autoZero"/>
        <c:auto val="1"/>
        <c:lblAlgn val="ctr"/>
        <c:lblOffset val="100"/>
        <c:noMultiLvlLbl val="0"/>
      </c:catAx>
      <c:valAx>
        <c:axId val="375138160"/>
        <c:scaling>
          <c:orientation val="minMax"/>
        </c:scaling>
        <c:delete val="0"/>
        <c:axPos val="l"/>
        <c:title>
          <c:overlay val="0"/>
        </c:title>
        <c:numFmt formatCode="_([$€-2]* #,##0_);_([$€-2]* \(#,##0\);_([$€-2]* &quot;-&quot;??_)" sourceLinked="1"/>
        <c:majorTickMark val="out"/>
        <c:minorTickMark val="none"/>
        <c:tickLblPos val="nextTo"/>
        <c:crossAx val="37513776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(4)'!$E$2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(4)'!$E$3:$E$11</c:f>
              <c:numCache>
                <c:formatCode>_([$€-2]* #,##0_);_([$€-2]* \(#,##0\);_([$€-2]* "-"??_)</c:formatCode>
                <c:ptCount val="9"/>
              </c:numCache>
            </c:numRef>
          </c:val>
          <c:smooth val="0"/>
        </c:ser>
        <c:ser>
          <c:idx val="1"/>
          <c:order val="1"/>
          <c:tx>
            <c:strRef>
              <c:f>' SDSS Definiciones (4)'!$L$2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(4)'!$L$3:$L$11</c:f>
              <c:numCache>
                <c:formatCode>_([$€-2]* #,##0_);_([$€-2]* \(#,##0\);_([$€-2]* "-"??_)</c:formatCode>
                <c:ptCount val="9"/>
              </c:numCache>
            </c:numRef>
          </c:val>
          <c:smooth val="0"/>
        </c:ser>
        <c:dLbls>
          <c:showLegendKey val="0"/>
          <c:showVal val="0"/>
          <c:showCatName val="0"/>
          <c:showSerName val="0"/>
          <c:showPercent val="0"/>
          <c:showBubbleSize val="0"/>
        </c:dLbls>
        <c:marker val="1"/>
        <c:smooth val="0"/>
        <c:axId val="375138944"/>
        <c:axId val="375139336"/>
      </c:lineChart>
      <c:catAx>
        <c:axId val="375138944"/>
        <c:scaling>
          <c:orientation val="minMax"/>
        </c:scaling>
        <c:delete val="0"/>
        <c:axPos val="b"/>
        <c:numFmt formatCode="_([$€-2]* #,##0_);_([$€-2]* \(#,##0\);_([$€-2]* &quot;-&quot;??_)" sourceLinked="1"/>
        <c:majorTickMark val="none"/>
        <c:minorTickMark val="none"/>
        <c:tickLblPos val="nextTo"/>
        <c:crossAx val="375139336"/>
        <c:crosses val="autoZero"/>
        <c:auto val="1"/>
        <c:lblAlgn val="ctr"/>
        <c:lblOffset val="100"/>
        <c:noMultiLvlLbl val="0"/>
      </c:catAx>
      <c:valAx>
        <c:axId val="375139336"/>
        <c:scaling>
          <c:orientation val="minMax"/>
        </c:scaling>
        <c:delete val="0"/>
        <c:axPos val="l"/>
        <c:numFmt formatCode="_([$€-2]* #,##0_);_([$€-2]* \(#,##0\);_([$€-2]* &quot;-&quot;??_)" sourceLinked="1"/>
        <c:majorTickMark val="none"/>
        <c:minorTickMark val="none"/>
        <c:tickLblPos val="nextTo"/>
        <c:spPr>
          <a:ln w="9525">
            <a:noFill/>
          </a:ln>
        </c:spPr>
        <c:crossAx val="375138944"/>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009884007271529"/>
          <c:y val="1.8841861456489344E-2"/>
        </c:manualLayout>
      </c:layout>
      <c:overlay val="0"/>
    </c:title>
    <c:autoTitleDeleted val="0"/>
    <c:plotArea>
      <c:layout>
        <c:manualLayout>
          <c:layoutTarget val="inner"/>
          <c:xMode val="edge"/>
          <c:yMode val="edge"/>
          <c:x val="5.2466518708536004E-2"/>
          <c:y val="0.16189805753520806"/>
          <c:w val="0.90143573494992779"/>
          <c:h val="0.74475623170622951"/>
        </c:manualLayout>
      </c:layout>
      <c:barChart>
        <c:barDir val="col"/>
        <c:grouping val="clustered"/>
        <c:varyColors val="0"/>
        <c:ser>
          <c:idx val="0"/>
          <c:order val="0"/>
          <c:tx>
            <c:strRef>
              <c:f>'Cob.Afil.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RC Anual'!$A$4:$A$12</c:f>
              <c:strCache>
                <c:ptCount val="9"/>
                <c:pt idx="0">
                  <c:v>Dic.2007</c:v>
                </c:pt>
                <c:pt idx="1">
                  <c:v>Dic.2008</c:v>
                </c:pt>
                <c:pt idx="2">
                  <c:v>Dic.2009</c:v>
                </c:pt>
                <c:pt idx="3">
                  <c:v>Dic.2010</c:v>
                </c:pt>
                <c:pt idx="4">
                  <c:v>Dic.2011</c:v>
                </c:pt>
                <c:pt idx="5">
                  <c:v>Dic.2012</c:v>
                </c:pt>
                <c:pt idx="6">
                  <c:v>Dic.2013</c:v>
                </c:pt>
                <c:pt idx="7">
                  <c:v>Dic.2014</c:v>
                </c:pt>
                <c:pt idx="8">
                  <c:v>Ene.2015</c:v>
                </c:pt>
              </c:strCache>
            </c:strRef>
          </c:cat>
          <c:val>
            <c:numRef>
              <c:f>'Cob.Afil.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1459038</c:v>
                </c:pt>
              </c:numCache>
            </c:numRef>
          </c:val>
        </c:ser>
        <c:ser>
          <c:idx val="1"/>
          <c:order val="1"/>
          <c:tx>
            <c:strRef>
              <c:f>'Cob.Afil.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RC Anual'!$A$4:$A$12</c:f>
              <c:strCache>
                <c:ptCount val="9"/>
                <c:pt idx="0">
                  <c:v>Dic.2007</c:v>
                </c:pt>
                <c:pt idx="1">
                  <c:v>Dic.2008</c:v>
                </c:pt>
                <c:pt idx="2">
                  <c:v>Dic.2009</c:v>
                </c:pt>
                <c:pt idx="3">
                  <c:v>Dic.2010</c:v>
                </c:pt>
                <c:pt idx="4">
                  <c:v>Dic.2011</c:v>
                </c:pt>
                <c:pt idx="5">
                  <c:v>Dic.2012</c:v>
                </c:pt>
                <c:pt idx="6">
                  <c:v>Dic.2013</c:v>
                </c:pt>
                <c:pt idx="7">
                  <c:v>Dic.2014</c:v>
                </c:pt>
                <c:pt idx="8">
                  <c:v>Ene.2015</c:v>
                </c:pt>
              </c:strCache>
            </c:strRef>
          </c:cat>
          <c:val>
            <c:numRef>
              <c:f>'Cob.Afil.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1778842</c:v>
                </c:pt>
              </c:numCache>
            </c:numRef>
          </c:val>
        </c:ser>
        <c:dLbls>
          <c:showLegendKey val="0"/>
          <c:showVal val="0"/>
          <c:showCatName val="0"/>
          <c:showSerName val="0"/>
          <c:showPercent val="0"/>
          <c:showBubbleSize val="0"/>
        </c:dLbls>
        <c:gapWidth val="54"/>
        <c:overlap val="-6"/>
        <c:axId val="308810688"/>
        <c:axId val="308811080"/>
      </c:barChart>
      <c:lineChart>
        <c:grouping val="standard"/>
        <c:varyColors val="0"/>
        <c:ser>
          <c:idx val="2"/>
          <c:order val="2"/>
          <c:tx>
            <c:strRef>
              <c:f>'Cob.Afil.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RC Anual'!$A$4:$A$12</c:f>
              <c:strCache>
                <c:ptCount val="9"/>
                <c:pt idx="0">
                  <c:v>Dic.2007</c:v>
                </c:pt>
                <c:pt idx="1">
                  <c:v>Dic.2008</c:v>
                </c:pt>
                <c:pt idx="2">
                  <c:v>Dic.2009</c:v>
                </c:pt>
                <c:pt idx="3">
                  <c:v>Dic.2010</c:v>
                </c:pt>
                <c:pt idx="4">
                  <c:v>Dic.2011</c:v>
                </c:pt>
                <c:pt idx="5">
                  <c:v>Dic.2012</c:v>
                </c:pt>
                <c:pt idx="6">
                  <c:v>Dic.2013</c:v>
                </c:pt>
                <c:pt idx="7">
                  <c:v>Dic.2014</c:v>
                </c:pt>
                <c:pt idx="8">
                  <c:v>Ene.2015</c:v>
                </c:pt>
              </c:strCache>
            </c:strRef>
          </c:cat>
          <c:val>
            <c:numRef>
              <c:f>'Cob.Afil.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1.2191882596615029</c:v>
                </c:pt>
              </c:numCache>
            </c:numRef>
          </c:val>
          <c:smooth val="0"/>
        </c:ser>
        <c:dLbls>
          <c:showLegendKey val="0"/>
          <c:showVal val="0"/>
          <c:showCatName val="0"/>
          <c:showSerName val="0"/>
          <c:showPercent val="0"/>
          <c:showBubbleSize val="0"/>
        </c:dLbls>
        <c:marker val="1"/>
        <c:smooth val="0"/>
        <c:axId val="308811864"/>
        <c:axId val="308811472"/>
      </c:lineChart>
      <c:catAx>
        <c:axId val="308810688"/>
        <c:scaling>
          <c:orientation val="minMax"/>
        </c:scaling>
        <c:delete val="0"/>
        <c:axPos val="b"/>
        <c:numFmt formatCode="General" sourceLinked="0"/>
        <c:majorTickMark val="none"/>
        <c:minorTickMark val="none"/>
        <c:tickLblPos val="nextTo"/>
        <c:txPr>
          <a:bodyPr/>
          <a:lstStyle/>
          <a:p>
            <a:pPr>
              <a:defRPr sz="1600"/>
            </a:pPr>
            <a:endParaRPr lang="es-ES"/>
          </a:p>
        </c:txPr>
        <c:crossAx val="308811080"/>
        <c:crosses val="autoZero"/>
        <c:auto val="1"/>
        <c:lblAlgn val="ctr"/>
        <c:lblOffset val="100"/>
        <c:noMultiLvlLbl val="0"/>
      </c:catAx>
      <c:valAx>
        <c:axId val="308811080"/>
        <c:scaling>
          <c:orientation val="minMax"/>
        </c:scaling>
        <c:delete val="0"/>
        <c:axPos val="l"/>
        <c:numFmt formatCode="#,##0" sourceLinked="1"/>
        <c:majorTickMark val="none"/>
        <c:minorTickMark val="none"/>
        <c:tickLblPos val="nextTo"/>
        <c:crossAx val="308810688"/>
        <c:crosses val="autoZero"/>
        <c:crossBetween val="between"/>
      </c:valAx>
      <c:valAx>
        <c:axId val="308811472"/>
        <c:scaling>
          <c:orientation val="minMax"/>
          <c:max val="2"/>
        </c:scaling>
        <c:delete val="0"/>
        <c:axPos val="r"/>
        <c:numFmt formatCode="0.00" sourceLinked="1"/>
        <c:majorTickMark val="out"/>
        <c:minorTickMark val="none"/>
        <c:tickLblPos val="nextTo"/>
        <c:txPr>
          <a:bodyPr/>
          <a:lstStyle/>
          <a:p>
            <a:pPr>
              <a:defRPr sz="1200"/>
            </a:pPr>
            <a:endParaRPr lang="es-ES"/>
          </a:p>
        </c:txPr>
        <c:crossAx val="308811864"/>
        <c:crosses val="max"/>
        <c:crossBetween val="between"/>
      </c:valAx>
      <c:catAx>
        <c:axId val="308811864"/>
        <c:scaling>
          <c:orientation val="minMax"/>
        </c:scaling>
        <c:delete val="1"/>
        <c:axPos val="b"/>
        <c:numFmt formatCode="General" sourceLinked="1"/>
        <c:majorTickMark val="out"/>
        <c:minorTickMark val="none"/>
        <c:tickLblPos val="nextTo"/>
        <c:crossAx val="308811472"/>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 </a:t>
            </a:r>
          </a:p>
        </c:rich>
      </c:tx>
      <c:overlay val="0"/>
      <c:spPr>
        <a:ln>
          <a:noFill/>
        </a:ln>
      </c:spPr>
    </c:title>
    <c:autoTitleDeleted val="0"/>
    <c:plotArea>
      <c:layout>
        <c:manualLayout>
          <c:layoutTarget val="inner"/>
          <c:xMode val="edge"/>
          <c:yMode val="edge"/>
          <c:x val="4.6431612715077286E-2"/>
          <c:y val="0.17364703037770951"/>
          <c:w val="0.9128596286575289"/>
          <c:h val="0.71334763064576046"/>
        </c:manualLayout>
      </c:layout>
      <c:barChart>
        <c:barDir val="col"/>
        <c:grouping val="clustered"/>
        <c:varyColors val="0"/>
        <c:ser>
          <c:idx val="0"/>
          <c:order val="0"/>
          <c:tx>
            <c:strRef>
              <c:f>' Cob.Afil. SFS RC Mensual'!$B$3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 SFS RC Mensual'!$A$4:$A$38</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 SFS RC Mensual'!$B$4:$B$38</c:f>
              <c:numCache>
                <c:formatCode>#,##0</c:formatCode>
                <c:ptCount val="13"/>
                <c:pt idx="0">
                  <c:v>1346787</c:v>
                </c:pt>
                <c:pt idx="1">
                  <c:v>1359650</c:v>
                </c:pt>
                <c:pt idx="2">
                  <c:v>1372937</c:v>
                </c:pt>
                <c:pt idx="3">
                  <c:v>1401048</c:v>
                </c:pt>
                <c:pt idx="4">
                  <c:v>1400615</c:v>
                </c:pt>
                <c:pt idx="5">
                  <c:v>1414279</c:v>
                </c:pt>
                <c:pt idx="6">
                  <c:v>1404730</c:v>
                </c:pt>
                <c:pt idx="7">
                  <c:v>1430575</c:v>
                </c:pt>
                <c:pt idx="8">
                  <c:v>1422487</c:v>
                </c:pt>
                <c:pt idx="9">
                  <c:v>1434785</c:v>
                </c:pt>
                <c:pt idx="10">
                  <c:v>1448467</c:v>
                </c:pt>
                <c:pt idx="11">
                  <c:v>1451773</c:v>
                </c:pt>
                <c:pt idx="12">
                  <c:v>1459038</c:v>
                </c:pt>
              </c:numCache>
            </c:numRef>
          </c:val>
        </c:ser>
        <c:ser>
          <c:idx val="1"/>
          <c:order val="1"/>
          <c:tx>
            <c:strRef>
              <c:f>' Cob.Afil. SFS RC Mensual'!$C$3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 SFS RC Mensual'!$A$4:$A$38</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 SFS RC Mensual'!$C$4:$C$38</c:f>
              <c:numCache>
                <c:formatCode>#,##0</c:formatCode>
                <c:ptCount val="13"/>
                <c:pt idx="0">
                  <c:v>1624598</c:v>
                </c:pt>
                <c:pt idx="1">
                  <c:v>1661428</c:v>
                </c:pt>
                <c:pt idx="2">
                  <c:v>1643539</c:v>
                </c:pt>
                <c:pt idx="3">
                  <c:v>1683216</c:v>
                </c:pt>
                <c:pt idx="4">
                  <c:v>1680285</c:v>
                </c:pt>
                <c:pt idx="5">
                  <c:v>1698036</c:v>
                </c:pt>
                <c:pt idx="6">
                  <c:v>1698925</c:v>
                </c:pt>
                <c:pt idx="7">
                  <c:v>1730093</c:v>
                </c:pt>
                <c:pt idx="8">
                  <c:v>1725381</c:v>
                </c:pt>
                <c:pt idx="9">
                  <c:v>1744429</c:v>
                </c:pt>
                <c:pt idx="10">
                  <c:v>1752260</c:v>
                </c:pt>
                <c:pt idx="11">
                  <c:v>1773174</c:v>
                </c:pt>
                <c:pt idx="12">
                  <c:v>1778842</c:v>
                </c:pt>
              </c:numCache>
            </c:numRef>
          </c:val>
        </c:ser>
        <c:dLbls>
          <c:showLegendKey val="0"/>
          <c:showVal val="0"/>
          <c:showCatName val="0"/>
          <c:showSerName val="0"/>
          <c:showPercent val="0"/>
          <c:showBubbleSize val="0"/>
        </c:dLbls>
        <c:gapWidth val="30"/>
        <c:overlap val="-5"/>
        <c:axId val="308812648"/>
        <c:axId val="308813040"/>
      </c:barChart>
      <c:lineChart>
        <c:grouping val="standard"/>
        <c:varyColors val="0"/>
        <c:ser>
          <c:idx val="2"/>
          <c:order val="2"/>
          <c:tx>
            <c:strRef>
              <c:f>' Cob.Afil.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 SFS RC Mensual'!$A$4:$A$38</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 SFS RC Mensual'!$G$4:$G$38</c:f>
              <c:numCache>
                <c:formatCode>0.00</c:formatCode>
                <c:ptCount val="13"/>
                <c:pt idx="0">
                  <c:v>1.206276864864303</c:v>
                </c:pt>
                <c:pt idx="1">
                  <c:v>1.2219527084176074</c:v>
                </c:pt>
                <c:pt idx="2">
                  <c:v>1.1970971719751162</c:v>
                </c:pt>
                <c:pt idx="3">
                  <c:v>1.2013978107816434</c:v>
                </c:pt>
                <c:pt idx="4">
                  <c:v>1.199676570649322</c:v>
                </c:pt>
                <c:pt idx="5">
                  <c:v>1.2006372151463749</c:v>
                </c:pt>
                <c:pt idx="6">
                  <c:v>1.2094317057370456</c:v>
                </c:pt>
                <c:pt idx="7">
                  <c:v>1.2093689600335529</c:v>
                </c:pt>
                <c:pt idx="8">
                  <c:v>1.2129327016696814</c:v>
                </c:pt>
                <c:pt idx="9">
                  <c:v>1.2158121251616096</c:v>
                </c:pt>
                <c:pt idx="10">
                  <c:v>1.2097341534187525</c:v>
                </c:pt>
                <c:pt idx="11">
                  <c:v>1.2213851614543045</c:v>
                </c:pt>
                <c:pt idx="12">
                  <c:v>1.2191882596615029</c:v>
                </c:pt>
              </c:numCache>
            </c:numRef>
          </c:val>
          <c:smooth val="0"/>
        </c:ser>
        <c:dLbls>
          <c:showLegendKey val="0"/>
          <c:showVal val="0"/>
          <c:showCatName val="0"/>
          <c:showSerName val="0"/>
          <c:showPercent val="0"/>
          <c:showBubbleSize val="0"/>
        </c:dLbls>
        <c:marker val="1"/>
        <c:smooth val="0"/>
        <c:axId val="308813824"/>
        <c:axId val="308813432"/>
      </c:lineChart>
      <c:catAx>
        <c:axId val="308812648"/>
        <c:scaling>
          <c:orientation val="minMax"/>
        </c:scaling>
        <c:delete val="0"/>
        <c:axPos val="b"/>
        <c:numFmt formatCode="General" sourceLinked="1"/>
        <c:majorTickMark val="none"/>
        <c:minorTickMark val="none"/>
        <c:tickLblPos val="nextTo"/>
        <c:txPr>
          <a:bodyPr/>
          <a:lstStyle/>
          <a:p>
            <a:pPr>
              <a:defRPr sz="1600"/>
            </a:pPr>
            <a:endParaRPr lang="es-ES"/>
          </a:p>
        </c:txPr>
        <c:crossAx val="308813040"/>
        <c:crosses val="autoZero"/>
        <c:auto val="1"/>
        <c:lblAlgn val="ctr"/>
        <c:lblOffset val="100"/>
        <c:noMultiLvlLbl val="1"/>
      </c:catAx>
      <c:valAx>
        <c:axId val="308813040"/>
        <c:scaling>
          <c:orientation val="minMax"/>
        </c:scaling>
        <c:delete val="0"/>
        <c:axPos val="l"/>
        <c:numFmt formatCode="#,##0" sourceLinked="1"/>
        <c:majorTickMark val="none"/>
        <c:minorTickMark val="none"/>
        <c:tickLblPos val="nextTo"/>
        <c:spPr>
          <a:ln w="9525">
            <a:noFill/>
          </a:ln>
        </c:spPr>
        <c:crossAx val="308812648"/>
        <c:crosses val="autoZero"/>
        <c:crossBetween val="between"/>
      </c:valAx>
      <c:valAx>
        <c:axId val="308813432"/>
        <c:scaling>
          <c:orientation val="minMax"/>
          <c:max val="1.4"/>
        </c:scaling>
        <c:delete val="0"/>
        <c:axPos val="r"/>
        <c:numFmt formatCode="0.00" sourceLinked="1"/>
        <c:majorTickMark val="out"/>
        <c:minorTickMark val="none"/>
        <c:tickLblPos val="nextTo"/>
        <c:crossAx val="308813824"/>
        <c:crosses val="max"/>
        <c:crossBetween val="between"/>
      </c:valAx>
      <c:catAx>
        <c:axId val="308813824"/>
        <c:scaling>
          <c:orientation val="minMax"/>
        </c:scaling>
        <c:delete val="1"/>
        <c:axPos val="b"/>
        <c:numFmt formatCode="General" sourceLinked="1"/>
        <c:majorTickMark val="out"/>
        <c:minorTickMark val="none"/>
        <c:tickLblPos val="nextTo"/>
        <c:crossAx val="308813432"/>
        <c:crosses val="autoZero"/>
        <c:auto val="1"/>
        <c:lblAlgn val="ctr"/>
        <c:lblOffset val="100"/>
        <c:noMultiLvlLbl val="1"/>
      </c:catAx>
    </c:plotArea>
    <c:legend>
      <c:legendPos val="t"/>
      <c:layout>
        <c:manualLayout>
          <c:xMode val="edge"/>
          <c:yMode val="edge"/>
          <c:x val="0.23752712160979877"/>
          <c:y val="7.7647145051909686E-2"/>
          <c:w val="0.51267701953922418"/>
          <c:h val="5.400546298153190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Segruro Familiar de  Salud del Régimen Contributivo por Sexo y Tipo </a:t>
            </a:r>
          </a:p>
        </c:rich>
      </c:tx>
      <c:layout>
        <c:manualLayout>
          <c:xMode val="edge"/>
          <c:yMode val="edge"/>
          <c:x val="0.18890264796465722"/>
          <c:y val="2.5000000000000001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606527161263704E-3"/>
          <c:y val="0.12424411943133173"/>
          <c:w val="0.99012938332458511"/>
          <c:h val="0.66661333210917406"/>
        </c:manualLayout>
      </c:layout>
      <c:bar3DChart>
        <c:barDir val="col"/>
        <c:grouping val="stacked"/>
        <c:varyColors val="0"/>
        <c:ser>
          <c:idx val="0"/>
          <c:order val="0"/>
          <c:tx>
            <c:strRef>
              <c:f>'Afil. SFS RC X sexo x tipo'!$A$5</c:f>
              <c:strCache>
                <c:ptCount val="1"/>
                <c:pt idx="0">
                  <c:v>Feb-12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tipo'!$B$5:$D$5,'Afil. SFS RC X sexo x tipo'!$F$5:$H$5)</c:f>
            </c:numRef>
          </c:val>
          <c:shape val="box"/>
        </c:ser>
        <c:ser>
          <c:idx val="1"/>
          <c:order val="1"/>
          <c:tx>
            <c:strRef>
              <c:f>'Afil. SFS RC X sexo x tipo'!$A$6</c:f>
              <c:strCache>
                <c:ptCount val="1"/>
                <c:pt idx="0">
                  <c:v>Mar-12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tipo'!$B$6:$D$6,'Afil. SFS RC X sexo x tipo'!$F$6:$H$6)</c:f>
            </c:numRef>
          </c:val>
          <c:shape val="box"/>
        </c:ser>
        <c:ser>
          <c:idx val="2"/>
          <c:order val="2"/>
          <c:tx>
            <c:strRef>
              <c:f>'Afil. SFS RC X sexo x tipo'!$A$7</c:f>
              <c:strCache>
                <c:ptCount val="1"/>
                <c:pt idx="0">
                  <c:v>Apr-12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tipo'!$B$7:$D$7,'Afil. SFS RC X sexo x tipo'!$F$7:$H$7)</c:f>
            </c:numRef>
          </c:val>
          <c:shape val="box"/>
        </c:ser>
        <c:ser>
          <c:idx val="3"/>
          <c:order val="3"/>
          <c:tx>
            <c:strRef>
              <c:f>'Afil. SFS RC X sexo x tipo'!$A$8</c:f>
              <c:strCache>
                <c:ptCount val="1"/>
                <c:pt idx="0">
                  <c:v>May-12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tipo'!$B$8:$D$8,'Afil. SFS RC X sexo x tipo'!$F$8:$H$8)</c:f>
            </c:numRef>
          </c:val>
          <c:shape val="box"/>
        </c:ser>
        <c:ser>
          <c:idx val="4"/>
          <c:order val="4"/>
          <c:tx>
            <c:strRef>
              <c:f>'Afil. SFS RC X sexo x tipo'!$A$9</c:f>
              <c:strCache>
                <c:ptCount val="1"/>
                <c:pt idx="0">
                  <c:v>Jun-12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tipo'!$B$9:$D$9,'Afil. SFS RC X sexo x tipo'!$F$9:$H$9)</c:f>
            </c:numRef>
          </c:val>
          <c:shape val="box"/>
        </c:ser>
        <c:ser>
          <c:idx val="5"/>
          <c:order val="5"/>
          <c:tx>
            <c:strRef>
              <c:f>'Afil. SFS RC X sexo x tipo'!$A$10</c:f>
              <c:strCache>
                <c:ptCount val="1"/>
                <c:pt idx="0">
                  <c:v>Aug-12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tipo'!$B$10:$D$10,'Afil. SFS RC X sexo x tipo'!$F$10:$H$10)</c:f>
            </c:numRef>
          </c:val>
          <c:shape val="box"/>
        </c:ser>
        <c:ser>
          <c:idx val="6"/>
          <c:order val="6"/>
          <c:tx>
            <c:strRef>
              <c:f>'Afil. SFS RC X sexo x tipo'!$A$11</c:f>
              <c:strCache>
                <c:ptCount val="1"/>
                <c:pt idx="0">
                  <c:v>Sep-12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tipo'!$B$11:$D$11,'Afil. SFS RC X sexo x tipo'!$F$11:$H$11)</c:f>
            </c:numRef>
          </c:val>
          <c:shape val="box"/>
        </c:ser>
        <c:ser>
          <c:idx val="7"/>
          <c:order val="7"/>
          <c:tx>
            <c:strRef>
              <c:f>'Afil. SFS RC X sexo x tipo'!$A$12</c:f>
              <c:strCache>
                <c:ptCount val="1"/>
                <c:pt idx="0">
                  <c:v>Oct-12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tipo'!$B$12:$D$12,'Afil. SFS RC X sexo x tipo'!$F$12:$H$12)</c:f>
            </c:numRef>
          </c:val>
          <c:shape val="box"/>
        </c:ser>
        <c:ser>
          <c:idx val="8"/>
          <c:order val="8"/>
          <c:tx>
            <c:strRef>
              <c:f>'Afil. SFS RC X sexo x tipo'!$A$13</c:f>
              <c:strCache>
                <c:ptCount val="1"/>
                <c:pt idx="0">
                  <c:v>Nov-12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tipo'!$B$13:$D$13,'Afil. SFS RC X sexo x tipo'!$F$13:$H$13)</c:f>
            </c:numRef>
          </c:val>
          <c:shape val="box"/>
        </c:ser>
        <c:ser>
          <c:idx val="9"/>
          <c:order val="9"/>
          <c:tx>
            <c:strRef>
              <c:f>'Afil. SFS RC X sexo x tipo'!$A$14</c:f>
              <c:strCache>
                <c:ptCount val="1"/>
                <c:pt idx="0">
                  <c:v>Dec-12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tipo'!$B$14:$D$14,'Afil. SFS RC X sexo x tipo'!$F$14:$H$14)</c:f>
            </c:numRef>
          </c:val>
          <c:shape val="box"/>
        </c:ser>
        <c:ser>
          <c:idx val="10"/>
          <c:order val="10"/>
          <c:tx>
            <c:strRef>
              <c:f>'Afil. SFS RC X sexo x tipo'!$A$15</c:f>
              <c:strCache>
                <c:ptCount val="1"/>
                <c:pt idx="0">
                  <c:v>Jan-13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tipo'!$B$15:$D$15,'Afil. SFS RC X sexo x tipo'!$F$15:$H$15)</c:f>
            </c:numRef>
          </c:val>
          <c:shape val="box"/>
        </c:ser>
        <c:ser>
          <c:idx val="11"/>
          <c:order val="11"/>
          <c:tx>
            <c:strRef>
              <c:f>'Afil. SFS RC X sexo x tipo'!$A$16</c:f>
              <c:strCache>
                <c:ptCount val="1"/>
                <c:pt idx="0">
                  <c:v>Feb-13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tipo'!$B$16:$D$16,'Afil. SFS RC X sexo x tipo'!$F$16:$H$16)</c:f>
            </c:numRef>
          </c:val>
          <c:shape val="box"/>
        </c:ser>
        <c:ser>
          <c:idx val="12"/>
          <c:order val="12"/>
          <c:tx>
            <c:strRef>
              <c:f>'Afil. SFS RC X sexo x tipo'!$A$17</c:f>
              <c:strCache>
                <c:ptCount val="1"/>
                <c:pt idx="0">
                  <c:v>Mar-13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tipo'!$B$17:$D$17,'Afil. SFS RC X sexo x tipo'!$F$17:$H$17)</c:f>
            </c:numRef>
          </c:val>
          <c:shape val="box"/>
        </c:ser>
        <c:ser>
          <c:idx val="13"/>
          <c:order val="13"/>
          <c:tx>
            <c:strRef>
              <c:f>'Afil. SFS RC X sexo x tipo'!$A$18</c:f>
              <c:strCache>
                <c:ptCount val="1"/>
                <c:pt idx="0">
                  <c:v>Apr-13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tipo'!$B$18:$D$18,'Afil. SFS RC X sexo x tipo'!$F$18:$H$18)</c:f>
            </c:numRef>
          </c:val>
          <c:shape val="box"/>
        </c:ser>
        <c:ser>
          <c:idx val="14"/>
          <c:order val="14"/>
          <c:tx>
            <c:strRef>
              <c:f>'Afil. SFS RC X sexo x tipo'!$A$19</c:f>
              <c:strCache>
                <c:ptCount val="1"/>
                <c:pt idx="0">
                  <c:v>May-13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tipo'!$B$19:$D$19,'Afil. SFS RC X sexo x tipo'!$F$19:$H$19)</c:f>
            </c:numRef>
          </c:val>
          <c:shape val="box"/>
        </c:ser>
        <c:ser>
          <c:idx val="15"/>
          <c:order val="15"/>
          <c:tx>
            <c:strRef>
              <c:f>'Afil. SFS RC X sexo x tipo'!$A$20</c:f>
              <c:strCache>
                <c:ptCount val="1"/>
                <c:pt idx="0">
                  <c:v>Jun-13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tipo'!$B$20:$D$20,'Afil. SFS RC X sexo x tipo'!$F$20:$H$20)</c:f>
            </c:numRef>
          </c:val>
          <c:shape val="box"/>
        </c:ser>
        <c:ser>
          <c:idx val="16"/>
          <c:order val="16"/>
          <c:tx>
            <c:strRef>
              <c:f>'Afil. SFS RC X sexo x tipo'!$A$21</c:f>
              <c:strCache>
                <c:ptCount val="1"/>
                <c:pt idx="0">
                  <c:v>Jul-13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tipo'!$B$21:$D$21,'Afil. SFS RC X sexo x tipo'!$F$21:$H$21)</c:f>
            </c:numRef>
          </c:val>
          <c:shape val="box"/>
        </c:ser>
        <c:ser>
          <c:idx val="17"/>
          <c:order val="17"/>
          <c:tx>
            <c:strRef>
              <c:f>'Afil. SFS RC X sexo x tipo'!$A$22</c:f>
              <c:strCache>
                <c:ptCount val="1"/>
                <c:pt idx="0">
                  <c:v>Aug-13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tipo'!$B$22:$D$22,'Afil. SFS RC X sexo x tipo'!$F$22:$H$22)</c:f>
            </c:numRef>
          </c:val>
          <c:shape val="box"/>
        </c:ser>
        <c:ser>
          <c:idx val="18"/>
          <c:order val="18"/>
          <c:tx>
            <c:strRef>
              <c:f>'Afil. SFS RC X sexo x tipo'!$A$23</c:f>
              <c:strCache>
                <c:ptCount val="1"/>
                <c:pt idx="0">
                  <c:v>Sep-13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tipo'!$B$23:$D$23,'Afil. SFS RC X sexo x tipo'!$F$23:$H$23)</c:f>
            </c:numRef>
          </c:val>
          <c:shape val="box"/>
        </c:ser>
        <c:ser>
          <c:idx val="19"/>
          <c:order val="19"/>
          <c:tx>
            <c:strRef>
              <c:f>'Afil. SFS RC X sexo x tipo'!$A$24</c:f>
              <c:strCache>
                <c:ptCount val="1"/>
                <c:pt idx="0">
                  <c:v>Oct-13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tipo'!$B$24:$D$24,'Afil. SFS RC X sexo x tipo'!$F$24:$H$24)</c:f>
            </c:numRef>
          </c:val>
          <c:shape val="box"/>
        </c:ser>
        <c:ser>
          <c:idx val="20"/>
          <c:order val="20"/>
          <c:tx>
            <c:strRef>
              <c:f>'Afil. SFS RC X sexo x tipo'!$A$25</c:f>
              <c:strCache>
                <c:ptCount val="1"/>
                <c:pt idx="0">
                  <c:v>Nov-13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tipo'!$B$25:$D$25,'Afil. SFS RC X sexo x tipo'!$F$25:$H$25)</c:f>
            </c:numRef>
          </c:val>
          <c:shape val="box"/>
        </c:ser>
        <c:ser>
          <c:idx val="21"/>
          <c:order val="21"/>
          <c:tx>
            <c:strRef>
              <c:f>'Afil. SFS RC X sexo x tipo'!$A$26</c:f>
              <c:strCache>
                <c:ptCount val="1"/>
                <c:pt idx="0">
                  <c:v>Dec-13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tipo'!$B$26:$D$26,'Afil. SFS RC X sexo x tipo'!$F$26:$H$26)</c:f>
            </c:numRef>
          </c:val>
          <c:shape val="box"/>
        </c:ser>
        <c:ser>
          <c:idx val="22"/>
          <c:order val="22"/>
          <c:tx>
            <c:strRef>
              <c:f>'Afil. SFS RC X sexo x 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tipo'!$B$27:$D$27,'Afil. SFS RC X sexo x tipo'!$F$27:$H$27)</c:f>
              <c:numCache>
                <c:formatCode>#,##0</c:formatCode>
                <c:ptCount val="6"/>
                <c:pt idx="0">
                  <c:v>531330</c:v>
                </c:pt>
                <c:pt idx="1">
                  <c:v>259903</c:v>
                </c:pt>
                <c:pt idx="2">
                  <c:v>1282</c:v>
                </c:pt>
                <c:pt idx="3">
                  <c:v>388581</c:v>
                </c:pt>
                <c:pt idx="4">
                  <c:v>293112</c:v>
                </c:pt>
                <c:pt idx="5">
                  <c:v>2973</c:v>
                </c:pt>
              </c:numCache>
            </c:numRef>
          </c:val>
        </c:ser>
        <c:ser>
          <c:idx val="23"/>
          <c:order val="23"/>
          <c:tx>
            <c:strRef>
              <c:f>'Afil. SFS RC X sexo x 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tipo'!$B$28:$D$28,'Afil. SFS RC X sexo x tipo'!$F$28:$H$28)</c:f>
              <c:numCache>
                <c:formatCode>#,##0</c:formatCode>
                <c:ptCount val="6"/>
                <c:pt idx="0">
                  <c:v>554588</c:v>
                </c:pt>
                <c:pt idx="1">
                  <c:v>330370</c:v>
                </c:pt>
                <c:pt idx="2">
                  <c:v>5444</c:v>
                </c:pt>
                <c:pt idx="3">
                  <c:v>411558</c:v>
                </c:pt>
                <c:pt idx="4">
                  <c:v>376958</c:v>
                </c:pt>
                <c:pt idx="5">
                  <c:v>13341</c:v>
                </c:pt>
              </c:numCache>
            </c:numRef>
          </c:val>
        </c:ser>
        <c:ser>
          <c:idx val="24"/>
          <c:order val="24"/>
          <c:tx>
            <c:strRef>
              <c:f>'Afil. SFS RC X sexo x 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tipo'!$B$29:$D$29,'Afil. SFS RC X sexo x tipo'!$F$29:$H$29)</c:f>
              <c:numCache>
                <c:formatCode>#,##0</c:formatCode>
                <c:ptCount val="6"/>
                <c:pt idx="0">
                  <c:v>621549</c:v>
                </c:pt>
                <c:pt idx="1">
                  <c:v>444129</c:v>
                </c:pt>
                <c:pt idx="2">
                  <c:v>13199</c:v>
                </c:pt>
                <c:pt idx="3">
                  <c:v>458053</c:v>
                </c:pt>
                <c:pt idx="4">
                  <c:v>518280</c:v>
                </c:pt>
                <c:pt idx="5">
                  <c:v>33089</c:v>
                </c:pt>
              </c:numCache>
            </c:numRef>
          </c:val>
        </c:ser>
        <c:ser>
          <c:idx val="25"/>
          <c:order val="25"/>
          <c:tx>
            <c:strRef>
              <c:f>'Afil. SFS RC X sexo x 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tipo'!$B$30:$D$30,'Afil. SFS RC X sexo x tipo'!$F$30:$H$30)</c:f>
              <c:numCache>
                <c:formatCode>#,##0</c:formatCode>
                <c:ptCount val="6"/>
                <c:pt idx="0">
                  <c:v>666490</c:v>
                </c:pt>
                <c:pt idx="1">
                  <c:v>523408</c:v>
                </c:pt>
                <c:pt idx="2">
                  <c:v>20284</c:v>
                </c:pt>
                <c:pt idx="3">
                  <c:v>486371</c:v>
                </c:pt>
                <c:pt idx="4">
                  <c:v>617395</c:v>
                </c:pt>
                <c:pt idx="5">
                  <c:v>50135</c:v>
                </c:pt>
              </c:numCache>
            </c:numRef>
          </c:val>
        </c:ser>
        <c:ser>
          <c:idx val="26"/>
          <c:order val="26"/>
          <c:tx>
            <c:strRef>
              <c:f>'Afil. SFS RC X sexo x 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tipo'!$B$31:$D$31,'Afil. SFS RC X sexo x tipo'!$F$31:$H$31)</c:f>
              <c:numCache>
                <c:formatCode>#,##0</c:formatCode>
                <c:ptCount val="6"/>
                <c:pt idx="0">
                  <c:v>688507</c:v>
                </c:pt>
                <c:pt idx="1">
                  <c:v>563079</c:v>
                </c:pt>
                <c:pt idx="2">
                  <c:v>27872</c:v>
                </c:pt>
                <c:pt idx="3">
                  <c:v>499838</c:v>
                </c:pt>
                <c:pt idx="4">
                  <c:v>670940</c:v>
                </c:pt>
                <c:pt idx="5">
                  <c:v>67187</c:v>
                </c:pt>
              </c:numCache>
            </c:numRef>
          </c:val>
        </c:ser>
        <c:ser>
          <c:idx val="27"/>
          <c:order val="27"/>
          <c:tx>
            <c:strRef>
              <c:f>'Afil. SFS RC X sexo x 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tipo'!$B$32:$D$32,'Afil. SFS RC X sexo x tipo'!$F$32:$H$32)</c:f>
              <c:numCache>
                <c:formatCode>#,##0</c:formatCode>
                <c:ptCount val="6"/>
                <c:pt idx="0">
                  <c:v>719477</c:v>
                </c:pt>
                <c:pt idx="1">
                  <c:v>607781</c:v>
                </c:pt>
                <c:pt idx="2">
                  <c:v>33530</c:v>
                </c:pt>
                <c:pt idx="3">
                  <c:v>523353</c:v>
                </c:pt>
                <c:pt idx="4">
                  <c:v>724697</c:v>
                </c:pt>
                <c:pt idx="5">
                  <c:v>79573</c:v>
                </c:pt>
              </c:numCache>
            </c:numRef>
          </c:val>
        </c:ser>
        <c:ser>
          <c:idx val="28"/>
          <c:order val="28"/>
          <c:tx>
            <c:strRef>
              <c:f>'Afil. SFS RC X sexo x 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tipo'!$B$33:$D$33,'Afil. SFS RC X sexo x tipo'!$F$33:$H$33)</c:f>
              <c:numCache>
                <c:formatCode>#,##0</c:formatCode>
                <c:ptCount val="6"/>
                <c:pt idx="0">
                  <c:v>761550</c:v>
                </c:pt>
                <c:pt idx="1">
                  <c:v>660882</c:v>
                </c:pt>
                <c:pt idx="2">
                  <c:v>39966</c:v>
                </c:pt>
                <c:pt idx="3">
                  <c:v>557229</c:v>
                </c:pt>
                <c:pt idx="4">
                  <c:v>788545</c:v>
                </c:pt>
                <c:pt idx="5">
                  <c:v>92804</c:v>
                </c:pt>
              </c:numCache>
            </c:numRef>
          </c:val>
        </c:ser>
        <c:ser>
          <c:idx val="29"/>
          <c:order val="29"/>
          <c:tx>
            <c:strRef>
              <c:f>'Afil. SFS RC X sexo x 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tipo'!$B$34:$D$34,'Afil. SFS RC X sexo x tipo'!$F$34:$H$34)</c:f>
              <c:numCache>
                <c:formatCode>#,##0</c:formatCode>
                <c:ptCount val="6"/>
                <c:pt idx="0">
                  <c:v>816912</c:v>
                </c:pt>
                <c:pt idx="1">
                  <c:v>715603</c:v>
                </c:pt>
                <c:pt idx="2">
                  <c:v>45810</c:v>
                </c:pt>
                <c:pt idx="3">
                  <c:v>606074</c:v>
                </c:pt>
                <c:pt idx="4">
                  <c:v>852938</c:v>
                </c:pt>
                <c:pt idx="5">
                  <c:v>104262</c:v>
                </c:pt>
              </c:numCache>
            </c:numRef>
          </c:val>
        </c:ser>
        <c:ser>
          <c:idx val="30"/>
          <c:order val="30"/>
          <c:tx>
            <c:strRef>
              <c:f>'Afil. SFS RC X sexo x tipo'!$A$35</c:f>
              <c:strCache>
                <c:ptCount val="1"/>
                <c:pt idx="0">
                  <c:v>Ene.15</c:v>
                </c:pt>
              </c:strCache>
            </c:strRef>
          </c:tx>
          <c:spPr>
            <a:solidFill>
              <a:schemeClr val="bg1">
                <a:lumMod val="50000"/>
              </a:schemeClr>
            </a:solidFill>
          </c:spPr>
          <c:invertIfNegative val="0"/>
          <c:dLbls>
            <c:dLbl>
              <c:idx val="0"/>
              <c:layout>
                <c:manualLayout>
                  <c:x val="1.0446344612899595E-2"/>
                  <c:y val="-1.3558276166605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22009058956882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459483866127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tipo'!$B$35:$D$35,'Afil. SFS RC X sexo x tipo'!$F$35:$H$35)</c:f>
              <c:numCache>
                <c:formatCode>#,##0</c:formatCode>
                <c:ptCount val="6"/>
                <c:pt idx="0">
                  <c:v>818204</c:v>
                </c:pt>
                <c:pt idx="1">
                  <c:v>716041</c:v>
                </c:pt>
                <c:pt idx="2">
                  <c:v>50272</c:v>
                </c:pt>
                <c:pt idx="3">
                  <c:v>607807</c:v>
                </c:pt>
                <c:pt idx="4">
                  <c:v>852199</c:v>
                </c:pt>
                <c:pt idx="5">
                  <c:v>110846</c:v>
                </c:pt>
              </c:numCache>
            </c:numRef>
          </c:val>
        </c:ser>
        <c:dLbls>
          <c:showLegendKey val="0"/>
          <c:showVal val="0"/>
          <c:showCatName val="0"/>
          <c:showSerName val="0"/>
          <c:showPercent val="0"/>
          <c:showBubbleSize val="0"/>
        </c:dLbls>
        <c:gapWidth val="75"/>
        <c:shape val="cylinder"/>
        <c:axId val="308814608"/>
        <c:axId val="308815000"/>
        <c:axId val="0"/>
      </c:bar3DChart>
      <c:catAx>
        <c:axId val="308814608"/>
        <c:scaling>
          <c:orientation val="minMax"/>
        </c:scaling>
        <c:delete val="0"/>
        <c:axPos val="b"/>
        <c:numFmt formatCode="General" sourceLinked="0"/>
        <c:majorTickMark val="none"/>
        <c:minorTickMark val="none"/>
        <c:tickLblPos val="nextTo"/>
        <c:txPr>
          <a:bodyPr/>
          <a:lstStyle/>
          <a:p>
            <a:pPr>
              <a:defRPr sz="1600" b="1"/>
            </a:pPr>
            <a:endParaRPr lang="es-ES"/>
          </a:p>
        </c:txPr>
        <c:crossAx val="308815000"/>
        <c:crosses val="autoZero"/>
        <c:auto val="1"/>
        <c:lblAlgn val="ctr"/>
        <c:lblOffset val="100"/>
        <c:noMultiLvlLbl val="0"/>
      </c:catAx>
      <c:valAx>
        <c:axId val="308815000"/>
        <c:scaling>
          <c:orientation val="minMax"/>
        </c:scaling>
        <c:delete val="1"/>
        <c:axPos val="l"/>
        <c:numFmt formatCode="#,##0" sourceLinked="1"/>
        <c:majorTickMark val="none"/>
        <c:minorTickMark val="none"/>
        <c:tickLblPos val="nextTo"/>
        <c:crossAx val="308814608"/>
        <c:crosses val="autoZero"/>
        <c:crossBetween val="between"/>
      </c:valAx>
    </c:plotArea>
    <c:legend>
      <c:legendPos val="t"/>
      <c:layout>
        <c:manualLayout>
          <c:xMode val="edge"/>
          <c:yMode val="edge"/>
          <c:x val="0.24173865912344755"/>
          <c:y val="9.1588582677165353E-2"/>
          <c:w val="0.53090577101042313"/>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del Seguro Familiar de Salud del Régimen Subsidiado por Tipo </a:t>
            </a:r>
          </a:p>
        </c:rich>
      </c:tx>
      <c:layout>
        <c:manualLayout>
          <c:xMode val="edge"/>
          <c:yMode val="edge"/>
          <c:x val="0.30530443057361478"/>
          <c:y val="1.4592391262354142E-2"/>
        </c:manualLayout>
      </c:layout>
      <c:overlay val="0"/>
    </c:title>
    <c:autoTitleDeleted val="0"/>
    <c:plotArea>
      <c:layout>
        <c:manualLayout>
          <c:layoutTarget val="inner"/>
          <c:xMode val="edge"/>
          <c:yMode val="edge"/>
          <c:x val="6.3556151128591559E-2"/>
          <c:y val="0.1621411720789161"/>
          <c:w val="0.88122059933844399"/>
          <c:h val="0.7286974937743147"/>
        </c:manualLayout>
      </c:layout>
      <c:barChart>
        <c:barDir val="col"/>
        <c:grouping val="clustered"/>
        <c:varyColors val="0"/>
        <c:ser>
          <c:idx val="1"/>
          <c:order val="0"/>
          <c:tx>
            <c:strRef>
              <c:f>'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0448135567454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055277709656961E-3"/>
                  <c:y val="1.129234457508142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anual SFS RS '!$C$4:$C$16</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1215864</c:v>
                </c:pt>
              </c:numCache>
            </c:numRef>
          </c:val>
        </c:ser>
        <c:ser>
          <c:idx val="0"/>
          <c:order val="1"/>
          <c:tx>
            <c:strRef>
              <c:f>'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anual SFS RS '!$B$4:$B$16</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1786117</c:v>
                </c:pt>
              </c:numCache>
            </c:numRef>
          </c:val>
        </c:ser>
        <c:dLbls>
          <c:showLegendKey val="0"/>
          <c:showVal val="0"/>
          <c:showCatName val="0"/>
          <c:showSerName val="0"/>
          <c:showPercent val="0"/>
          <c:showBubbleSize val="0"/>
        </c:dLbls>
        <c:gapWidth val="42"/>
        <c:overlap val="30"/>
        <c:axId val="308815784"/>
        <c:axId val="308816176"/>
      </c:barChart>
      <c:lineChart>
        <c:grouping val="standard"/>
        <c:varyColors val="0"/>
        <c:ser>
          <c:idx val="2"/>
          <c:order val="2"/>
          <c:tx>
            <c:strRef>
              <c:f>' Afil anual SFS RS '!$G$3</c:f>
              <c:strCache>
                <c:ptCount val="1"/>
                <c:pt idx="0">
                  <c:v>Indice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anual SFS RS '!$G$4:$G$16</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0.68073032169785075</c:v>
                </c:pt>
              </c:numCache>
            </c:numRef>
          </c:val>
          <c:smooth val="0"/>
        </c:ser>
        <c:dLbls>
          <c:showLegendKey val="0"/>
          <c:showVal val="0"/>
          <c:showCatName val="0"/>
          <c:showSerName val="0"/>
          <c:showPercent val="0"/>
          <c:showBubbleSize val="0"/>
        </c:dLbls>
        <c:marker val="1"/>
        <c:smooth val="0"/>
        <c:axId val="308816960"/>
        <c:axId val="308816568"/>
      </c:lineChart>
      <c:catAx>
        <c:axId val="308815784"/>
        <c:scaling>
          <c:orientation val="minMax"/>
        </c:scaling>
        <c:delete val="0"/>
        <c:axPos val="b"/>
        <c:numFmt formatCode="General" sourceLinked="0"/>
        <c:majorTickMark val="none"/>
        <c:minorTickMark val="none"/>
        <c:tickLblPos val="nextTo"/>
        <c:txPr>
          <a:bodyPr/>
          <a:lstStyle/>
          <a:p>
            <a:pPr>
              <a:defRPr sz="1400"/>
            </a:pPr>
            <a:endParaRPr lang="es-ES"/>
          </a:p>
        </c:txPr>
        <c:crossAx val="308816176"/>
        <c:crosses val="autoZero"/>
        <c:auto val="1"/>
        <c:lblAlgn val="ctr"/>
        <c:lblOffset val="100"/>
        <c:noMultiLvlLbl val="0"/>
      </c:catAx>
      <c:valAx>
        <c:axId val="308816176"/>
        <c:scaling>
          <c:orientation val="minMax"/>
        </c:scaling>
        <c:delete val="0"/>
        <c:axPos val="l"/>
        <c:numFmt formatCode="_(* #,##0_);_(* \(#,##0\);_(* &quot;-&quot;??_);_(@_)" sourceLinked="1"/>
        <c:majorTickMark val="none"/>
        <c:minorTickMark val="none"/>
        <c:tickLblPos val="nextTo"/>
        <c:crossAx val="308815784"/>
        <c:crosses val="autoZero"/>
        <c:crossBetween val="between"/>
        <c:dispUnits>
          <c:builtInUnit val="thousands"/>
          <c:dispUnitsLbl>
            <c:layout>
              <c:manualLayout>
                <c:xMode val="edge"/>
                <c:yMode val="edge"/>
                <c:x val="5.841924424971022E-3"/>
                <c:y val="0.48578605718526852"/>
              </c:manualLayout>
            </c:layout>
          </c:dispUnitsLbl>
        </c:dispUnits>
      </c:valAx>
      <c:valAx>
        <c:axId val="308816568"/>
        <c:scaling>
          <c:orientation val="minMax"/>
          <c:max val="2"/>
        </c:scaling>
        <c:delete val="0"/>
        <c:axPos val="r"/>
        <c:numFmt formatCode="_(* #,##0.00_);_(* \(#,##0.00\);_(* &quot;-&quot;??_);_(@_)" sourceLinked="1"/>
        <c:majorTickMark val="out"/>
        <c:minorTickMark val="none"/>
        <c:tickLblPos val="nextTo"/>
        <c:crossAx val="308816960"/>
        <c:crosses val="max"/>
        <c:crossBetween val="between"/>
      </c:valAx>
      <c:catAx>
        <c:axId val="308816960"/>
        <c:scaling>
          <c:orientation val="minMax"/>
        </c:scaling>
        <c:delete val="1"/>
        <c:axPos val="b"/>
        <c:numFmt formatCode="General" sourceLinked="1"/>
        <c:majorTickMark val="out"/>
        <c:minorTickMark val="none"/>
        <c:tickLblPos val="nextTo"/>
        <c:crossAx val="308816568"/>
        <c:crosses val="autoZero"/>
        <c:auto val="1"/>
        <c:lblAlgn val="ctr"/>
        <c:lblOffset val="100"/>
        <c:noMultiLvlLbl val="0"/>
      </c:catAx>
    </c:plotArea>
    <c:legend>
      <c:legendPos val="t"/>
      <c:layout>
        <c:manualLayout>
          <c:xMode val="edge"/>
          <c:yMode val="edge"/>
          <c:x val="0.31707670636113888"/>
          <c:y val="6.8536710293539138E-2"/>
          <c:w val="0.36424851554520032"/>
          <c:h val="4.50184473966307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n-US" sz="1200"/>
              <a:t>Afiliación  Mensual  al  Seguro Familiar de Salud del  Régimen Subsidiado por Tipo</a:t>
            </a:r>
          </a:p>
        </c:rich>
      </c:tx>
      <c:overlay val="0"/>
    </c:title>
    <c:autoTitleDeleted val="0"/>
    <c:plotArea>
      <c:layout>
        <c:manualLayout>
          <c:layoutTarget val="inner"/>
          <c:xMode val="edge"/>
          <c:yMode val="edge"/>
          <c:x val="6.4137089320766033E-2"/>
          <c:y val="0.16226907041811814"/>
          <c:w val="0.89833771756805203"/>
          <c:h val="0.72372191405430575"/>
        </c:manualLayout>
      </c:layout>
      <c:barChart>
        <c:barDir val="col"/>
        <c:grouping val="clustered"/>
        <c:varyColors val="0"/>
        <c:ser>
          <c:idx val="0"/>
          <c:order val="0"/>
          <c:tx>
            <c:strRef>
              <c:f>' 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Afil.mensual SFS RS '!$A$4:$A$39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Afil.mensual SFS RS '!$B$4:$B$39</c:f>
              <c:numCache>
                <c:formatCode>_(* #,##0_);_(* \(#,##0\);_(* "-"??_);_(@_)</c:formatCode>
                <c:ptCount val="13"/>
                <c:pt idx="0">
                  <c:v>1556255</c:v>
                </c:pt>
                <c:pt idx="1">
                  <c:v>1565351</c:v>
                </c:pt>
                <c:pt idx="2">
                  <c:v>1559939</c:v>
                </c:pt>
                <c:pt idx="3">
                  <c:v>1555584</c:v>
                </c:pt>
                <c:pt idx="4">
                  <c:v>1550134</c:v>
                </c:pt>
                <c:pt idx="5">
                  <c:v>1545541</c:v>
                </c:pt>
                <c:pt idx="6">
                  <c:v>1539520</c:v>
                </c:pt>
                <c:pt idx="7">
                  <c:v>1534933</c:v>
                </c:pt>
                <c:pt idx="8">
                  <c:v>1538413</c:v>
                </c:pt>
                <c:pt idx="9">
                  <c:v>1598142</c:v>
                </c:pt>
                <c:pt idx="10">
                  <c:v>1627454</c:v>
                </c:pt>
                <c:pt idx="11">
                  <c:v>1795214</c:v>
                </c:pt>
                <c:pt idx="12">
                  <c:v>1786117</c:v>
                </c:pt>
              </c:numCache>
            </c:numRef>
          </c:val>
        </c:ser>
        <c:ser>
          <c:idx val="1"/>
          <c:order val="1"/>
          <c:tx>
            <c:strRef>
              <c:f>' 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Afil.mensual SFS RS '!$A$4:$A$39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Afil.mensual SFS RS '!$C$4:$C$39</c:f>
              <c:numCache>
                <c:formatCode>_(* #,##0_);_(* \(#,##0\);_(* "-"??_);_(@_)</c:formatCode>
                <c:ptCount val="13"/>
                <c:pt idx="0">
                  <c:v>1185229</c:v>
                </c:pt>
                <c:pt idx="1">
                  <c:v>1186190</c:v>
                </c:pt>
                <c:pt idx="2">
                  <c:v>1185744</c:v>
                </c:pt>
                <c:pt idx="3">
                  <c:v>1195316</c:v>
                </c:pt>
                <c:pt idx="4">
                  <c:v>1208033</c:v>
                </c:pt>
                <c:pt idx="5">
                  <c:v>1209278</c:v>
                </c:pt>
                <c:pt idx="6">
                  <c:v>1211525</c:v>
                </c:pt>
                <c:pt idx="7">
                  <c:v>1213460</c:v>
                </c:pt>
                <c:pt idx="8">
                  <c:v>1213532</c:v>
                </c:pt>
                <c:pt idx="9">
                  <c:v>1240613</c:v>
                </c:pt>
                <c:pt idx="10">
                  <c:v>1204555</c:v>
                </c:pt>
                <c:pt idx="11">
                  <c:v>1220432</c:v>
                </c:pt>
                <c:pt idx="12">
                  <c:v>1214864</c:v>
                </c:pt>
              </c:numCache>
            </c:numRef>
          </c:val>
        </c:ser>
        <c:dLbls>
          <c:showLegendKey val="0"/>
          <c:showVal val="0"/>
          <c:showCatName val="0"/>
          <c:showSerName val="0"/>
          <c:showPercent val="0"/>
          <c:showBubbleSize val="0"/>
        </c:dLbls>
        <c:gapWidth val="13"/>
        <c:axId val="308817744"/>
        <c:axId val="308818136"/>
      </c:barChart>
      <c:lineChart>
        <c:grouping val="standard"/>
        <c:varyColors val="0"/>
        <c:ser>
          <c:idx val="2"/>
          <c:order val="2"/>
          <c:tx>
            <c:strRef>
              <c:f>' Afil.mensual SFS RS '!$E$3</c:f>
              <c:strCache>
                <c:ptCount val="1"/>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Afil.mensual SFS RS '!$A$4:$A$39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Afil.mensual SFS RS '!$E$4:$E$39</c:f>
              <c:numCache>
                <c:formatCode>0.00</c:formatCode>
                <c:ptCount val="13"/>
                <c:pt idx="0">
                  <c:v>0.76159048484984793</c:v>
                </c:pt>
                <c:pt idx="1">
                  <c:v>0.75777892625998899</c:v>
                </c:pt>
                <c:pt idx="2">
                  <c:v>0.76012203041272763</c:v>
                </c:pt>
                <c:pt idx="3">
                  <c:v>0.76840337776680656</c:v>
                </c:pt>
                <c:pt idx="4">
                  <c:v>0.77930875653330611</c:v>
                </c:pt>
                <c:pt idx="5">
                  <c:v>0.78243022993243139</c:v>
                </c:pt>
                <c:pt idx="6">
                  <c:v>0.78694982851797968</c:v>
                </c:pt>
                <c:pt idx="7">
                  <c:v>0.79056219391986493</c:v>
                </c:pt>
                <c:pt idx="8">
                  <c:v>0.78882068729268406</c:v>
                </c:pt>
                <c:pt idx="9">
                  <c:v>0.77628458547488266</c:v>
                </c:pt>
                <c:pt idx="10">
                  <c:v>0.74014687972747617</c:v>
                </c:pt>
                <c:pt idx="11">
                  <c:v>0.67982535786819842</c:v>
                </c:pt>
                <c:pt idx="12">
                  <c:v>0.68017044796057591</c:v>
                </c:pt>
              </c:numCache>
            </c:numRef>
          </c:val>
          <c:smooth val="0"/>
        </c:ser>
        <c:dLbls>
          <c:showLegendKey val="0"/>
          <c:showVal val="0"/>
          <c:showCatName val="0"/>
          <c:showSerName val="0"/>
          <c:showPercent val="0"/>
          <c:showBubbleSize val="0"/>
        </c:dLbls>
        <c:marker val="1"/>
        <c:smooth val="0"/>
        <c:axId val="308818920"/>
        <c:axId val="308818528"/>
      </c:lineChart>
      <c:catAx>
        <c:axId val="308817744"/>
        <c:scaling>
          <c:orientation val="minMax"/>
        </c:scaling>
        <c:delete val="0"/>
        <c:axPos val="b"/>
        <c:numFmt formatCode="General" sourceLinked="0"/>
        <c:majorTickMark val="none"/>
        <c:minorTickMark val="none"/>
        <c:tickLblPos val="nextTo"/>
        <c:crossAx val="308818136"/>
        <c:crosses val="autoZero"/>
        <c:auto val="1"/>
        <c:lblAlgn val="ctr"/>
        <c:lblOffset val="100"/>
        <c:noMultiLvlLbl val="0"/>
      </c:catAx>
      <c:valAx>
        <c:axId val="308818136"/>
        <c:scaling>
          <c:orientation val="minMax"/>
        </c:scaling>
        <c:delete val="0"/>
        <c:axPos val="l"/>
        <c:numFmt formatCode="_(* #,##0_);_(* \(#,##0\);_(* &quot;-&quot;??_);_(@_)" sourceLinked="1"/>
        <c:majorTickMark val="none"/>
        <c:minorTickMark val="none"/>
        <c:tickLblPos val="nextTo"/>
        <c:crossAx val="308817744"/>
        <c:crosses val="autoZero"/>
        <c:crossBetween val="between"/>
        <c:dispUnits>
          <c:builtInUnit val="thousands"/>
          <c:dispUnitsLbl/>
        </c:dispUnits>
      </c:valAx>
      <c:valAx>
        <c:axId val="308818528"/>
        <c:scaling>
          <c:orientation val="minMax"/>
          <c:max val="2"/>
        </c:scaling>
        <c:delete val="0"/>
        <c:axPos val="r"/>
        <c:numFmt formatCode="0.00" sourceLinked="1"/>
        <c:majorTickMark val="out"/>
        <c:minorTickMark val="none"/>
        <c:tickLblPos val="nextTo"/>
        <c:crossAx val="308818920"/>
        <c:crosses val="max"/>
        <c:crossBetween val="between"/>
      </c:valAx>
      <c:catAx>
        <c:axId val="308818920"/>
        <c:scaling>
          <c:orientation val="minMax"/>
        </c:scaling>
        <c:delete val="1"/>
        <c:axPos val="b"/>
        <c:numFmt formatCode="General" sourceLinked="1"/>
        <c:majorTickMark val="out"/>
        <c:minorTickMark val="none"/>
        <c:tickLblPos val="nextTo"/>
        <c:crossAx val="308818528"/>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5124778180087665"/>
          <c:y val="3.1512089782161946E-2"/>
        </c:manualLayout>
      </c:layout>
      <c:overlay val="0"/>
    </c:title>
    <c:autoTitleDeleted val="0"/>
    <c:plotArea>
      <c:layout/>
      <c:barChart>
        <c:barDir val="col"/>
        <c:grouping val="clustered"/>
        <c:varyColors val="0"/>
        <c:ser>
          <c:idx val="0"/>
          <c:order val="0"/>
          <c:tx>
            <c:strRef>
              <c:f>'Cob.Afil anual SFS RS'!$B$3:$B$6</c:f>
              <c:strCache>
                <c:ptCount val="4"/>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Ene.2015</c:v>
                </c:pt>
              </c:strCache>
            </c:strRef>
          </c:cat>
          <c:val>
            <c:numRef>
              <c:f>'Cob.Afil anual SFS RS'!$B$7:$B$16</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1795214</c:v>
                </c:pt>
              </c:numCache>
            </c:numRef>
          </c:val>
        </c:ser>
        <c:ser>
          <c:idx val="1"/>
          <c:order val="1"/>
          <c:tx>
            <c:strRef>
              <c:f>'Cob.Afil anual SFS RS'!$C$3:$C$6</c:f>
              <c:strCache>
                <c:ptCount val="4"/>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Ene.2015</c:v>
                </c:pt>
              </c:strCache>
            </c:strRef>
          </c:cat>
          <c:val>
            <c:numRef>
              <c:f>'Cob.Afil anual SFS RS'!$C$7:$C$16</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1220432</c:v>
                </c:pt>
              </c:numCache>
            </c:numRef>
          </c:val>
        </c:ser>
        <c:dLbls>
          <c:showLegendKey val="0"/>
          <c:showVal val="0"/>
          <c:showCatName val="0"/>
          <c:showSerName val="0"/>
          <c:showPercent val="0"/>
          <c:showBubbleSize val="0"/>
        </c:dLbls>
        <c:gapWidth val="23"/>
        <c:axId val="308819704"/>
        <c:axId val="308820096"/>
      </c:barChart>
      <c:lineChart>
        <c:grouping val="standard"/>
        <c:varyColors val="0"/>
        <c:ser>
          <c:idx val="2"/>
          <c:order val="2"/>
          <c:tx>
            <c:strRef>
              <c:f>'Cob.Afil anual SFS RS'!$E$3:$E$6</c:f>
              <c:strCache>
                <c:ptCount val="4"/>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Ene.2015</c:v>
                </c:pt>
              </c:strCache>
            </c:strRef>
          </c:cat>
          <c:val>
            <c:numRef>
              <c:f>'Cob.Afil anual SFS RS'!$E$7:$E$16</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0.67982535786819842</c:v>
                </c:pt>
              </c:numCache>
            </c:numRef>
          </c:val>
          <c:smooth val="0"/>
        </c:ser>
        <c:dLbls>
          <c:showLegendKey val="0"/>
          <c:showVal val="0"/>
          <c:showCatName val="0"/>
          <c:showSerName val="0"/>
          <c:showPercent val="0"/>
          <c:showBubbleSize val="0"/>
        </c:dLbls>
        <c:marker val="1"/>
        <c:smooth val="0"/>
        <c:axId val="309397416"/>
        <c:axId val="308820488"/>
      </c:lineChart>
      <c:catAx>
        <c:axId val="308819704"/>
        <c:scaling>
          <c:orientation val="minMax"/>
        </c:scaling>
        <c:delete val="0"/>
        <c:axPos val="b"/>
        <c:numFmt formatCode="General" sourceLinked="0"/>
        <c:majorTickMark val="none"/>
        <c:minorTickMark val="none"/>
        <c:tickLblPos val="nextTo"/>
        <c:crossAx val="308820096"/>
        <c:crosses val="autoZero"/>
        <c:auto val="1"/>
        <c:lblAlgn val="ctr"/>
        <c:lblOffset val="100"/>
        <c:noMultiLvlLbl val="0"/>
      </c:catAx>
      <c:valAx>
        <c:axId val="308820096"/>
        <c:scaling>
          <c:orientation val="minMax"/>
        </c:scaling>
        <c:delete val="0"/>
        <c:axPos val="l"/>
        <c:numFmt formatCode="_(* #,##0_);_(* \(#,##0\);_(* &quot;-&quot;??_);_(@_)" sourceLinked="1"/>
        <c:majorTickMark val="none"/>
        <c:minorTickMark val="none"/>
        <c:tickLblPos val="nextTo"/>
        <c:crossAx val="308819704"/>
        <c:crosses val="autoZero"/>
        <c:crossBetween val="between"/>
        <c:dispUnits>
          <c:builtInUnit val="thousands"/>
          <c:dispUnitsLbl/>
        </c:dispUnits>
      </c:valAx>
      <c:valAx>
        <c:axId val="308820488"/>
        <c:scaling>
          <c:orientation val="minMax"/>
          <c:max val="2"/>
        </c:scaling>
        <c:delete val="0"/>
        <c:axPos val="r"/>
        <c:numFmt formatCode="0.00" sourceLinked="1"/>
        <c:majorTickMark val="out"/>
        <c:minorTickMark val="none"/>
        <c:tickLblPos val="nextTo"/>
        <c:crossAx val="309397416"/>
        <c:crosses val="max"/>
        <c:crossBetween val="between"/>
      </c:valAx>
      <c:catAx>
        <c:axId val="309397416"/>
        <c:scaling>
          <c:orientation val="minMax"/>
        </c:scaling>
        <c:delete val="1"/>
        <c:axPos val="b"/>
        <c:numFmt formatCode="General" sourceLinked="1"/>
        <c:majorTickMark val="out"/>
        <c:minorTickMark val="none"/>
        <c:tickLblPos val="nextTo"/>
        <c:crossAx val="308820488"/>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8176790903436"/>
          <c:y val="3.0760050000320827E-2"/>
        </c:manualLayout>
      </c:layout>
      <c:overlay val="0"/>
    </c:title>
    <c:autoTitleDeleted val="0"/>
    <c:plotArea>
      <c:layout>
        <c:manualLayout>
          <c:layoutTarget val="inner"/>
          <c:xMode val="edge"/>
          <c:yMode val="edge"/>
          <c:x val="5.7475285734564285E-2"/>
          <c:y val="0.13634327807915911"/>
          <c:w val="0.9077879448936963"/>
          <c:h val="0.73282671104429886"/>
        </c:manualLayout>
      </c:layout>
      <c:barChart>
        <c:barDir val="col"/>
        <c:grouping val="clustered"/>
        <c:varyColors val="0"/>
        <c:ser>
          <c:idx val="0"/>
          <c:order val="0"/>
          <c:tx>
            <c:strRef>
              <c:f>' Cob.Afil.mensual 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Cob.Afil.mensual SFS RS '!$A$4:$A$42</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Cob.Afil.mensual SFS RS '!$B$4:$B$42</c:f>
              <c:numCache>
                <c:formatCode>_(* #,##0_);_(* \(#,##0\);_(* "-"??_);_(@_)</c:formatCode>
                <c:ptCount val="13"/>
                <c:pt idx="0">
                  <c:v>1568225</c:v>
                </c:pt>
                <c:pt idx="1">
                  <c:v>1556255</c:v>
                </c:pt>
                <c:pt idx="2">
                  <c:v>1565351</c:v>
                </c:pt>
                <c:pt idx="3">
                  <c:v>1559939</c:v>
                </c:pt>
                <c:pt idx="4">
                  <c:v>1555584</c:v>
                </c:pt>
                <c:pt idx="5">
                  <c:v>1550134</c:v>
                </c:pt>
                <c:pt idx="6">
                  <c:v>1545541</c:v>
                </c:pt>
                <c:pt idx="7">
                  <c:v>1539520</c:v>
                </c:pt>
                <c:pt idx="8">
                  <c:v>1534933</c:v>
                </c:pt>
                <c:pt idx="9">
                  <c:v>1538413</c:v>
                </c:pt>
                <c:pt idx="10">
                  <c:v>1636967</c:v>
                </c:pt>
                <c:pt idx="11">
                  <c:v>1795214</c:v>
                </c:pt>
                <c:pt idx="12">
                  <c:v>1795214</c:v>
                </c:pt>
              </c:numCache>
            </c:numRef>
          </c:val>
        </c:ser>
        <c:ser>
          <c:idx val="1"/>
          <c:order val="1"/>
          <c:tx>
            <c:strRef>
              <c:f>' Cob.Afil.mensual 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Cob.Afil.mensual SFS RS '!$A$4:$A$42</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Cob.Afil.mensual SFS RS '!$C$4:$C$42</c:f>
              <c:numCache>
                <c:formatCode>_(* #,##0_);_(* \(#,##0\);_(* "-"??_);_(@_)</c:formatCode>
                <c:ptCount val="13"/>
                <c:pt idx="0">
                  <c:v>1183528</c:v>
                </c:pt>
                <c:pt idx="1">
                  <c:v>1185229</c:v>
                </c:pt>
                <c:pt idx="2">
                  <c:v>1186190</c:v>
                </c:pt>
                <c:pt idx="3">
                  <c:v>1185744</c:v>
                </c:pt>
                <c:pt idx="4">
                  <c:v>1195316</c:v>
                </c:pt>
                <c:pt idx="5">
                  <c:v>1208033</c:v>
                </c:pt>
                <c:pt idx="6">
                  <c:v>1209278</c:v>
                </c:pt>
                <c:pt idx="7">
                  <c:v>1211525</c:v>
                </c:pt>
                <c:pt idx="8">
                  <c:v>1213460</c:v>
                </c:pt>
                <c:pt idx="9">
                  <c:v>1213532</c:v>
                </c:pt>
                <c:pt idx="10">
                  <c:v>1211292</c:v>
                </c:pt>
                <c:pt idx="11">
                  <c:v>1220432</c:v>
                </c:pt>
                <c:pt idx="12">
                  <c:v>1220432</c:v>
                </c:pt>
              </c:numCache>
            </c:numRef>
          </c:val>
        </c:ser>
        <c:dLbls>
          <c:showLegendKey val="0"/>
          <c:showVal val="0"/>
          <c:showCatName val="0"/>
          <c:showSerName val="0"/>
          <c:showPercent val="0"/>
          <c:showBubbleSize val="0"/>
        </c:dLbls>
        <c:gapWidth val="49"/>
        <c:overlap val="51"/>
        <c:axId val="309398200"/>
        <c:axId val="309398592"/>
      </c:barChart>
      <c:lineChart>
        <c:grouping val="standard"/>
        <c:varyColors val="0"/>
        <c:ser>
          <c:idx val="2"/>
          <c:order val="2"/>
          <c:tx>
            <c:strRef>
              <c:f>' Cob.Afil.mensual SFS RS '!$E$3</c:f>
              <c:strCache>
                <c:ptCount val="1"/>
                <c:pt idx="0">
                  <c:v>Indice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Cob.Afil.mensual SFS RS '!$A$4:$A$42</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Cob.Afil.mensual SFS RS '!$E$4:$E$42</c:f>
              <c:numCache>
                <c:formatCode>0.00</c:formatCode>
                <c:ptCount val="13"/>
                <c:pt idx="0">
                  <c:v>0.75469272585247649</c:v>
                </c:pt>
                <c:pt idx="1">
                  <c:v>0.76159048484984793</c:v>
                </c:pt>
                <c:pt idx="2">
                  <c:v>0.75777892625998899</c:v>
                </c:pt>
                <c:pt idx="3">
                  <c:v>0.76012203041272763</c:v>
                </c:pt>
                <c:pt idx="4">
                  <c:v>0.76840337776680656</c:v>
                </c:pt>
                <c:pt idx="5">
                  <c:v>0.77930875653330611</c:v>
                </c:pt>
                <c:pt idx="6">
                  <c:v>0.78243022993243139</c:v>
                </c:pt>
                <c:pt idx="7">
                  <c:v>0.78694982851797968</c:v>
                </c:pt>
                <c:pt idx="8">
                  <c:v>0.79056219391986493</c:v>
                </c:pt>
                <c:pt idx="9">
                  <c:v>0.78882068729268406</c:v>
                </c:pt>
                <c:pt idx="10">
                  <c:v>0.73996115987677213</c:v>
                </c:pt>
                <c:pt idx="11">
                  <c:v>0.67982535786819842</c:v>
                </c:pt>
                <c:pt idx="12">
                  <c:v>0.67982535786819842</c:v>
                </c:pt>
              </c:numCache>
            </c:numRef>
          </c:val>
          <c:smooth val="1"/>
        </c:ser>
        <c:dLbls>
          <c:showLegendKey val="0"/>
          <c:showVal val="0"/>
          <c:showCatName val="0"/>
          <c:showSerName val="0"/>
          <c:showPercent val="0"/>
          <c:showBubbleSize val="0"/>
        </c:dLbls>
        <c:marker val="1"/>
        <c:smooth val="0"/>
        <c:axId val="309399376"/>
        <c:axId val="309398984"/>
      </c:lineChart>
      <c:catAx>
        <c:axId val="309398200"/>
        <c:scaling>
          <c:orientation val="minMax"/>
        </c:scaling>
        <c:delete val="0"/>
        <c:axPos val="b"/>
        <c:numFmt formatCode="General" sourceLinked="0"/>
        <c:majorTickMark val="none"/>
        <c:minorTickMark val="none"/>
        <c:tickLblPos val="nextTo"/>
        <c:txPr>
          <a:bodyPr/>
          <a:lstStyle/>
          <a:p>
            <a:pPr>
              <a:defRPr sz="1200"/>
            </a:pPr>
            <a:endParaRPr lang="es-ES"/>
          </a:p>
        </c:txPr>
        <c:crossAx val="309398592"/>
        <c:crosses val="autoZero"/>
        <c:auto val="1"/>
        <c:lblAlgn val="ctr"/>
        <c:lblOffset val="100"/>
        <c:noMultiLvlLbl val="0"/>
      </c:catAx>
      <c:valAx>
        <c:axId val="309398592"/>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309398200"/>
        <c:crosses val="autoZero"/>
        <c:crossBetween val="between"/>
        <c:dispUnits>
          <c:builtInUnit val="thousands"/>
          <c:dispUnitsLbl>
            <c:layout>
              <c:manualLayout>
                <c:xMode val="edge"/>
                <c:yMode val="edge"/>
                <c:x val="7.6940224595644403E-3"/>
                <c:y val="0.42105048031950798"/>
              </c:manualLayout>
            </c:layout>
            <c:txPr>
              <a:bodyPr/>
              <a:lstStyle/>
              <a:p>
                <a:pPr>
                  <a:defRPr sz="1400" b="0"/>
                </a:pPr>
                <a:endParaRPr lang="es-ES"/>
              </a:p>
            </c:txPr>
          </c:dispUnitsLbl>
        </c:dispUnits>
      </c:valAx>
      <c:valAx>
        <c:axId val="309398984"/>
        <c:scaling>
          <c:orientation val="minMax"/>
          <c:max val="2"/>
        </c:scaling>
        <c:delete val="0"/>
        <c:axPos val="r"/>
        <c:numFmt formatCode="0.00" sourceLinked="1"/>
        <c:majorTickMark val="out"/>
        <c:minorTickMark val="none"/>
        <c:tickLblPos val="nextTo"/>
        <c:crossAx val="309399376"/>
        <c:crosses val="max"/>
        <c:crossBetween val="between"/>
      </c:valAx>
      <c:catAx>
        <c:axId val="309399376"/>
        <c:scaling>
          <c:orientation val="minMax"/>
        </c:scaling>
        <c:delete val="1"/>
        <c:axPos val="b"/>
        <c:numFmt formatCode="General" sourceLinked="1"/>
        <c:majorTickMark val="out"/>
        <c:minorTickMark val="none"/>
        <c:tickLblPos val="nextTo"/>
        <c:crossAx val="309398984"/>
        <c:crosses val="autoZero"/>
        <c:auto val="1"/>
        <c:lblAlgn val="ctr"/>
        <c:lblOffset val="100"/>
        <c:noMultiLvlLbl val="0"/>
      </c:catAx>
    </c:plotArea>
    <c:legend>
      <c:legendPos val="t"/>
      <c:layout>
        <c:manualLayout>
          <c:xMode val="edge"/>
          <c:yMode val="edge"/>
          <c:x val="0.19435338374210734"/>
          <c:y val="0.10012959596321307"/>
          <c:w val="0.60730728677404422"/>
          <c:h val="4.753569995170941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92992310647745"/>
          <c:y val="1.6666666666666666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7672437965000158"/>
          <c:h val="0.6066133858267716"/>
        </c:manualLayout>
      </c:layout>
      <c:bar3DChart>
        <c:barDir val="col"/>
        <c:grouping val="stacked"/>
        <c:varyColors val="0"/>
        <c:ser>
          <c:idx val="0"/>
          <c:order val="0"/>
          <c:tx>
            <c:strRef>
              <c:f>'Afil. SFS RC X sexo x tipo'!$A$5</c:f>
              <c:strCache>
                <c:ptCount val="1"/>
                <c:pt idx="0">
                  <c:v>Feb-12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tipo'!$B$5:$D$5,'Afil. SFS RC X sexo x tipo'!$F$5:$H$5)</c:f>
            </c:numRef>
          </c:val>
          <c:shape val="box"/>
        </c:ser>
        <c:ser>
          <c:idx val="1"/>
          <c:order val="1"/>
          <c:tx>
            <c:strRef>
              <c:f>'Afil. SFS RC X sexo x tipo'!$A$6</c:f>
              <c:strCache>
                <c:ptCount val="1"/>
                <c:pt idx="0">
                  <c:v>Mar-12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tipo'!$B$6:$D$6,'Afil. SFS RC X sexo x tipo'!$F$6:$H$6)</c:f>
            </c:numRef>
          </c:val>
          <c:shape val="box"/>
        </c:ser>
        <c:ser>
          <c:idx val="2"/>
          <c:order val="2"/>
          <c:tx>
            <c:strRef>
              <c:f>'Afil. SFS RC X sexo x tipo'!$A$7</c:f>
              <c:strCache>
                <c:ptCount val="1"/>
                <c:pt idx="0">
                  <c:v>Apr-12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tipo'!$B$7:$D$7,'Afil. SFS RC X sexo x tipo'!$F$7:$H$7)</c:f>
            </c:numRef>
          </c:val>
          <c:shape val="box"/>
        </c:ser>
        <c:ser>
          <c:idx val="3"/>
          <c:order val="3"/>
          <c:tx>
            <c:strRef>
              <c:f>'Afil. SFS RC X sexo x tipo'!$A$8</c:f>
              <c:strCache>
                <c:ptCount val="1"/>
                <c:pt idx="0">
                  <c:v>May-12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tipo'!$B$8:$D$8,'Afil. SFS RC X sexo x tipo'!$F$8:$H$8)</c:f>
            </c:numRef>
          </c:val>
          <c:shape val="box"/>
        </c:ser>
        <c:ser>
          <c:idx val="4"/>
          <c:order val="4"/>
          <c:tx>
            <c:strRef>
              <c:f>'Afil. SFS RC X sexo x tipo'!$A$9</c:f>
              <c:strCache>
                <c:ptCount val="1"/>
                <c:pt idx="0">
                  <c:v>Jun-12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tipo'!$B$9:$D$9,'Afil. SFS RC X sexo x tipo'!$F$9:$H$9)</c:f>
            </c:numRef>
          </c:val>
          <c:shape val="box"/>
        </c:ser>
        <c:ser>
          <c:idx val="5"/>
          <c:order val="5"/>
          <c:tx>
            <c:strRef>
              <c:f>'Afil. SFS RC X sexo x tipo'!$A$10</c:f>
              <c:strCache>
                <c:ptCount val="1"/>
                <c:pt idx="0">
                  <c:v>Aug-12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tipo'!$B$10:$D$10,'Afil. SFS RC X sexo x tipo'!$F$10:$H$10)</c:f>
            </c:numRef>
          </c:val>
          <c:shape val="box"/>
        </c:ser>
        <c:ser>
          <c:idx val="6"/>
          <c:order val="6"/>
          <c:tx>
            <c:strRef>
              <c:f>'Afil. SFS RC X sexo x tipo'!$A$11</c:f>
              <c:strCache>
                <c:ptCount val="1"/>
                <c:pt idx="0">
                  <c:v>Sep-12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tipo'!$B$11:$D$11,'Afil. SFS RC X sexo x tipo'!$F$11:$H$11)</c:f>
            </c:numRef>
          </c:val>
          <c:shape val="box"/>
        </c:ser>
        <c:ser>
          <c:idx val="7"/>
          <c:order val="7"/>
          <c:tx>
            <c:strRef>
              <c:f>'Afil. SFS RC X sexo x tipo'!$A$12</c:f>
              <c:strCache>
                <c:ptCount val="1"/>
                <c:pt idx="0">
                  <c:v>Oct-12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tipo'!$B$12:$D$12,'Afil. SFS RC X sexo x tipo'!$F$12:$H$12)</c:f>
            </c:numRef>
          </c:val>
          <c:shape val="box"/>
        </c:ser>
        <c:ser>
          <c:idx val="8"/>
          <c:order val="8"/>
          <c:tx>
            <c:strRef>
              <c:f>'Afil. SFS RC X sexo x tipo'!$A$13</c:f>
              <c:strCache>
                <c:ptCount val="1"/>
                <c:pt idx="0">
                  <c:v>Nov-12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tipo'!$B$13:$D$13,'Afil. SFS RC X sexo x tipo'!$F$13:$H$13)</c:f>
            </c:numRef>
          </c:val>
          <c:shape val="box"/>
        </c:ser>
        <c:ser>
          <c:idx val="9"/>
          <c:order val="9"/>
          <c:tx>
            <c:strRef>
              <c:f>'Afil. SFS RC X sexo x tipo'!$A$14</c:f>
              <c:strCache>
                <c:ptCount val="1"/>
                <c:pt idx="0">
                  <c:v>Dec-12</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tipo'!$B$14:$D$14,'Afil. SFS RC X sexo x tipo'!$F$14:$H$14)</c:f>
            </c:numRef>
          </c:val>
          <c:shape val="box"/>
        </c:ser>
        <c:ser>
          <c:idx val="10"/>
          <c:order val="10"/>
          <c:tx>
            <c:strRef>
              <c:f>'Afil. SFS RC X sexo x tipo'!$A$15</c:f>
              <c:strCache>
                <c:ptCount val="1"/>
                <c:pt idx="0">
                  <c:v>Jan-13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tipo'!$B$15:$D$15,'Afil. SFS RC X sexo x tipo'!$F$15:$H$15)</c:f>
            </c:numRef>
          </c:val>
          <c:shape val="box"/>
        </c:ser>
        <c:ser>
          <c:idx val="11"/>
          <c:order val="11"/>
          <c:tx>
            <c:strRef>
              <c:f>'Afil. SFS RC X sexo x tipo'!$A$16</c:f>
              <c:strCache>
                <c:ptCount val="1"/>
                <c:pt idx="0">
                  <c:v>Feb-13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tipo'!$B$16:$D$16,'Afil. SFS RC X sexo x tipo'!$F$16:$H$16)</c:f>
            </c:numRef>
          </c:val>
          <c:shape val="box"/>
        </c:ser>
        <c:ser>
          <c:idx val="12"/>
          <c:order val="12"/>
          <c:tx>
            <c:strRef>
              <c:f>'Afil. SFS RC X sexo x tipo'!$A$17</c:f>
              <c:strCache>
                <c:ptCount val="1"/>
                <c:pt idx="0">
                  <c:v>Mar-13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tipo'!$B$17:$D$17,'Afil. SFS RC X sexo x tipo'!$F$17:$H$17)</c:f>
            </c:numRef>
          </c:val>
          <c:shape val="box"/>
        </c:ser>
        <c:ser>
          <c:idx val="13"/>
          <c:order val="13"/>
          <c:tx>
            <c:strRef>
              <c:f>'Afil. SFS RC X sexo x tipo'!$A$18</c:f>
              <c:strCache>
                <c:ptCount val="1"/>
                <c:pt idx="0">
                  <c:v>Apr-13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tipo'!$B$18:$D$18,'Afil. SFS RC X sexo x tipo'!$F$18:$H$18)</c:f>
            </c:numRef>
          </c:val>
          <c:shape val="box"/>
        </c:ser>
        <c:ser>
          <c:idx val="14"/>
          <c:order val="14"/>
          <c:tx>
            <c:strRef>
              <c:f>'Afil. SFS RC X sexo x tipo'!$A$19</c:f>
              <c:strCache>
                <c:ptCount val="1"/>
                <c:pt idx="0">
                  <c:v>May-13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tipo'!$B$19:$D$19,'Afil. SFS RC X sexo x tipo'!$F$19:$H$19)</c:f>
            </c:numRef>
          </c:val>
          <c:shape val="box"/>
        </c:ser>
        <c:ser>
          <c:idx val="15"/>
          <c:order val="15"/>
          <c:tx>
            <c:strRef>
              <c:f>'Afil. SFS RC X sexo x tipo'!$A$20</c:f>
              <c:strCache>
                <c:ptCount val="1"/>
                <c:pt idx="0">
                  <c:v>Jun-13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tipo'!$B$20:$D$20,'Afil. SFS RC X sexo x tipo'!$F$20:$H$20)</c:f>
            </c:numRef>
          </c:val>
          <c:shape val="box"/>
        </c:ser>
        <c:ser>
          <c:idx val="16"/>
          <c:order val="16"/>
          <c:tx>
            <c:strRef>
              <c:f>'Afil. SFS RC X sexo x tipo'!$A$21</c:f>
              <c:strCache>
                <c:ptCount val="1"/>
                <c:pt idx="0">
                  <c:v>Jul-13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tipo'!$B$21:$D$21,'Afil. SFS RC X sexo x tipo'!$F$21:$H$21)</c:f>
            </c:numRef>
          </c:val>
          <c:shape val="box"/>
        </c:ser>
        <c:ser>
          <c:idx val="17"/>
          <c:order val="17"/>
          <c:tx>
            <c:strRef>
              <c:f>'Afil. SFS RC X sexo x tipo'!$A$22</c:f>
              <c:strCache>
                <c:ptCount val="1"/>
                <c:pt idx="0">
                  <c:v>Aug-13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tipo'!$B$22:$D$22,'Afil. SFS RC X sexo x tipo'!$F$22:$H$22)</c:f>
            </c:numRef>
          </c:val>
          <c:shape val="box"/>
        </c:ser>
        <c:ser>
          <c:idx val="18"/>
          <c:order val="18"/>
          <c:tx>
            <c:strRef>
              <c:f>'Afil. SFS RC X sexo x tipo'!$A$23</c:f>
              <c:strCache>
                <c:ptCount val="1"/>
                <c:pt idx="0">
                  <c:v>Sep-13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tipo'!$B$23:$D$23,'Afil. SFS RC X sexo x tipo'!$F$23:$H$23)</c:f>
            </c:numRef>
          </c:val>
          <c:shape val="box"/>
        </c:ser>
        <c:ser>
          <c:idx val="19"/>
          <c:order val="19"/>
          <c:tx>
            <c:strRef>
              <c:f>'Afil. SFS RC X sexo x tipo'!$A$24</c:f>
              <c:strCache>
                <c:ptCount val="1"/>
                <c:pt idx="0">
                  <c:v>Oct-13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tipo'!$B$24:$D$24,'Afil. SFS RC X sexo x tipo'!$F$24:$H$24)</c:f>
            </c:numRef>
          </c:val>
          <c:shape val="box"/>
        </c:ser>
        <c:ser>
          <c:idx val="20"/>
          <c:order val="20"/>
          <c:tx>
            <c:strRef>
              <c:f>'Afil. SFS RC X sexo x tipo'!$A$25</c:f>
              <c:strCache>
                <c:ptCount val="1"/>
                <c:pt idx="0">
                  <c:v>Nov-13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tipo'!$B$25:$D$25,'Afil. SFS RC X sexo x tipo'!$F$25:$H$25)</c:f>
            </c:numRef>
          </c:val>
          <c:shape val="box"/>
        </c:ser>
        <c:ser>
          <c:idx val="21"/>
          <c:order val="21"/>
          <c:tx>
            <c:strRef>
              <c:f>'Afil. SFS RC X sexo x tipo'!$A$26</c:f>
              <c:strCache>
                <c:ptCount val="1"/>
                <c:pt idx="0">
                  <c:v>Dec-13</c:v>
                </c:pt>
              </c:strCache>
            </c:strRef>
          </c:tx>
          <c:invertIfNegative val="0"/>
          <c:cat>
            <c:multiLvlStrRef>
              <c:f>('Afil. SFS RC X sexo x tipo'!$B$3:$D$4,'Afil. SFS RC X sexo x 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('Afil. SFS RC X sexo x tipo'!$B$26:$D$26,'Afil. SFS RC X sexo x tipo'!$F$26:$H$26)</c:f>
            </c:numRef>
          </c:val>
          <c:shape val="box"/>
        </c:ser>
        <c:ser>
          <c:idx val="22"/>
          <c:order val="22"/>
          <c:tx>
            <c:strRef>
              <c:f>'Afil. SFS RS X sexo x tipo '!$A$27</c:f>
              <c:strCache>
                <c:ptCount val="1"/>
                <c:pt idx="0">
                  <c:v>Dic.07</c:v>
                </c:pt>
              </c:strCache>
            </c:strRef>
          </c:tx>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'!$B$27:$C$27,'Afil. SFS RS X sexo x tipo '!$E$27:$F$27)</c:f>
              <c:numCache>
                <c:formatCode>#,##0</c:formatCode>
                <c:ptCount val="4"/>
                <c:pt idx="0">
                  <c:v>169757</c:v>
                </c:pt>
                <c:pt idx="1">
                  <c:v>310064</c:v>
                </c:pt>
                <c:pt idx="2">
                  <c:v>303890</c:v>
                </c:pt>
                <c:pt idx="3">
                  <c:v>298225</c:v>
                </c:pt>
              </c:numCache>
            </c:numRef>
          </c:val>
        </c:ser>
        <c:ser>
          <c:idx val="23"/>
          <c:order val="23"/>
          <c:tx>
            <c:strRef>
              <c:f>'Afil. SFS RS X sexo x tipo '!$A$28</c:f>
              <c:strCache>
                <c:ptCount val="1"/>
                <c:pt idx="0">
                  <c:v>Dic.08</c:v>
                </c:pt>
              </c:strCache>
            </c:strRef>
          </c:tx>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'!$B$28:$C$28,'Afil. SFS RS X sexo x tipo '!$E$28:$F$28)</c:f>
              <c:numCache>
                <c:formatCode>#,##0</c:formatCode>
                <c:ptCount val="4"/>
                <c:pt idx="0">
                  <c:v>169198</c:v>
                </c:pt>
                <c:pt idx="1">
                  <c:v>376240</c:v>
                </c:pt>
                <c:pt idx="2">
                  <c:v>320751</c:v>
                </c:pt>
                <c:pt idx="3">
                  <c:v>358454</c:v>
                </c:pt>
              </c:numCache>
            </c:numRef>
          </c:val>
        </c:ser>
        <c:ser>
          <c:idx val="24"/>
          <c:order val="24"/>
          <c:tx>
            <c:strRef>
              <c:f>'Afil. SFS RS X sexo x tipo '!$A$29</c:f>
              <c:strCache>
                <c:ptCount val="1"/>
                <c:pt idx="0">
                  <c:v>Dic.09</c:v>
                </c:pt>
              </c:strCache>
            </c:strRef>
          </c:tx>
          <c:spPr>
            <a:solidFill>
              <a:srgbClr val="FFFF00"/>
            </a:solidFill>
          </c:spPr>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'!$B$29:$C$29,'Afil. SFS RS X sexo x tipo '!$E$29:$F$29)</c:f>
              <c:numCache>
                <c:formatCode>#,##0</c:formatCode>
                <c:ptCount val="4"/>
                <c:pt idx="0">
                  <c:v>213701</c:v>
                </c:pt>
                <c:pt idx="1">
                  <c:v>401930</c:v>
                </c:pt>
                <c:pt idx="2">
                  <c:v>408348</c:v>
                </c:pt>
                <c:pt idx="3">
                  <c:v>380246</c:v>
                </c:pt>
              </c:numCache>
            </c:numRef>
          </c:val>
        </c:ser>
        <c:ser>
          <c:idx val="25"/>
          <c:order val="25"/>
          <c:tx>
            <c:strRef>
              <c:f>'Afil. SFS RS X sexo x tipo '!$A$30</c:f>
              <c:strCache>
                <c:ptCount val="1"/>
                <c:pt idx="0">
                  <c:v>Dic.10</c:v>
                </c:pt>
              </c:strCache>
            </c:strRef>
          </c:tx>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'!$B$30:$C$30,'Afil. SFS RS X sexo x tipo '!$E$30:$F$30)</c:f>
              <c:numCache>
                <c:formatCode>#,##0</c:formatCode>
                <c:ptCount val="4"/>
                <c:pt idx="0">
                  <c:v>328922</c:v>
                </c:pt>
                <c:pt idx="1">
                  <c:v>575714</c:v>
                </c:pt>
                <c:pt idx="2">
                  <c:v>574328</c:v>
                </c:pt>
                <c:pt idx="3">
                  <c:v>534822</c:v>
                </c:pt>
              </c:numCache>
            </c:numRef>
          </c:val>
        </c:ser>
        <c:ser>
          <c:idx val="26"/>
          <c:order val="26"/>
          <c:tx>
            <c:strRef>
              <c:f>'Afil. SFS RS X sexo x tipo '!$A$31</c:f>
              <c:strCache>
                <c:ptCount val="1"/>
                <c:pt idx="0">
                  <c:v>Dic.11</c:v>
                </c:pt>
              </c:strCache>
            </c:strRef>
          </c:tx>
          <c:spPr>
            <a:solidFill>
              <a:srgbClr val="92D050"/>
            </a:solidFill>
          </c:spPr>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'!$B$31:$C$31,'Afil. SFS RS X sexo x tipo '!$E$31:$F$31)</c:f>
              <c:numCache>
                <c:formatCode>#,##0</c:formatCode>
                <c:ptCount val="4"/>
                <c:pt idx="0">
                  <c:v>319816</c:v>
                </c:pt>
                <c:pt idx="1">
                  <c:v>579358</c:v>
                </c:pt>
                <c:pt idx="2">
                  <c:v>563959</c:v>
                </c:pt>
                <c:pt idx="3">
                  <c:v>540294</c:v>
                </c:pt>
              </c:numCache>
            </c:numRef>
          </c:val>
        </c:ser>
        <c:ser>
          <c:idx val="27"/>
          <c:order val="27"/>
          <c:tx>
            <c:strRef>
              <c:f>'Afil. SFS RS X sexo x tipo '!$A$32</c:f>
              <c:strCache>
                <c:ptCount val="1"/>
                <c:pt idx="0">
                  <c:v>Dic.12</c:v>
                </c:pt>
              </c:strCache>
            </c:strRef>
          </c:tx>
          <c:spPr>
            <a:solidFill>
              <a:srgbClr val="7030A0"/>
            </a:solidFill>
          </c:spPr>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'!$B$32:$C$32,'Afil. SFS RS X sexo x tipo '!$E$32:$F$32)</c:f>
              <c:numCache>
                <c:formatCode>#,##0</c:formatCode>
                <c:ptCount val="4"/>
                <c:pt idx="0">
                  <c:v>446880</c:v>
                </c:pt>
                <c:pt idx="1">
                  <c:v>584446</c:v>
                </c:pt>
                <c:pt idx="2">
                  <c:v>731160</c:v>
                </c:pt>
                <c:pt idx="3">
                  <c:v>540865</c:v>
                </c:pt>
              </c:numCache>
            </c:numRef>
          </c:val>
        </c:ser>
        <c:ser>
          <c:idx val="28"/>
          <c:order val="28"/>
          <c:tx>
            <c:strRef>
              <c:f>'Afil. SFS RS X sexo x tipo '!$A$33</c:f>
              <c:strCache>
                <c:ptCount val="1"/>
                <c:pt idx="0">
                  <c:v>Dic.13</c:v>
                </c:pt>
              </c:strCache>
            </c:strRef>
          </c:tx>
          <c:spPr>
            <a:solidFill>
              <a:schemeClr val="bg2">
                <a:lumMod val="50000"/>
              </a:schemeClr>
            </a:solidFill>
          </c:spPr>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'!$B$33:$C$33,'Afil. SFS RS X sexo x tipo '!$E$33:$F$33)</c:f>
              <c:numCache>
                <c:formatCode>#,##0</c:formatCode>
                <c:ptCount val="4"/>
                <c:pt idx="0">
                  <c:v>625451</c:v>
                </c:pt>
                <c:pt idx="1">
                  <c:v>617980</c:v>
                </c:pt>
                <c:pt idx="2">
                  <c:v>942774</c:v>
                </c:pt>
                <c:pt idx="3">
                  <c:v>565548</c:v>
                </c:pt>
              </c:numCache>
            </c:numRef>
          </c:val>
        </c:ser>
        <c:ser>
          <c:idx val="29"/>
          <c:order val="29"/>
          <c:tx>
            <c:strRef>
              <c:f>'Afil. SFS RS X sexo x tipo '!$A$34</c:f>
              <c:strCache>
                <c:ptCount val="1"/>
                <c:pt idx="0">
                  <c:v>Dic.14</c:v>
                </c:pt>
              </c:strCache>
            </c:strRef>
          </c:tx>
          <c:spPr>
            <a:solidFill>
              <a:srgbClr val="FF6600"/>
            </a:solidFill>
          </c:spPr>
          <c:invertIfNegative val="0"/>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'!$B$34:$C$34,'Afil. SFS RS X sexo x tipo '!$E$34:$F$34)</c:f>
              <c:numCache>
                <c:formatCode>#,##0</c:formatCode>
                <c:ptCount val="4"/>
                <c:pt idx="0">
                  <c:v>760801</c:v>
                </c:pt>
                <c:pt idx="1">
                  <c:v>639717</c:v>
                </c:pt>
                <c:pt idx="2">
                  <c:v>1034413</c:v>
                </c:pt>
                <c:pt idx="3">
                  <c:v>580715</c:v>
                </c:pt>
              </c:numCache>
            </c:numRef>
          </c:val>
        </c:ser>
        <c:ser>
          <c:idx val="30"/>
          <c:order val="30"/>
          <c:tx>
            <c:strRef>
              <c:f>'Afil. SFS RS X sexo x tipo '!$A$35</c:f>
              <c:strCache>
                <c:ptCount val="1"/>
                <c:pt idx="0">
                  <c:v>Ene.15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148149003596863E-4"/>
                  <c:y val="7.799081364829426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459483866127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('Afil. SFS RS X sexo x tipo '!$B$3:$C$4,'Afil. SFS RS X sexo 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('Afil. SFS RS X sexo x tipo '!$B$35:$C$35,'Afil. SFS RS X sexo x tipo '!$E$35:$F$35)</c:f>
              <c:numCache>
                <c:formatCode>#,##0</c:formatCode>
                <c:ptCount val="4"/>
                <c:pt idx="0">
                  <c:v>756929</c:v>
                </c:pt>
                <c:pt idx="1">
                  <c:v>636801</c:v>
                </c:pt>
                <c:pt idx="2">
                  <c:v>1029188</c:v>
                </c:pt>
                <c:pt idx="3">
                  <c:v>578063</c:v>
                </c:pt>
              </c:numCache>
            </c:numRef>
          </c:val>
        </c:ser>
        <c:dLbls>
          <c:showLegendKey val="0"/>
          <c:showVal val="0"/>
          <c:showCatName val="0"/>
          <c:showSerName val="0"/>
          <c:showPercent val="0"/>
          <c:showBubbleSize val="0"/>
        </c:dLbls>
        <c:gapWidth val="75"/>
        <c:shape val="cylinder"/>
        <c:axId val="309400160"/>
        <c:axId val="309400552"/>
        <c:axId val="0"/>
      </c:bar3DChart>
      <c:catAx>
        <c:axId val="309400160"/>
        <c:scaling>
          <c:orientation val="minMax"/>
        </c:scaling>
        <c:delete val="0"/>
        <c:axPos val="b"/>
        <c:numFmt formatCode="General" sourceLinked="0"/>
        <c:majorTickMark val="none"/>
        <c:minorTickMark val="none"/>
        <c:tickLblPos val="nextTo"/>
        <c:txPr>
          <a:bodyPr/>
          <a:lstStyle/>
          <a:p>
            <a:pPr>
              <a:defRPr sz="1600" b="1"/>
            </a:pPr>
            <a:endParaRPr lang="es-ES"/>
          </a:p>
        </c:txPr>
        <c:crossAx val="309400552"/>
        <c:crosses val="autoZero"/>
        <c:auto val="1"/>
        <c:lblAlgn val="ctr"/>
        <c:lblOffset val="100"/>
        <c:noMultiLvlLbl val="0"/>
      </c:catAx>
      <c:valAx>
        <c:axId val="309400552"/>
        <c:scaling>
          <c:orientation val="minMax"/>
        </c:scaling>
        <c:delete val="1"/>
        <c:axPos val="l"/>
        <c:numFmt formatCode="#,##0" sourceLinked="1"/>
        <c:majorTickMark val="none"/>
        <c:minorTickMark val="none"/>
        <c:tickLblPos val="nextTo"/>
        <c:crossAx val="309400160"/>
        <c:crosses val="autoZero"/>
        <c:crossBetween val="between"/>
      </c:valAx>
    </c:plotArea>
    <c:legend>
      <c:legendPos val="t"/>
      <c:layout>
        <c:manualLayout>
          <c:xMode val="edge"/>
          <c:yMode val="edge"/>
          <c:x val="0.15884301586722091"/>
          <c:y val="6.8255249343832022E-2"/>
          <c:w val="0.66756844755353129"/>
          <c:h val="3.819829396325459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889468660939403"/>
          <c:y val="1.984764353724390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'Empr x No. de empl'!$B$5:$B$13</c:f>
              <c:numCache>
                <c:formatCode>#,##0</c:formatCode>
                <c:ptCount val="9"/>
                <c:pt idx="0">
                  <c:v>38487</c:v>
                </c:pt>
                <c:pt idx="1">
                  <c:v>11657</c:v>
                </c:pt>
                <c:pt idx="2">
                  <c:v>7324</c:v>
                </c:pt>
                <c:pt idx="3">
                  <c:v>4920</c:v>
                </c:pt>
                <c:pt idx="4">
                  <c:v>1596</c:v>
                </c:pt>
                <c:pt idx="5">
                  <c:v>1480</c:v>
                </c:pt>
                <c:pt idx="6">
                  <c:v>220</c:v>
                </c:pt>
                <c:pt idx="7">
                  <c:v>190</c:v>
                </c:pt>
                <c:pt idx="8">
                  <c:v>3</c:v>
                </c:pt>
              </c:numCache>
            </c:numRef>
          </c:val>
        </c:ser>
        <c:ser>
          <c:idx val="1"/>
          <c:order val="1"/>
          <c:tx>
            <c:strRef>
              <c:f>'Empr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'Empr x No. de empl'!$C$5:$C$13</c:f>
            </c:numRef>
          </c:val>
        </c:ser>
        <c:ser>
          <c:idx val="3"/>
          <c:order val="3"/>
          <c:tx>
            <c:strRef>
              <c:f>'Empr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'Empr x No. de empl'!$E$5:$E$13</c:f>
              <c:numCache>
                <c:formatCode>#,##0</c:formatCode>
                <c:ptCount val="9"/>
                <c:pt idx="0">
                  <c:v>98303</c:v>
                </c:pt>
                <c:pt idx="1">
                  <c:v>88485</c:v>
                </c:pt>
                <c:pt idx="2">
                  <c:v>106206</c:v>
                </c:pt>
                <c:pt idx="3">
                  <c:v>153507</c:v>
                </c:pt>
                <c:pt idx="4">
                  <c:v>111436</c:v>
                </c:pt>
                <c:pt idx="5">
                  <c:v>302040</c:v>
                </c:pt>
                <c:pt idx="6">
                  <c:v>153139</c:v>
                </c:pt>
                <c:pt idx="7">
                  <c:v>412297</c:v>
                </c:pt>
                <c:pt idx="8">
                  <c:v>229071</c:v>
                </c:pt>
              </c:numCache>
            </c:numRef>
          </c:val>
        </c:ser>
        <c:ser>
          <c:idx val="4"/>
          <c:order val="4"/>
          <c:tx>
            <c:strRef>
              <c:f>'Empr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'Empr x No. de empl'!$F$5:$F$13</c:f>
            </c:numRef>
          </c:val>
        </c:ser>
        <c:dLbls>
          <c:showLegendKey val="0"/>
          <c:showVal val="0"/>
          <c:showCatName val="0"/>
          <c:showSerName val="0"/>
          <c:showPercent val="0"/>
          <c:showBubbleSize val="0"/>
        </c:dLbls>
        <c:gapWidth val="60"/>
        <c:overlap val="-7"/>
        <c:axId val="300394648"/>
        <c:axId val="300395040"/>
      </c:barChart>
      <c:lineChart>
        <c:grouping val="standard"/>
        <c:varyColors val="0"/>
        <c:ser>
          <c:idx val="2"/>
          <c:order val="2"/>
          <c:tx>
            <c:strRef>
              <c:f>'Empr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'Empr x No. de empl'!$D$5:$D$13</c:f>
              <c:numCache>
                <c:formatCode>0.00%</c:formatCode>
                <c:ptCount val="9"/>
                <c:pt idx="0">
                  <c:v>0.58422514686461136</c:v>
                </c:pt>
                <c:pt idx="1">
                  <c:v>0.17695098441034049</c:v>
                </c:pt>
                <c:pt idx="2">
                  <c:v>0.11117689026519119</c:v>
                </c:pt>
                <c:pt idx="3">
                  <c:v>7.4684639555535309E-2</c:v>
                </c:pt>
                <c:pt idx="4">
                  <c:v>2.4226968441185846E-2</c:v>
                </c:pt>
                <c:pt idx="5">
                  <c:v>2.2466111085811435E-2</c:v>
                </c:pt>
                <c:pt idx="6">
                  <c:v>3.3395570532962944E-3</c:v>
                </c:pt>
                <c:pt idx="7">
                  <c:v>2.8841629096649818E-3</c:v>
                </c:pt>
                <c:pt idx="8">
                  <c:v>4.553941436313129E-5</c:v>
                </c:pt>
              </c:numCache>
            </c:numRef>
          </c:val>
          <c:smooth val="0"/>
        </c:ser>
        <c:dLbls>
          <c:showLegendKey val="0"/>
          <c:showVal val="0"/>
          <c:showCatName val="0"/>
          <c:showSerName val="0"/>
          <c:showPercent val="0"/>
          <c:showBubbleSize val="0"/>
        </c:dLbls>
        <c:marker val="1"/>
        <c:smooth val="0"/>
        <c:axId val="300395824"/>
        <c:axId val="300395432"/>
      </c:lineChart>
      <c:catAx>
        <c:axId val="30039464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00395040"/>
        <c:crosses val="autoZero"/>
        <c:auto val="1"/>
        <c:lblAlgn val="ctr"/>
        <c:lblOffset val="100"/>
        <c:noMultiLvlLbl val="0"/>
      </c:catAx>
      <c:valAx>
        <c:axId val="300395040"/>
        <c:scaling>
          <c:orientation val="minMax"/>
        </c:scaling>
        <c:delete val="0"/>
        <c:axPos val="l"/>
        <c:numFmt formatCode="#,##0" sourceLinked="1"/>
        <c:majorTickMark val="none"/>
        <c:minorTickMark val="none"/>
        <c:tickLblPos val="nextTo"/>
        <c:crossAx val="300394648"/>
        <c:crosses val="autoZero"/>
        <c:crossBetween val="between"/>
      </c:valAx>
      <c:valAx>
        <c:axId val="300395432"/>
        <c:scaling>
          <c:orientation val="minMax"/>
        </c:scaling>
        <c:delete val="0"/>
        <c:axPos val="r"/>
        <c:numFmt formatCode="0.00%" sourceLinked="1"/>
        <c:majorTickMark val="out"/>
        <c:minorTickMark val="none"/>
        <c:tickLblPos val="nextTo"/>
        <c:txPr>
          <a:bodyPr/>
          <a:lstStyle/>
          <a:p>
            <a:pPr>
              <a:defRPr>
                <a:solidFill>
                  <a:schemeClr val="bg1"/>
                </a:solidFill>
              </a:defRPr>
            </a:pPr>
            <a:endParaRPr lang="es-ES"/>
          </a:p>
        </c:txPr>
        <c:crossAx val="300395824"/>
        <c:crosses val="max"/>
        <c:crossBetween val="between"/>
      </c:valAx>
      <c:catAx>
        <c:axId val="300395824"/>
        <c:scaling>
          <c:orientation val="minMax"/>
        </c:scaling>
        <c:delete val="1"/>
        <c:axPos val="b"/>
        <c:numFmt formatCode="General" sourceLinked="1"/>
        <c:majorTickMark val="out"/>
        <c:minorTickMark val="none"/>
        <c:tickLblPos val="nextTo"/>
        <c:crossAx val="300395432"/>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19220920024699337"/>
          <c:y val="2.3784578805185433E-2"/>
        </c:manualLayout>
      </c:layout>
      <c:overlay val="0"/>
    </c:title>
    <c:autoTitleDeleted val="0"/>
    <c:plotArea>
      <c:layout>
        <c:manualLayout>
          <c:layoutTarget val="inner"/>
          <c:xMode val="edge"/>
          <c:yMode val="edge"/>
          <c:x val="7.094184205634739E-2"/>
          <c:y val="0.14937907565757241"/>
          <c:w val="0.85403520392386933"/>
          <c:h val="0.64887745626404525"/>
        </c:manualLayout>
      </c:layout>
      <c:barChart>
        <c:barDir val="col"/>
        <c:grouping val="clustered"/>
        <c:varyColors val="0"/>
        <c:ser>
          <c:idx val="1"/>
          <c:order val="0"/>
          <c:tx>
            <c:strRef>
              <c:f>'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SFS RS Vs pob.'!$D$5:$D$16</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4133525.5060000001</c:v>
                </c:pt>
              </c:numCache>
            </c:numRef>
          </c:val>
        </c:ser>
        <c:ser>
          <c:idx val="0"/>
          <c:order val="1"/>
          <c:tx>
            <c:strRef>
              <c:f>' Afil. SFS RS Vs pob.'!$B$4</c:f>
              <c:strCache>
                <c:ptCount val="1"/>
                <c:pt idx="0">
                  <c:v>Afiliación        SFS RS</c:v>
                </c:pt>
              </c:strCache>
            </c:strRef>
          </c:tx>
          <c:spPr>
            <a:solidFill>
              <a:schemeClr val="accent3">
                <a:lumMod val="75000"/>
              </a:schemeClr>
            </a:solidFill>
          </c:spPr>
          <c:invertIfNegative val="0"/>
          <c:cat>
            <c:strRef>
              <c:f>'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SFS RS Vs pob.'!$B$5:$B$16</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3000981</c:v>
                </c:pt>
              </c:numCache>
            </c:numRef>
          </c:val>
        </c:ser>
        <c:dLbls>
          <c:showLegendKey val="0"/>
          <c:showVal val="0"/>
          <c:showCatName val="0"/>
          <c:showSerName val="0"/>
          <c:showPercent val="0"/>
          <c:showBubbleSize val="0"/>
        </c:dLbls>
        <c:gapWidth val="26"/>
        <c:overlap val="66"/>
        <c:axId val="309401336"/>
        <c:axId val="309401728"/>
      </c:barChart>
      <c:lineChart>
        <c:grouping val="standard"/>
        <c:varyColors val="0"/>
        <c:ser>
          <c:idx val="2"/>
          <c:order val="2"/>
          <c:tx>
            <c:strRef>
              <c:f>'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 Afil. SFS RS Vs pob.'!$E$5:$E$16</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0.72601003565695665</c:v>
                </c:pt>
              </c:numCache>
            </c:numRef>
          </c:val>
          <c:smooth val="0"/>
        </c:ser>
        <c:dLbls>
          <c:showLegendKey val="0"/>
          <c:showVal val="0"/>
          <c:showCatName val="0"/>
          <c:showSerName val="0"/>
          <c:showPercent val="0"/>
          <c:showBubbleSize val="0"/>
        </c:dLbls>
        <c:marker val="1"/>
        <c:smooth val="0"/>
        <c:axId val="309402512"/>
        <c:axId val="309402120"/>
      </c:lineChart>
      <c:catAx>
        <c:axId val="30940133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9401728"/>
        <c:crosses val="autoZero"/>
        <c:auto val="1"/>
        <c:lblAlgn val="ctr"/>
        <c:lblOffset val="100"/>
        <c:noMultiLvlLbl val="0"/>
      </c:catAx>
      <c:valAx>
        <c:axId val="309401728"/>
        <c:scaling>
          <c:orientation val="minMax"/>
          <c:max val="5000000"/>
        </c:scaling>
        <c:delete val="0"/>
        <c:axPos val="l"/>
        <c:numFmt formatCode="_(* #,##0_);_(* \(#,##0\);_(* &quot;-&quot;??_);_(@_)" sourceLinked="1"/>
        <c:majorTickMark val="none"/>
        <c:minorTickMark val="none"/>
        <c:tickLblPos val="nextTo"/>
        <c:crossAx val="309401336"/>
        <c:crosses val="autoZero"/>
        <c:crossBetween val="between"/>
      </c:valAx>
      <c:valAx>
        <c:axId val="309402120"/>
        <c:scaling>
          <c:orientation val="minMax"/>
          <c:max val="1.5"/>
        </c:scaling>
        <c:delete val="0"/>
        <c:axPos val="r"/>
        <c:numFmt formatCode="0.0%" sourceLinked="1"/>
        <c:majorTickMark val="out"/>
        <c:minorTickMark val="none"/>
        <c:tickLblPos val="nextTo"/>
        <c:crossAx val="309402512"/>
        <c:crosses val="max"/>
        <c:crossBetween val="between"/>
      </c:valAx>
      <c:catAx>
        <c:axId val="309402512"/>
        <c:scaling>
          <c:orientation val="minMax"/>
        </c:scaling>
        <c:delete val="1"/>
        <c:axPos val="b"/>
        <c:numFmt formatCode="General" sourceLinked="1"/>
        <c:majorTickMark val="out"/>
        <c:minorTickMark val="none"/>
        <c:tickLblPos val="nextTo"/>
        <c:crossAx val="309402120"/>
        <c:crosses val="autoZero"/>
        <c:auto val="1"/>
        <c:lblAlgn val="ctr"/>
        <c:lblOffset val="100"/>
        <c:noMultiLvlLbl val="0"/>
      </c:catAx>
    </c:plotArea>
    <c:legend>
      <c:legendPos val="t"/>
      <c:layout>
        <c:manualLayout>
          <c:xMode val="edge"/>
          <c:yMode val="edge"/>
          <c:x val="0.14519653610869285"/>
          <c:y val="7.0760618529807418E-2"/>
          <c:w val="0.65557841533123584"/>
          <c:h val="3.946813419000148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Afiliación Anual de Pensionados al SFS </a:t>
            </a:r>
          </a:p>
        </c:rich>
      </c:tx>
      <c:layout>
        <c:manualLayout>
          <c:xMode val="edge"/>
          <c:yMode val="edge"/>
          <c:x val="0.30110337922790548"/>
          <c:y val="3.4795324040750843E-2"/>
        </c:manualLayout>
      </c:layout>
      <c:overlay val="0"/>
    </c:title>
    <c:autoTitleDeleted val="0"/>
    <c:plotArea>
      <c:layout>
        <c:manualLayout>
          <c:layoutTarget val="inner"/>
          <c:xMode val="edge"/>
          <c:yMode val="edge"/>
          <c:x val="6.0394917385254432E-2"/>
          <c:y val="0.15780716658427729"/>
          <c:w val="0.86758664393333884"/>
          <c:h val="0.69055625942047194"/>
        </c:manualLayout>
      </c:layout>
      <c:barChart>
        <c:barDir val="col"/>
        <c:grouping val="clustered"/>
        <c:varyColors val="0"/>
        <c:ser>
          <c:idx val="0"/>
          <c:order val="0"/>
          <c:tx>
            <c:strRef>
              <c:f>Afil.RET.Anual.!$B$3</c:f>
              <c:strCache>
                <c:ptCount val="1"/>
                <c:pt idx="0">
                  <c:v>Afiliación Total</c:v>
                </c:pt>
              </c:strCache>
            </c:strRef>
          </c:tx>
          <c:invertIfNegative val="0"/>
          <c:cat>
            <c:strRef>
              <c:f>Afil.RET.Anual.!$A$4:$A$10</c:f>
              <c:strCache>
                <c:ptCount val="7"/>
                <c:pt idx="0">
                  <c:v>Dic. 2009</c:v>
                </c:pt>
                <c:pt idx="1">
                  <c:v>Dic. 2010</c:v>
                </c:pt>
                <c:pt idx="2">
                  <c:v>Dic. 2011</c:v>
                </c:pt>
                <c:pt idx="3">
                  <c:v>Dic. 2012</c:v>
                </c:pt>
                <c:pt idx="4">
                  <c:v>Dic. 2013</c:v>
                </c:pt>
                <c:pt idx="5">
                  <c:v>Dic. 2014</c:v>
                </c:pt>
                <c:pt idx="6">
                  <c:v>Ene.2015</c:v>
                </c:pt>
              </c:strCache>
            </c:strRef>
          </c:cat>
          <c:val>
            <c:numRef>
              <c:f>Afil.RET.Anual.!$B$4:$B$10</c:f>
              <c:numCache>
                <c:formatCode>_(* #,##0_);_(* \(#,##0\);_(* "-"??_);_(@_)</c:formatCode>
                <c:ptCount val="7"/>
                <c:pt idx="0">
                  <c:v>21982</c:v>
                </c:pt>
                <c:pt idx="1">
                  <c:v>27354</c:v>
                </c:pt>
                <c:pt idx="2">
                  <c:v>29726</c:v>
                </c:pt>
                <c:pt idx="3">
                  <c:v>34097.999999999971</c:v>
                </c:pt>
                <c:pt idx="4">
                  <c:v>37969.999999999971</c:v>
                </c:pt>
                <c:pt idx="5">
                  <c:v>41841.999999999971</c:v>
                </c:pt>
                <c:pt idx="6">
                  <c:v>45713.999999999971</c:v>
                </c:pt>
              </c:numCache>
            </c:numRef>
          </c:val>
        </c:ser>
        <c:ser>
          <c:idx val="1"/>
          <c:order val="1"/>
          <c:tx>
            <c:strRef>
              <c:f>Afil.RET.Anual.!$F$3</c:f>
              <c:strCache>
                <c:ptCount val="1"/>
                <c:pt idx="0">
                  <c:v>Población Objetivo</c:v>
                </c:pt>
              </c:strCache>
            </c:strRef>
          </c:tx>
          <c:spPr>
            <a:solidFill>
              <a:srgbClr val="00B050"/>
            </a:solidFill>
          </c:spPr>
          <c:invertIfNegative val="0"/>
          <c:cat>
            <c:strRef>
              <c:f>Afil.RET.Anual.!$A$4:$A$10</c:f>
              <c:strCache>
                <c:ptCount val="7"/>
                <c:pt idx="0">
                  <c:v>Dic. 2009</c:v>
                </c:pt>
                <c:pt idx="1">
                  <c:v>Dic. 2010</c:v>
                </c:pt>
                <c:pt idx="2">
                  <c:v>Dic. 2011</c:v>
                </c:pt>
                <c:pt idx="3">
                  <c:v>Dic. 2012</c:v>
                </c:pt>
                <c:pt idx="4">
                  <c:v>Dic. 2013</c:v>
                </c:pt>
                <c:pt idx="5">
                  <c:v>Dic. 2014</c:v>
                </c:pt>
                <c:pt idx="6">
                  <c:v>Ene.2015</c:v>
                </c:pt>
              </c:strCache>
            </c:strRef>
          </c:cat>
          <c:val>
            <c:numRef>
              <c:f>Afil.RET.Anual.!$F$4:$F$10</c:f>
            </c:numRef>
          </c:val>
        </c:ser>
        <c:dLbls>
          <c:showLegendKey val="0"/>
          <c:showVal val="0"/>
          <c:showCatName val="0"/>
          <c:showSerName val="0"/>
          <c:showPercent val="0"/>
          <c:showBubbleSize val="0"/>
        </c:dLbls>
        <c:gapWidth val="75"/>
        <c:overlap val="-25"/>
        <c:axId val="309403296"/>
        <c:axId val="309403688"/>
      </c:barChart>
      <c:lineChart>
        <c:grouping val="standard"/>
        <c:varyColors val="0"/>
        <c:ser>
          <c:idx val="2"/>
          <c:order val="2"/>
          <c:tx>
            <c:strRef>
              <c:f>Afil.RET.Anual.!$G$3</c:f>
              <c:strCache>
                <c:ptCount val="1"/>
                <c:pt idx="0">
                  <c:v>% Ejecución</c:v>
                </c:pt>
              </c:strCache>
            </c:strRef>
          </c:tx>
          <c:spPr>
            <a:ln w="38100">
              <a:solidFill>
                <a:srgbClr val="C00000"/>
              </a:solidFill>
            </a:ln>
          </c:spPr>
          <c:marker>
            <c:spPr>
              <a:solidFill>
                <a:schemeClr val="tx1"/>
              </a:solidFill>
              <a:ln w="38100" cmpd="dbl">
                <a:solidFill>
                  <a:srgbClr val="C00000"/>
                </a:solidFill>
              </a:ln>
            </c:spPr>
          </c:marker>
          <c:cat>
            <c:strRef>
              <c:f>Afil.RET.Anual.!$A$4:$A$10</c:f>
              <c:strCache>
                <c:ptCount val="7"/>
                <c:pt idx="0">
                  <c:v>Dic. 2009</c:v>
                </c:pt>
                <c:pt idx="1">
                  <c:v>Dic. 2010</c:v>
                </c:pt>
                <c:pt idx="2">
                  <c:v>Dic. 2011</c:v>
                </c:pt>
                <c:pt idx="3">
                  <c:v>Dic. 2012</c:v>
                </c:pt>
                <c:pt idx="4">
                  <c:v>Dic. 2013</c:v>
                </c:pt>
                <c:pt idx="5">
                  <c:v>Dic. 2014</c:v>
                </c:pt>
                <c:pt idx="6">
                  <c:v>Ene.2015</c:v>
                </c:pt>
              </c:strCache>
            </c:strRef>
          </c:cat>
          <c:val>
            <c:numRef>
              <c:f>Afil.RET.Anual.!$G$4:$G$10</c:f>
            </c:numRef>
          </c:val>
          <c:smooth val="0"/>
        </c:ser>
        <c:dLbls>
          <c:showLegendKey val="0"/>
          <c:showVal val="0"/>
          <c:showCatName val="0"/>
          <c:showSerName val="0"/>
          <c:showPercent val="0"/>
          <c:showBubbleSize val="0"/>
        </c:dLbls>
        <c:marker val="1"/>
        <c:smooth val="0"/>
        <c:axId val="309404472"/>
        <c:axId val="309404080"/>
      </c:lineChart>
      <c:catAx>
        <c:axId val="309403296"/>
        <c:scaling>
          <c:orientation val="minMax"/>
        </c:scaling>
        <c:delete val="0"/>
        <c:axPos val="b"/>
        <c:numFmt formatCode="General" sourceLinked="0"/>
        <c:majorTickMark val="none"/>
        <c:minorTickMark val="none"/>
        <c:tickLblPos val="nextTo"/>
        <c:crossAx val="309403688"/>
        <c:crosses val="autoZero"/>
        <c:auto val="1"/>
        <c:lblAlgn val="ctr"/>
        <c:lblOffset val="100"/>
        <c:noMultiLvlLbl val="0"/>
      </c:catAx>
      <c:valAx>
        <c:axId val="309403688"/>
        <c:scaling>
          <c:orientation val="minMax"/>
        </c:scaling>
        <c:delete val="0"/>
        <c:axPos val="l"/>
        <c:numFmt formatCode="_(* #,##0_);_(* \(#,##0\);_(* &quot;-&quot;??_);_(@_)" sourceLinked="1"/>
        <c:majorTickMark val="none"/>
        <c:minorTickMark val="none"/>
        <c:tickLblPos val="nextTo"/>
        <c:spPr>
          <a:ln w="9525">
            <a:noFill/>
          </a:ln>
        </c:spPr>
        <c:crossAx val="309403296"/>
        <c:crosses val="autoZero"/>
        <c:crossBetween val="between"/>
      </c:valAx>
      <c:valAx>
        <c:axId val="309404080"/>
        <c:scaling>
          <c:orientation val="minMax"/>
          <c:max val="1"/>
        </c:scaling>
        <c:delete val="0"/>
        <c:axPos val="r"/>
        <c:numFmt formatCode="0.0%" sourceLinked="1"/>
        <c:majorTickMark val="out"/>
        <c:minorTickMark val="none"/>
        <c:tickLblPos val="nextTo"/>
        <c:crossAx val="309404472"/>
        <c:crosses val="max"/>
        <c:crossBetween val="between"/>
      </c:valAx>
      <c:catAx>
        <c:axId val="309404472"/>
        <c:scaling>
          <c:orientation val="minMax"/>
        </c:scaling>
        <c:delete val="1"/>
        <c:axPos val="b"/>
        <c:majorTickMark val="out"/>
        <c:minorTickMark val="none"/>
        <c:tickLblPos val="nextTo"/>
        <c:crossAx val="309404080"/>
        <c:crosses val="autoZero"/>
        <c:auto val="1"/>
        <c:lblAlgn val="ctr"/>
        <c:lblOffset val="100"/>
        <c:noMultiLvlLbl val="0"/>
      </c:catAx>
    </c:plotArea>
    <c:legend>
      <c:legendPos val="b"/>
      <c:layout>
        <c:manualLayout>
          <c:xMode val="edge"/>
          <c:yMode val="edge"/>
          <c:x val="0.27458051827772895"/>
          <c:y val="0.11975129758377982"/>
          <c:w val="0.47228065951289694"/>
          <c:h val="4.801104348954798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1071258135240376"/>
          <c:y val="3.5416668741602736E-2"/>
        </c:manualLayout>
      </c:layout>
      <c:overlay val="0"/>
    </c:title>
    <c:autoTitleDeleted val="0"/>
    <c:plotArea>
      <c:layout>
        <c:manualLayout>
          <c:layoutTarget val="inner"/>
          <c:xMode val="edge"/>
          <c:yMode val="edge"/>
          <c:x val="5.6160015620857805E-3"/>
          <c:y val="0.214007418105429"/>
          <c:w val="0.96128613293357223"/>
          <c:h val="0.62403273321079222"/>
        </c:manualLayout>
      </c:layout>
      <c:barChart>
        <c:barDir val="col"/>
        <c:grouping val="clustered"/>
        <c:varyColors val="0"/>
        <c:ser>
          <c:idx val="0"/>
          <c:order val="0"/>
          <c:tx>
            <c:strRef>
              <c:f>' 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SFSP Mensual'!$A$4:$A$42</c:f>
              <c:strCache>
                <c:ptCount val="13"/>
                <c:pt idx="0">
                  <c:v>Ene.14</c:v>
                </c:pt>
                <c:pt idx="1">
                  <c:v>Feb. 14</c:v>
                </c:pt>
                <c:pt idx="2">
                  <c:v>Mar.14</c:v>
                </c:pt>
                <c:pt idx="3">
                  <c:v>Abr.14 </c:v>
                </c:pt>
                <c:pt idx="4">
                  <c:v>May.14</c:v>
                </c:pt>
                <c:pt idx="5">
                  <c:v>Jun.14</c:v>
                </c:pt>
                <c:pt idx="6">
                  <c:v>Jul.14</c:v>
                </c:pt>
                <c:pt idx="7">
                  <c:v>Ago.14</c:v>
                </c:pt>
                <c:pt idx="8">
                  <c:v>Sep.14</c:v>
                </c:pt>
                <c:pt idx="9">
                  <c:v>Oct.14</c:v>
                </c:pt>
                <c:pt idx="10">
                  <c:v>Nov.14</c:v>
                </c:pt>
                <c:pt idx="11">
                  <c:v>Dic.14</c:v>
                </c:pt>
                <c:pt idx="12">
                  <c:v>Ene.15</c:v>
                </c:pt>
              </c:strCache>
            </c:strRef>
          </c:cat>
          <c:val>
            <c:numRef>
              <c:f>' Afil. SFSP Mensual'!$B$4:$B$42</c:f>
              <c:numCache>
                <c:formatCode>_(* #,##0_);_(* \(#,##0\);_(* "-"??_);_(@_)</c:formatCode>
                <c:ptCount val="13"/>
                <c:pt idx="0">
                  <c:v>28811</c:v>
                </c:pt>
                <c:pt idx="1">
                  <c:v>29094</c:v>
                </c:pt>
                <c:pt idx="2">
                  <c:v>29266</c:v>
                </c:pt>
                <c:pt idx="3">
                  <c:v>29454</c:v>
                </c:pt>
                <c:pt idx="4">
                  <c:v>29662</c:v>
                </c:pt>
                <c:pt idx="5">
                  <c:v>29825</c:v>
                </c:pt>
                <c:pt idx="6">
                  <c:v>29976</c:v>
                </c:pt>
                <c:pt idx="7">
                  <c:v>30032</c:v>
                </c:pt>
                <c:pt idx="8">
                  <c:v>30250</c:v>
                </c:pt>
                <c:pt idx="9">
                  <c:v>30130</c:v>
                </c:pt>
                <c:pt idx="10">
                  <c:v>30169</c:v>
                </c:pt>
                <c:pt idx="11">
                  <c:v>30370</c:v>
                </c:pt>
                <c:pt idx="12">
                  <c:v>30435</c:v>
                </c:pt>
              </c:numCache>
            </c:numRef>
          </c:val>
        </c:ser>
        <c:ser>
          <c:idx val="1"/>
          <c:order val="1"/>
          <c:tx>
            <c:strRef>
              <c:f>' 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SFSP Mensual'!$A$4:$A$42</c:f>
              <c:strCache>
                <c:ptCount val="13"/>
                <c:pt idx="0">
                  <c:v>Ene.14</c:v>
                </c:pt>
                <c:pt idx="1">
                  <c:v>Feb. 14</c:v>
                </c:pt>
                <c:pt idx="2">
                  <c:v>Mar.14</c:v>
                </c:pt>
                <c:pt idx="3">
                  <c:v>Abr.14 </c:v>
                </c:pt>
                <c:pt idx="4">
                  <c:v>May.14</c:v>
                </c:pt>
                <c:pt idx="5">
                  <c:v>Jun.14</c:v>
                </c:pt>
                <c:pt idx="6">
                  <c:v>Jul.14</c:v>
                </c:pt>
                <c:pt idx="7">
                  <c:v>Ago.14</c:v>
                </c:pt>
                <c:pt idx="8">
                  <c:v>Sep.14</c:v>
                </c:pt>
                <c:pt idx="9">
                  <c:v>Oct.14</c:v>
                </c:pt>
                <c:pt idx="10">
                  <c:v>Nov.14</c:v>
                </c:pt>
                <c:pt idx="11">
                  <c:v>Dic.14</c:v>
                </c:pt>
                <c:pt idx="12">
                  <c:v>Ene.15</c:v>
                </c:pt>
              </c:strCache>
            </c:strRef>
          </c:cat>
          <c:val>
            <c:numRef>
              <c:f>' Afil. SFSP Mensual'!$C$4:$C$42</c:f>
              <c:numCache>
                <c:formatCode>_(* #,##0_);_(* \(#,##0\);_(* "-"??_);_(@_)</c:formatCode>
                <c:ptCount val="13"/>
                <c:pt idx="0">
                  <c:v>14156</c:v>
                </c:pt>
                <c:pt idx="1">
                  <c:v>14291</c:v>
                </c:pt>
                <c:pt idx="2">
                  <c:v>14375</c:v>
                </c:pt>
                <c:pt idx="3">
                  <c:v>14546</c:v>
                </c:pt>
                <c:pt idx="4">
                  <c:v>14651</c:v>
                </c:pt>
                <c:pt idx="5">
                  <c:v>14726</c:v>
                </c:pt>
                <c:pt idx="6">
                  <c:v>14810</c:v>
                </c:pt>
                <c:pt idx="7">
                  <c:v>14850</c:v>
                </c:pt>
                <c:pt idx="8">
                  <c:v>14943</c:v>
                </c:pt>
                <c:pt idx="9">
                  <c:v>14868</c:v>
                </c:pt>
                <c:pt idx="10">
                  <c:v>14899</c:v>
                </c:pt>
                <c:pt idx="11">
                  <c:v>15039</c:v>
                </c:pt>
                <c:pt idx="12">
                  <c:v>15082</c:v>
                </c:pt>
              </c:numCache>
            </c:numRef>
          </c:val>
        </c:ser>
        <c:ser>
          <c:idx val="2"/>
          <c:order val="2"/>
          <c:tx>
            <c:strRef>
              <c:f>' 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SFSP Mensual'!$A$4:$A$42</c:f>
              <c:strCache>
                <c:ptCount val="13"/>
                <c:pt idx="0">
                  <c:v>Ene.14</c:v>
                </c:pt>
                <c:pt idx="1">
                  <c:v>Feb. 14</c:v>
                </c:pt>
                <c:pt idx="2">
                  <c:v>Mar.14</c:v>
                </c:pt>
                <c:pt idx="3">
                  <c:v>Abr.14 </c:v>
                </c:pt>
                <c:pt idx="4">
                  <c:v>May.14</c:v>
                </c:pt>
                <c:pt idx="5">
                  <c:v>Jun.14</c:v>
                </c:pt>
                <c:pt idx="6">
                  <c:v>Jul.14</c:v>
                </c:pt>
                <c:pt idx="7">
                  <c:v>Ago.14</c:v>
                </c:pt>
                <c:pt idx="8">
                  <c:v>Sep.14</c:v>
                </c:pt>
                <c:pt idx="9">
                  <c:v>Oct.14</c:v>
                </c:pt>
                <c:pt idx="10">
                  <c:v>Nov.14</c:v>
                </c:pt>
                <c:pt idx="11">
                  <c:v>Dic.14</c:v>
                </c:pt>
                <c:pt idx="12">
                  <c:v>Ene.15</c:v>
                </c:pt>
              </c:strCache>
            </c:strRef>
          </c:cat>
          <c:val>
            <c:numRef>
              <c:f>' Afil. SFSP Mensual'!$D$4:$D$42</c:f>
              <c:numCache>
                <c:formatCode>_(* #,##0_);_(* \(#,##0\);_(* "-"??_);_(@_)</c:formatCode>
                <c:ptCount val="13"/>
                <c:pt idx="0">
                  <c:v>10406.000000000002</c:v>
                </c:pt>
                <c:pt idx="1">
                  <c:v>10422</c:v>
                </c:pt>
                <c:pt idx="2">
                  <c:v>10464</c:v>
                </c:pt>
                <c:pt idx="3">
                  <c:v>10460</c:v>
                </c:pt>
                <c:pt idx="4">
                  <c:v>10530</c:v>
                </c:pt>
                <c:pt idx="5">
                  <c:v>10515</c:v>
                </c:pt>
                <c:pt idx="6">
                  <c:v>10545</c:v>
                </c:pt>
                <c:pt idx="7">
                  <c:v>10543</c:v>
                </c:pt>
                <c:pt idx="8">
                  <c:v>10531</c:v>
                </c:pt>
                <c:pt idx="9">
                  <c:v>10485</c:v>
                </c:pt>
                <c:pt idx="10">
                  <c:v>10482</c:v>
                </c:pt>
                <c:pt idx="11">
                  <c:v>10509</c:v>
                </c:pt>
                <c:pt idx="12">
                  <c:v>10519</c:v>
                </c:pt>
              </c:numCache>
            </c:numRef>
          </c:val>
        </c:ser>
        <c:ser>
          <c:idx val="3"/>
          <c:order val="3"/>
          <c:tx>
            <c:strRef>
              <c:f>' 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SFSP Mensual'!$A$4:$A$42</c:f>
              <c:strCache>
                <c:ptCount val="13"/>
                <c:pt idx="0">
                  <c:v>Ene.14</c:v>
                </c:pt>
                <c:pt idx="1">
                  <c:v>Feb. 14</c:v>
                </c:pt>
                <c:pt idx="2">
                  <c:v>Mar.14</c:v>
                </c:pt>
                <c:pt idx="3">
                  <c:v>Abr.14 </c:v>
                </c:pt>
                <c:pt idx="4">
                  <c:v>May.14</c:v>
                </c:pt>
                <c:pt idx="5">
                  <c:v>Jun.14</c:v>
                </c:pt>
                <c:pt idx="6">
                  <c:v>Jul.14</c:v>
                </c:pt>
                <c:pt idx="7">
                  <c:v>Ago.14</c:v>
                </c:pt>
                <c:pt idx="8">
                  <c:v>Sep.14</c:v>
                </c:pt>
                <c:pt idx="9">
                  <c:v>Oct.14</c:v>
                </c:pt>
                <c:pt idx="10">
                  <c:v>Nov.14</c:v>
                </c:pt>
                <c:pt idx="11">
                  <c:v>Dic.14</c:v>
                </c:pt>
                <c:pt idx="12">
                  <c:v>Ene.15</c:v>
                </c:pt>
              </c:strCache>
            </c:strRef>
          </c:cat>
          <c:val>
            <c:numRef>
              <c:f>' Afil. SFSP Mensual'!$E$4:$E$42</c:f>
              <c:numCache>
                <c:formatCode>_(* #,##0_);_(* \(#,##0\);_(* "-"??_);_(@_)</c:formatCode>
                <c:ptCount val="13"/>
                <c:pt idx="0">
                  <c:v>4249</c:v>
                </c:pt>
                <c:pt idx="1">
                  <c:v>4381</c:v>
                </c:pt>
                <c:pt idx="2">
                  <c:v>4427</c:v>
                </c:pt>
                <c:pt idx="3">
                  <c:v>4448</c:v>
                </c:pt>
                <c:pt idx="4">
                  <c:v>4481</c:v>
                </c:pt>
                <c:pt idx="5">
                  <c:v>4584</c:v>
                </c:pt>
                <c:pt idx="6">
                  <c:v>4621</c:v>
                </c:pt>
                <c:pt idx="7">
                  <c:v>4639</c:v>
                </c:pt>
                <c:pt idx="8">
                  <c:v>4776</c:v>
                </c:pt>
                <c:pt idx="9">
                  <c:v>4777</c:v>
                </c:pt>
                <c:pt idx="10">
                  <c:v>4788</c:v>
                </c:pt>
                <c:pt idx="11">
                  <c:v>4822</c:v>
                </c:pt>
                <c:pt idx="12">
                  <c:v>4834</c:v>
                </c:pt>
              </c:numCache>
            </c:numRef>
          </c:val>
        </c:ser>
        <c:dLbls>
          <c:showLegendKey val="0"/>
          <c:showVal val="0"/>
          <c:showCatName val="0"/>
          <c:showSerName val="0"/>
          <c:showPercent val="0"/>
          <c:showBubbleSize val="0"/>
        </c:dLbls>
        <c:gapWidth val="35"/>
        <c:overlap val="-25"/>
        <c:axId val="309405256"/>
        <c:axId val="309405648"/>
      </c:barChart>
      <c:catAx>
        <c:axId val="309405256"/>
        <c:scaling>
          <c:orientation val="minMax"/>
        </c:scaling>
        <c:delete val="0"/>
        <c:axPos val="b"/>
        <c:numFmt formatCode="General" sourceLinked="0"/>
        <c:majorTickMark val="none"/>
        <c:minorTickMark val="none"/>
        <c:tickLblPos val="nextTo"/>
        <c:crossAx val="309405648"/>
        <c:crosses val="autoZero"/>
        <c:auto val="1"/>
        <c:lblAlgn val="ctr"/>
        <c:lblOffset val="100"/>
        <c:noMultiLvlLbl val="0"/>
      </c:catAx>
      <c:valAx>
        <c:axId val="309405648"/>
        <c:scaling>
          <c:orientation val="minMax"/>
        </c:scaling>
        <c:delete val="1"/>
        <c:axPos val="l"/>
        <c:numFmt formatCode="_(* #,##0_);_(* \(#,##0\);_(* &quot;-&quot;??_);_(@_)" sourceLinked="1"/>
        <c:majorTickMark val="none"/>
        <c:minorTickMark val="none"/>
        <c:tickLblPos val="nextTo"/>
        <c:crossAx val="30940525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97441732395631"/>
          <c:y val="2.8731654776725016E-2"/>
        </c:manualLayout>
      </c:layout>
      <c:overlay val="0"/>
    </c:title>
    <c:autoTitleDeleted val="0"/>
    <c:plotArea>
      <c:layout>
        <c:manualLayout>
          <c:layoutTarget val="inner"/>
          <c:xMode val="edge"/>
          <c:yMode val="edge"/>
          <c:x val="2.4372761232340542E-2"/>
          <c:y val="0.15174142644961919"/>
          <c:w val="0.95501837812672186"/>
          <c:h val="0.74634082927213752"/>
        </c:manualLayout>
      </c:layout>
      <c:barChart>
        <c:barDir val="col"/>
        <c:grouping val="clustered"/>
        <c:varyColors val="0"/>
        <c:ser>
          <c:idx val="0"/>
          <c:order val="0"/>
          <c:tx>
            <c:strRef>
              <c:f>' Cob.Afil. SFSP Mensual'!$B$3</c:f>
              <c:strCache>
                <c:ptCount val="1"/>
                <c:pt idx="0">
                  <c:v> Cobertura de Afiliación Salud Pensionados</c:v>
                </c:pt>
              </c:strCache>
            </c:strRef>
          </c:tx>
          <c:spPr>
            <a:solidFill>
              <a:schemeClr val="accent3">
                <a:lumMod val="75000"/>
              </a:schemeClr>
            </a:solidFill>
          </c:spPr>
          <c:invertIfNegative val="0"/>
          <c:dPt>
            <c:idx val="8"/>
            <c:invertIfNegative val="0"/>
            <c:bubble3D val="0"/>
          </c:dPt>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Cob.Afil. SFSP Mensual'!$A$4:$A$42</c:f>
              <c:strCache>
                <c:ptCount val="13"/>
                <c:pt idx="0">
                  <c:v>Ene.14</c:v>
                </c:pt>
                <c:pt idx="1">
                  <c:v>Feb. 14</c:v>
                </c:pt>
                <c:pt idx="2">
                  <c:v>Mar.14</c:v>
                </c:pt>
                <c:pt idx="3">
                  <c:v>Abr.14 </c:v>
                </c:pt>
                <c:pt idx="4">
                  <c:v>May.14</c:v>
                </c:pt>
                <c:pt idx="5">
                  <c:v>Jun.14</c:v>
                </c:pt>
                <c:pt idx="6">
                  <c:v>Jul.14</c:v>
                </c:pt>
                <c:pt idx="7">
                  <c:v>Ago.14</c:v>
                </c:pt>
                <c:pt idx="8">
                  <c:v>Sep.14</c:v>
                </c:pt>
                <c:pt idx="9">
                  <c:v>Oct.14</c:v>
                </c:pt>
                <c:pt idx="10">
                  <c:v>Nov.14</c:v>
                </c:pt>
                <c:pt idx="11">
                  <c:v>Dic.14</c:v>
                </c:pt>
                <c:pt idx="12">
                  <c:v>Ene.15</c:v>
                </c:pt>
              </c:strCache>
            </c:strRef>
          </c:cat>
          <c:val>
            <c:numRef>
              <c:f>' Cob.Afil. SFSP Mensual'!$B$4:$B$42</c:f>
              <c:numCache>
                <c:formatCode>_(* #,##0_);_(* \(#,##0\);_(* "-"_);_(@_)</c:formatCode>
                <c:ptCount val="13"/>
                <c:pt idx="0">
                  <c:v>29300</c:v>
                </c:pt>
                <c:pt idx="1">
                  <c:v>29117</c:v>
                </c:pt>
                <c:pt idx="2">
                  <c:v>29331</c:v>
                </c:pt>
                <c:pt idx="3">
                  <c:v>29492</c:v>
                </c:pt>
                <c:pt idx="4">
                  <c:v>29716</c:v>
                </c:pt>
                <c:pt idx="5">
                  <c:v>29898</c:v>
                </c:pt>
                <c:pt idx="6">
                  <c:v>30030</c:v>
                </c:pt>
                <c:pt idx="7">
                  <c:v>30087</c:v>
                </c:pt>
                <c:pt idx="8">
                  <c:v>30316</c:v>
                </c:pt>
                <c:pt idx="9">
                  <c:v>30389</c:v>
                </c:pt>
                <c:pt idx="10">
                  <c:v>30237</c:v>
                </c:pt>
                <c:pt idx="11">
                  <c:v>30470</c:v>
                </c:pt>
                <c:pt idx="12">
                  <c:v>30485</c:v>
                </c:pt>
              </c:numCache>
            </c:numRef>
          </c:val>
        </c:ser>
        <c:dLbls>
          <c:showLegendKey val="0"/>
          <c:showVal val="0"/>
          <c:showCatName val="0"/>
          <c:showSerName val="0"/>
          <c:showPercent val="0"/>
          <c:showBubbleSize val="0"/>
        </c:dLbls>
        <c:gapWidth val="75"/>
        <c:overlap val="-25"/>
        <c:axId val="309406432"/>
        <c:axId val="309406824"/>
      </c:barChart>
      <c:catAx>
        <c:axId val="309406432"/>
        <c:scaling>
          <c:orientation val="minMax"/>
        </c:scaling>
        <c:delete val="0"/>
        <c:axPos val="b"/>
        <c:numFmt formatCode="General" sourceLinked="0"/>
        <c:majorTickMark val="none"/>
        <c:minorTickMark val="none"/>
        <c:tickLblPos val="nextTo"/>
        <c:txPr>
          <a:bodyPr/>
          <a:lstStyle/>
          <a:p>
            <a:pPr>
              <a:defRPr sz="1200"/>
            </a:pPr>
            <a:endParaRPr lang="es-ES"/>
          </a:p>
        </c:txPr>
        <c:crossAx val="309406824"/>
        <c:crosses val="autoZero"/>
        <c:auto val="1"/>
        <c:lblAlgn val="ctr"/>
        <c:lblOffset val="100"/>
        <c:noMultiLvlLbl val="0"/>
      </c:catAx>
      <c:valAx>
        <c:axId val="309406824"/>
        <c:scaling>
          <c:orientation val="minMax"/>
        </c:scaling>
        <c:delete val="1"/>
        <c:axPos val="l"/>
        <c:numFmt formatCode="_(* #,##0_);_(* \(#,##0\);_(* &quot;-&quot;_);_(@_)" sourceLinked="1"/>
        <c:majorTickMark val="none"/>
        <c:minorTickMark val="none"/>
        <c:tickLblPos val="nextTo"/>
        <c:crossAx val="309406432"/>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9641696773020239E-2"/>
          <c:y val="0.18460952367753475"/>
          <c:w val="0.88847628408433277"/>
          <c:h val="0.66329098613925752"/>
        </c:manualLayout>
      </c:layout>
      <c:barChart>
        <c:barDir val="col"/>
        <c:grouping val="clustered"/>
        <c:varyColors val="0"/>
        <c:ser>
          <c:idx val="0"/>
          <c:order val="0"/>
          <c:tx>
            <c:strRef>
              <c:f>'Afil.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1423196</c:v>
                </c:pt>
              </c:numCache>
            </c:numRef>
          </c:val>
        </c:ser>
        <c:ser>
          <c:idx val="1"/>
          <c:order val="1"/>
          <c:tx>
            <c:strRef>
              <c:f>'Afil.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2"/>
              <c:layout>
                <c:manualLayout>
                  <c:x val="-7.1178332066695301E-3"/>
                  <c:y val="-1.0000422065057234E-2"/>
                </c:manualLayout>
              </c:layout>
              <c:spPr>
                <a:noFill/>
                <a:ln>
                  <a:noFill/>
                </a:ln>
                <a:effectLst/>
              </c:spPr>
              <c:txPr>
                <a:bodyPr/>
                <a:lstStyle/>
                <a:p>
                  <a:pPr>
                    <a:defRPr sz="14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3082709</c:v>
                </c:pt>
              </c:numCache>
            </c:numRef>
          </c:val>
        </c:ser>
        <c:dLbls>
          <c:showLegendKey val="0"/>
          <c:showVal val="0"/>
          <c:showCatName val="0"/>
          <c:showSerName val="0"/>
          <c:showPercent val="0"/>
          <c:showBubbleSize val="0"/>
        </c:dLbls>
        <c:gapWidth val="60"/>
        <c:axId val="309408000"/>
        <c:axId val="309408392"/>
      </c:barChart>
      <c:lineChart>
        <c:grouping val="standard"/>
        <c:varyColors val="0"/>
        <c:ser>
          <c:idx val="2"/>
          <c:order val="2"/>
          <c:tx>
            <c:strRef>
              <c:f>'Afil.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1"/>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0.46167056313132376</c:v>
                </c:pt>
              </c:numCache>
            </c:numRef>
          </c:val>
          <c:smooth val="0"/>
        </c:ser>
        <c:dLbls>
          <c:showLegendKey val="0"/>
          <c:showVal val="0"/>
          <c:showCatName val="0"/>
          <c:showSerName val="0"/>
          <c:showPercent val="0"/>
          <c:showBubbleSize val="0"/>
        </c:dLbls>
        <c:marker val="1"/>
        <c:smooth val="0"/>
        <c:axId val="309409176"/>
        <c:axId val="309408784"/>
      </c:lineChart>
      <c:catAx>
        <c:axId val="309408000"/>
        <c:scaling>
          <c:orientation val="minMax"/>
        </c:scaling>
        <c:delete val="0"/>
        <c:axPos val="b"/>
        <c:numFmt formatCode="General" sourceLinked="1"/>
        <c:majorTickMark val="out"/>
        <c:minorTickMark val="none"/>
        <c:tickLblPos val="nextTo"/>
        <c:txPr>
          <a:bodyPr/>
          <a:lstStyle/>
          <a:p>
            <a:pPr>
              <a:defRPr sz="1400"/>
            </a:pPr>
            <a:endParaRPr lang="es-ES"/>
          </a:p>
        </c:txPr>
        <c:crossAx val="309408392"/>
        <c:crosses val="autoZero"/>
        <c:auto val="1"/>
        <c:lblAlgn val="ctr"/>
        <c:lblOffset val="100"/>
        <c:noMultiLvlLbl val="0"/>
      </c:catAx>
      <c:valAx>
        <c:axId val="309408392"/>
        <c:scaling>
          <c:orientation val="minMax"/>
        </c:scaling>
        <c:delete val="0"/>
        <c:axPos val="l"/>
        <c:numFmt formatCode="#,##0" sourceLinked="1"/>
        <c:majorTickMark val="out"/>
        <c:minorTickMark val="none"/>
        <c:tickLblPos val="nextTo"/>
        <c:crossAx val="309408000"/>
        <c:crosses val="autoZero"/>
        <c:crossBetween val="between"/>
      </c:valAx>
      <c:valAx>
        <c:axId val="309408784"/>
        <c:scaling>
          <c:orientation val="minMax"/>
          <c:max val="1"/>
        </c:scaling>
        <c:delete val="0"/>
        <c:axPos val="r"/>
        <c:numFmt formatCode="0.0%" sourceLinked="1"/>
        <c:majorTickMark val="out"/>
        <c:minorTickMark val="none"/>
        <c:tickLblPos val="nextTo"/>
        <c:crossAx val="309409176"/>
        <c:crosses val="max"/>
        <c:crossBetween val="between"/>
      </c:valAx>
      <c:catAx>
        <c:axId val="309409176"/>
        <c:scaling>
          <c:orientation val="minMax"/>
        </c:scaling>
        <c:delete val="1"/>
        <c:axPos val="b"/>
        <c:numFmt formatCode="General" sourceLinked="1"/>
        <c:majorTickMark val="out"/>
        <c:minorTickMark val="none"/>
        <c:tickLblPos val="nextTo"/>
        <c:crossAx val="309408784"/>
        <c:crosses val="autoZero"/>
        <c:auto val="1"/>
        <c:lblAlgn val="ctr"/>
        <c:lblOffset val="100"/>
        <c:noMultiLvlLbl val="0"/>
      </c:catAx>
    </c:plotArea>
    <c:legend>
      <c:legendPos val="r"/>
      <c:layout>
        <c:manualLayout>
          <c:xMode val="edge"/>
          <c:yMode val="edge"/>
          <c:x val="0.2329811727306762"/>
          <c:y val="0.10820173197860949"/>
          <c:w val="0.58392715565541276"/>
          <c:h val="3.72386146486979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08293056753311E-2"/>
          <c:y val="0.26979236569691417"/>
          <c:w val="0.90961692211586165"/>
          <c:h val="0.56722692957166987"/>
        </c:manualLayout>
      </c:layout>
      <c:lineChart>
        <c:grouping val="standard"/>
        <c:varyColors val="0"/>
        <c:ser>
          <c:idx val="0"/>
          <c:order val="0"/>
          <c:tx>
            <c:strRef>
              <c:f>'Afil.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 mensual'!$A$4:$A$41</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SVDS mensual'!$B$4:$B$41</c:f>
              <c:numCache>
                <c:formatCode>#,##0</c:formatCode>
                <c:ptCount val="13"/>
                <c:pt idx="0">
                  <c:v>1324202</c:v>
                </c:pt>
                <c:pt idx="1">
                  <c:v>1363785</c:v>
                </c:pt>
                <c:pt idx="2">
                  <c:v>1406908</c:v>
                </c:pt>
                <c:pt idx="3">
                  <c:v>1414140</c:v>
                </c:pt>
                <c:pt idx="4">
                  <c:v>1417833</c:v>
                </c:pt>
                <c:pt idx="5">
                  <c:v>1429452</c:v>
                </c:pt>
                <c:pt idx="6">
                  <c:v>1449141</c:v>
                </c:pt>
                <c:pt idx="7">
                  <c:v>1420010</c:v>
                </c:pt>
                <c:pt idx="8">
                  <c:v>1451258</c:v>
                </c:pt>
                <c:pt idx="9">
                  <c:v>1472311</c:v>
                </c:pt>
                <c:pt idx="10">
                  <c:v>1444579</c:v>
                </c:pt>
                <c:pt idx="11">
                  <c:v>1508392</c:v>
                </c:pt>
                <c:pt idx="12">
                  <c:v>1423196</c:v>
                </c:pt>
              </c:numCache>
            </c:numRef>
          </c:val>
          <c:smooth val="0"/>
        </c:ser>
        <c:ser>
          <c:idx val="1"/>
          <c:order val="1"/>
          <c:tx>
            <c:strRef>
              <c:f>'Afil.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 mensual'!$A$4:$A$41</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SVDS mensual'!$C$4:$C$41</c:f>
              <c:numCache>
                <c:formatCode>#,##0</c:formatCode>
                <c:ptCount val="13"/>
                <c:pt idx="0">
                  <c:v>2893593</c:v>
                </c:pt>
                <c:pt idx="1">
                  <c:v>2907007</c:v>
                </c:pt>
                <c:pt idx="2">
                  <c:v>2923456</c:v>
                </c:pt>
                <c:pt idx="3">
                  <c:v>2938981</c:v>
                </c:pt>
                <c:pt idx="4">
                  <c:v>2953804</c:v>
                </c:pt>
                <c:pt idx="5">
                  <c:v>2968885</c:v>
                </c:pt>
                <c:pt idx="6">
                  <c:v>2983609</c:v>
                </c:pt>
                <c:pt idx="7">
                  <c:v>3000209</c:v>
                </c:pt>
                <c:pt idx="8">
                  <c:v>3015120</c:v>
                </c:pt>
                <c:pt idx="9">
                  <c:v>3032720</c:v>
                </c:pt>
                <c:pt idx="10">
                  <c:v>3053477</c:v>
                </c:pt>
                <c:pt idx="11">
                  <c:v>3069900</c:v>
                </c:pt>
                <c:pt idx="12">
                  <c:v>3082709</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09410352"/>
        <c:axId val="309410744"/>
      </c:lineChart>
      <c:lineChart>
        <c:grouping val="standard"/>
        <c:varyColors val="0"/>
        <c:ser>
          <c:idx val="2"/>
          <c:order val="2"/>
          <c:tx>
            <c:strRef>
              <c:f>'Afil.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SVDS mensual'!$A$4:$A$41</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SVDS mensual'!$D$4:$D$41</c:f>
              <c:numCache>
                <c:formatCode>0.0%</c:formatCode>
                <c:ptCount val="13"/>
                <c:pt idx="0">
                  <c:v>0.45763243137511045</c:v>
                </c:pt>
                <c:pt idx="1">
                  <c:v>0.46913715722046767</c:v>
                </c:pt>
                <c:pt idx="2">
                  <c:v>0.48124822128330302</c:v>
                </c:pt>
                <c:pt idx="3">
                  <c:v>0.48116677174843936</c:v>
                </c:pt>
                <c:pt idx="4">
                  <c:v>0.48000239690920588</c:v>
                </c:pt>
                <c:pt idx="5">
                  <c:v>0.48147772648654291</c:v>
                </c:pt>
                <c:pt idx="6">
                  <c:v>0.48570070676150928</c:v>
                </c:pt>
                <c:pt idx="7">
                  <c:v>0.4733036931760421</c:v>
                </c:pt>
                <c:pt idx="8">
                  <c:v>0.48132677969699383</c:v>
                </c:pt>
                <c:pt idx="9">
                  <c:v>0.48547541480914824</c:v>
                </c:pt>
                <c:pt idx="10">
                  <c:v>0.47309313284495019</c:v>
                </c:pt>
                <c:pt idx="11">
                  <c:v>0.49134890387309033</c:v>
                </c:pt>
                <c:pt idx="12">
                  <c:v>0.46167056313132376</c:v>
                </c:pt>
              </c:numCache>
            </c:numRef>
          </c:val>
          <c:smooth val="0"/>
        </c:ser>
        <c:dLbls>
          <c:showLegendKey val="0"/>
          <c:showVal val="0"/>
          <c:showCatName val="0"/>
          <c:showSerName val="0"/>
          <c:showPercent val="0"/>
          <c:showBubbleSize val="0"/>
        </c:dLbls>
        <c:hiLowLines/>
        <c:marker val="1"/>
        <c:smooth val="0"/>
        <c:axId val="309411528"/>
        <c:axId val="309411136"/>
      </c:lineChart>
      <c:catAx>
        <c:axId val="309410352"/>
        <c:scaling>
          <c:orientation val="minMax"/>
        </c:scaling>
        <c:delete val="0"/>
        <c:axPos val="b"/>
        <c:numFmt formatCode="General" sourceLinked="0"/>
        <c:majorTickMark val="none"/>
        <c:minorTickMark val="none"/>
        <c:tickLblPos val="nextTo"/>
        <c:txPr>
          <a:bodyPr/>
          <a:lstStyle/>
          <a:p>
            <a:pPr>
              <a:defRPr sz="1600"/>
            </a:pPr>
            <a:endParaRPr lang="es-ES"/>
          </a:p>
        </c:txPr>
        <c:crossAx val="309410744"/>
        <c:crosses val="autoZero"/>
        <c:auto val="1"/>
        <c:lblAlgn val="ctr"/>
        <c:lblOffset val="100"/>
        <c:noMultiLvlLbl val="0"/>
      </c:catAx>
      <c:valAx>
        <c:axId val="309410744"/>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09410352"/>
        <c:crosses val="autoZero"/>
        <c:crossBetween val="between"/>
      </c:valAx>
      <c:valAx>
        <c:axId val="309411136"/>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09411528"/>
        <c:crosses val="max"/>
        <c:crossBetween val="between"/>
      </c:valAx>
      <c:catAx>
        <c:axId val="309411528"/>
        <c:scaling>
          <c:orientation val="minMax"/>
        </c:scaling>
        <c:delete val="1"/>
        <c:axPos val="b"/>
        <c:numFmt formatCode="General" sourceLinked="1"/>
        <c:majorTickMark val="out"/>
        <c:minorTickMark val="none"/>
        <c:tickLblPos val="nextTo"/>
        <c:crossAx val="309411136"/>
        <c:crosses val="autoZero"/>
        <c:auto val="1"/>
        <c:lblAlgn val="ctr"/>
        <c:lblOffset val="100"/>
        <c:noMultiLvlLbl val="0"/>
      </c:catAx>
      <c:spPr>
        <a:ln>
          <a:solidFill>
            <a:schemeClr val="bg1"/>
          </a:solidFill>
        </a:ln>
      </c:spPr>
    </c:plotArea>
    <c:legend>
      <c:legendPos val="r"/>
      <c:layout>
        <c:manualLayout>
          <c:xMode val="edge"/>
          <c:yMode val="edge"/>
          <c:x val="0.20782878933568336"/>
          <c:y val="7.8769483915995572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99463999262719E-2"/>
          <c:y val="0.2080497468922976"/>
          <c:w val="0.82832658045420482"/>
          <c:h val="0.56387418075650353"/>
        </c:manualLayout>
      </c:layout>
      <c:lineChart>
        <c:grouping val="standard"/>
        <c:varyColors val="0"/>
        <c:ser>
          <c:idx val="0"/>
          <c:order val="0"/>
          <c:tx>
            <c:strRef>
              <c:f>' Afil. cotiz.'!$B$3</c:f>
              <c:strCache>
                <c:ptCount val="1"/>
                <c:pt idx="0">
                  <c:v>Afiliados</c:v>
                </c:pt>
              </c:strCache>
            </c:strRef>
          </c:tx>
          <c:cat>
            <c:strRef>
              <c:f>' Afil. cotiz.'!$A$4:$A$16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Afil. cotiz.'!$B$4:$B$15</c:f>
            </c:numRef>
          </c:val>
          <c:smooth val="0"/>
        </c:ser>
        <c:ser>
          <c:idx val="1"/>
          <c:order val="1"/>
          <c:tx>
            <c:strRef>
              <c:f>' Afil. cotiz.'!$C$3</c:f>
              <c:strCache>
                <c:ptCount val="1"/>
                <c:pt idx="0">
                  <c:v>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cat>
            <c:strRef>
              <c:f>' Afil. cotiz.'!$A$4:$A$16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Afil. cotiz.'!$C$4:$C$16</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1423196</c:v>
                </c:pt>
              </c:numCache>
            </c:numRef>
          </c:val>
          <c:smooth val="0"/>
        </c:ser>
        <c:ser>
          <c:idx val="2"/>
          <c:order val="2"/>
          <c:tx>
            <c:strRef>
              <c:f>' Afil. cotiz.'!$D$3</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cat>
            <c:strRef>
              <c:f>' Afil. cotiz.'!$A$4:$A$16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Afil. cotiz.'!$D$4:$D$16</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09412312"/>
        <c:axId val="309412704"/>
      </c:lineChart>
      <c:lineChart>
        <c:grouping val="standard"/>
        <c:varyColors val="0"/>
        <c:ser>
          <c:idx val="3"/>
          <c:order val="3"/>
          <c:tx>
            <c:strRef>
              <c:f>' Afil. cotiz.'!$E$3</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cotiz.'!$A$4:$A$16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Afil. cotiz.'!$E$4:$E$16</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0.76290487891692071</c:v>
                </c:pt>
              </c:numCache>
            </c:numRef>
          </c:val>
          <c:smooth val="0"/>
        </c:ser>
        <c:dLbls>
          <c:showLegendKey val="0"/>
          <c:showVal val="0"/>
          <c:showCatName val="0"/>
          <c:showSerName val="0"/>
          <c:showPercent val="0"/>
          <c:showBubbleSize val="0"/>
        </c:dLbls>
        <c:hiLowLines/>
        <c:marker val="1"/>
        <c:smooth val="0"/>
        <c:axId val="365318432"/>
        <c:axId val="309413096"/>
      </c:lineChart>
      <c:catAx>
        <c:axId val="30941231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9412704"/>
        <c:crosses val="autoZero"/>
        <c:auto val="1"/>
        <c:lblAlgn val="ctr"/>
        <c:lblOffset val="100"/>
        <c:noMultiLvlLbl val="0"/>
      </c:catAx>
      <c:valAx>
        <c:axId val="309412704"/>
        <c:scaling>
          <c:orientation val="minMax"/>
        </c:scaling>
        <c:delete val="0"/>
        <c:axPos val="l"/>
        <c:numFmt formatCode="#,##0" sourceLinked="1"/>
        <c:majorTickMark val="out"/>
        <c:minorTickMark val="none"/>
        <c:tickLblPos val="nextTo"/>
        <c:crossAx val="309412312"/>
        <c:crosses val="autoZero"/>
        <c:crossBetween val="between"/>
        <c:majorUnit val="500000"/>
      </c:valAx>
      <c:valAx>
        <c:axId val="309413096"/>
        <c:scaling>
          <c:orientation val="minMax"/>
          <c:max val="1"/>
        </c:scaling>
        <c:delete val="0"/>
        <c:axPos val="r"/>
        <c:numFmt formatCode="0.00%" sourceLinked="1"/>
        <c:majorTickMark val="out"/>
        <c:minorTickMark val="none"/>
        <c:tickLblPos val="nextTo"/>
        <c:crossAx val="365318432"/>
        <c:crosses val="max"/>
        <c:crossBetween val="between"/>
      </c:valAx>
      <c:catAx>
        <c:axId val="365318432"/>
        <c:scaling>
          <c:orientation val="minMax"/>
        </c:scaling>
        <c:delete val="1"/>
        <c:axPos val="b"/>
        <c:numFmt formatCode="General" sourceLinked="1"/>
        <c:majorTickMark val="out"/>
        <c:minorTickMark val="none"/>
        <c:tickLblPos val="nextTo"/>
        <c:crossAx val="309413096"/>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846959454537045"/>
          <c:w val="0.97813997888173676"/>
          <c:h val="0.57017061237883659"/>
        </c:manualLayout>
      </c:layout>
      <c:bar3DChart>
        <c:barDir val="col"/>
        <c:grouping val="clustered"/>
        <c:varyColors val="0"/>
        <c:ser>
          <c:idx val="0"/>
          <c:order val="0"/>
          <c:tx>
            <c:strRef>
              <c:f>' 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 Cotiz. x rango de edad'!$B$4:$B$13</c:f>
              <c:numCache>
                <c:formatCode>#,##0</c:formatCode>
                <c:ptCount val="10"/>
                <c:pt idx="0">
                  <c:v>17753</c:v>
                </c:pt>
                <c:pt idx="1">
                  <c:v>176847</c:v>
                </c:pt>
                <c:pt idx="2">
                  <c:v>222127</c:v>
                </c:pt>
                <c:pt idx="3">
                  <c:v>213516</c:v>
                </c:pt>
                <c:pt idx="4">
                  <c:v>193965</c:v>
                </c:pt>
                <c:pt idx="5">
                  <c:v>164523</c:v>
                </c:pt>
                <c:pt idx="6">
                  <c:v>141604</c:v>
                </c:pt>
                <c:pt idx="7">
                  <c:v>110697</c:v>
                </c:pt>
                <c:pt idx="8">
                  <c:v>79195</c:v>
                </c:pt>
                <c:pt idx="9">
                  <c:v>102969</c:v>
                </c:pt>
              </c:numCache>
            </c:numRef>
          </c:val>
        </c:ser>
        <c:dLbls>
          <c:showLegendKey val="0"/>
          <c:showVal val="0"/>
          <c:showCatName val="0"/>
          <c:showSerName val="0"/>
          <c:showPercent val="0"/>
          <c:showBubbleSize val="0"/>
        </c:dLbls>
        <c:gapWidth val="14"/>
        <c:shape val="cylinder"/>
        <c:axId val="365319216"/>
        <c:axId val="365319608"/>
        <c:axId val="0"/>
      </c:bar3DChart>
      <c:catAx>
        <c:axId val="36531921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65319608"/>
        <c:crosses val="autoZero"/>
        <c:auto val="1"/>
        <c:lblAlgn val="ctr"/>
        <c:lblOffset val="100"/>
        <c:noMultiLvlLbl val="0"/>
      </c:catAx>
      <c:valAx>
        <c:axId val="365319608"/>
        <c:scaling>
          <c:orientation val="minMax"/>
        </c:scaling>
        <c:delete val="1"/>
        <c:axPos val="l"/>
        <c:numFmt formatCode="#,##0" sourceLinked="1"/>
        <c:majorTickMark val="none"/>
        <c:minorTickMark val="none"/>
        <c:tickLblPos val="nextTo"/>
        <c:crossAx val="365319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Cotizantes del SVDS RC por Cantidad de Salario Mínimo Cotizable</a:t>
            </a:r>
          </a:p>
        </c:rich>
      </c:tx>
      <c:layout>
        <c:manualLayout>
          <c:xMode val="edge"/>
          <c:yMode val="edge"/>
          <c:x val="0.25287659460599915"/>
          <c:y val="7.37395869760239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6337954195762809"/>
          <c:h val="0.67961579496398816"/>
        </c:manualLayout>
      </c:layout>
      <c:bar3DChart>
        <c:barDir val="col"/>
        <c:grouping val="stacked"/>
        <c:varyColors val="0"/>
        <c:ser>
          <c:idx val="0"/>
          <c:order val="0"/>
          <c:tx>
            <c:strRef>
              <c:f>' Cotiz x sal. min. cot.'!$B$4</c:f>
              <c:strCache>
                <c:ptCount val="1"/>
                <c:pt idx="0">
                  <c:v>Cotizantes</c:v>
                </c:pt>
              </c:strCache>
            </c:strRef>
          </c:tx>
          <c:spPr>
            <a:solidFill>
              <a:schemeClr val="accent3">
                <a:lumMod val="75000"/>
              </a:schemeClr>
            </a:solidFill>
          </c:spPr>
          <c:invertIfNegative val="0"/>
          <c:dLbls>
            <c:dLbl>
              <c:idx val="0"/>
              <c:layout>
                <c:manualLayout>
                  <c:x val="1.327417831798978E-2"/>
                  <c:y val="-0.2865554954583748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73344285662827E-2"/>
                  <c:y val="-0.316022327257053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23519634506E-2"/>
                  <c:y val="-7.887388834234111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66265109692E-2"/>
                  <c:y val="-8.447767007122802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87262706526E-2"/>
                  <c:y val="-9.016664994368624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 Cotiz x sal. min. cot.'!$B$5:$B$13</c:f>
              <c:numCache>
                <c:formatCode>_(* #,##0_);_(* \(#,##0\);_(* "-"_);_(@_)</c:formatCode>
                <c:ptCount val="9"/>
                <c:pt idx="0">
                  <c:v>460041</c:v>
                </c:pt>
                <c:pt idx="1">
                  <c:v>517071</c:v>
                </c:pt>
                <c:pt idx="2">
                  <c:v>163409</c:v>
                </c:pt>
                <c:pt idx="3">
                  <c:v>92844</c:v>
                </c:pt>
                <c:pt idx="4">
                  <c:v>113892</c:v>
                </c:pt>
                <c:pt idx="5">
                  <c:v>30095</c:v>
                </c:pt>
                <c:pt idx="6">
                  <c:v>17246</c:v>
                </c:pt>
                <c:pt idx="7">
                  <c:v>16061</c:v>
                </c:pt>
                <c:pt idx="8">
                  <c:v>12537</c:v>
                </c:pt>
              </c:numCache>
            </c:numRef>
          </c:val>
        </c:ser>
        <c:dLbls>
          <c:showLegendKey val="0"/>
          <c:showVal val="0"/>
          <c:showCatName val="0"/>
          <c:showSerName val="0"/>
          <c:showPercent val="0"/>
          <c:showBubbleSize val="0"/>
        </c:dLbls>
        <c:gapWidth val="12"/>
        <c:shape val="cylinder"/>
        <c:axId val="365320392"/>
        <c:axId val="365320784"/>
        <c:axId val="0"/>
      </c:bar3DChart>
      <c:catAx>
        <c:axId val="3653203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5320784"/>
        <c:crosses val="autoZero"/>
        <c:auto val="1"/>
        <c:lblAlgn val="ctr"/>
        <c:lblOffset val="100"/>
        <c:noMultiLvlLbl val="0"/>
      </c:catAx>
      <c:valAx>
        <c:axId val="365320784"/>
        <c:scaling>
          <c:orientation val="minMax"/>
        </c:scaling>
        <c:delete val="1"/>
        <c:axPos val="l"/>
        <c:numFmt formatCode="_(* #,##0_);_(* \(#,##0\);_(* &quot;-&quot;_);_(@_)" sourceLinked="1"/>
        <c:majorTickMark val="none"/>
        <c:minorTickMark val="none"/>
        <c:tickLblPos val="nextTo"/>
        <c:crossAx val="36532039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Distribución de los Afiliados Cotizantes por AFP's y Fondos de Reparto</a:t>
            </a:r>
          </a:p>
        </c:rich>
      </c:tx>
      <c:layout>
        <c:manualLayout>
          <c:xMode val="edge"/>
          <c:yMode val="edge"/>
          <c:x val="0.22525881156172076"/>
          <c:y val="3.0091669017441189E-2"/>
        </c:manualLayout>
      </c:layout>
      <c:overlay val="0"/>
    </c:title>
    <c:autoTitleDeleted val="0"/>
    <c:view3D>
      <c:rotX val="70"/>
      <c:rotY val="290"/>
      <c:rAngAx val="0"/>
      <c:perspective val="0"/>
    </c:view3D>
    <c:floor>
      <c:thickness val="0"/>
    </c:floor>
    <c:sideWall>
      <c:thickness val="0"/>
    </c:sideWall>
    <c:backWall>
      <c:thickness val="0"/>
    </c:backWall>
    <c:plotArea>
      <c:layout>
        <c:manualLayout>
          <c:layoutTarget val="inner"/>
          <c:xMode val="edge"/>
          <c:yMode val="edge"/>
          <c:x val="0.13900074511006186"/>
          <c:y val="0.2206748721531879"/>
          <c:w val="0.62136424404179103"/>
          <c:h val="0.57946542670402279"/>
        </c:manualLayout>
      </c:layout>
      <c:pie3DChart>
        <c:varyColors val="1"/>
        <c:ser>
          <c:idx val="0"/>
          <c:order val="0"/>
          <c:tx>
            <c:strRef>
              <c:f>'Cotiz.x AFP y fondos'!$A$4</c:f>
              <c:strCache>
                <c:ptCount val="1"/>
                <c:pt idx="0">
                  <c:v>Ene.15</c:v>
                </c:pt>
              </c:strCache>
            </c:strRef>
          </c:tx>
          <c:explosion val="14"/>
          <c:dPt>
            <c:idx val="2"/>
            <c:bubble3D val="0"/>
            <c:explosion val="19"/>
          </c:dPt>
          <c:dPt>
            <c:idx val="7"/>
            <c:bubble3D val="0"/>
            <c:explosion val="19"/>
          </c:dPt>
          <c:dLbls>
            <c:dLbl>
              <c:idx val="0"/>
              <c:layout>
                <c:manualLayout>
                  <c:x val="3.0159028318852647E-3"/>
                  <c:y val="-2.0061110037558009E-2"/>
                </c:manualLayout>
              </c:layout>
              <c:tx>
                <c:rich>
                  <a:bodyPr/>
                  <a:lstStyle/>
                  <a:p>
                    <a:r>
                      <a:rPr lang="en-US"/>
                      <a:t>Popular</a:t>
                    </a:r>
                  </a:p>
                  <a:p>
                    <a:r>
                      <a:rPr lang="en-US"/>
                      <a:t>421,439</a:t>
                    </a:r>
                  </a:p>
                  <a:p>
                    <a:r>
                      <a:rPr lang="en-US"/>
                      <a:t>29.6%</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7090116047349831E-2"/>
                  <c:y val="-1.5045832528168546E-2"/>
                </c:manualLayout>
              </c:layout>
              <c:tx>
                <c:rich>
                  <a:bodyPr/>
                  <a:lstStyle/>
                  <a:p>
                    <a:r>
                      <a:rPr lang="en-US"/>
                      <a:t>Reservas</a:t>
                    </a:r>
                  </a:p>
                  <a:p>
                    <a:r>
                      <a:rPr lang="en-US"/>
                      <a:t>192,971</a:t>
                    </a:r>
                  </a:p>
                  <a:p>
                    <a:r>
                      <a:rPr lang="en-US"/>
                      <a:t>13.6%</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1.8095416991311588E-2"/>
                  <c:y val="0"/>
                </c:manualLayout>
              </c:layout>
              <c:tx>
                <c:rich>
                  <a:bodyPr/>
                  <a:lstStyle/>
                  <a:p>
                    <a:r>
                      <a:rPr lang="en-US"/>
                      <a:t>Romana</a:t>
                    </a:r>
                  </a:p>
                  <a:p>
                    <a:r>
                      <a:rPr lang="en-US"/>
                      <a:t>11,441</a:t>
                    </a:r>
                  </a:p>
                  <a:p>
                    <a:r>
                      <a:rPr lang="en-US"/>
                      <a:t>0.8%</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1.8095416991311588E-2"/>
                  <c:y val="2.1732869207354476E-2"/>
                </c:manualLayout>
              </c:layout>
              <c:tx>
                <c:rich>
                  <a:bodyPr/>
                  <a:lstStyle/>
                  <a:p>
                    <a:r>
                      <a:rPr lang="en-US"/>
                      <a:t>Scotia Crecer </a:t>
                    </a:r>
                  </a:p>
                  <a:p>
                    <a:r>
                      <a:rPr lang="en-US"/>
                      <a:t>407,476 </a:t>
                    </a:r>
                  </a:p>
                  <a:p>
                    <a:r>
                      <a:rPr lang="en-US"/>
                      <a:t>29%</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2.1111319823196816E-2"/>
                  <c:y val="1.1702314188575366E-2"/>
                </c:manualLayout>
              </c:layout>
              <c:tx>
                <c:rich>
                  <a:bodyPr/>
                  <a:lstStyle/>
                  <a:p>
                    <a:r>
                      <a:rPr lang="en-US"/>
                      <a:t>Siembra</a:t>
                    </a:r>
                  </a:p>
                  <a:p>
                    <a:r>
                      <a:rPr lang="en-US"/>
                      <a:t>257,824</a:t>
                    </a:r>
                  </a:p>
                  <a:p>
                    <a:r>
                      <a:rPr lang="en-US"/>
                      <a:t>18%</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5079514159426323E-2"/>
                  <c:y val="1.0030555018778928E-2"/>
                </c:manualLayout>
              </c:layout>
              <c:tx>
                <c:rich>
                  <a:bodyPr/>
                  <a:lstStyle/>
                  <a:p>
                    <a:r>
                      <a:rPr lang="en-US"/>
                      <a:t>Reparto Individualizado</a:t>
                    </a:r>
                  </a:p>
                  <a:p>
                    <a:r>
                      <a:rPr lang="en-US"/>
                      <a:t>84,797</a:t>
                    </a:r>
                  </a:p>
                  <a:p>
                    <a:r>
                      <a:rPr lang="en-US"/>
                      <a:t>6%</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2.714312548696738E-2"/>
                  <c:y val="3.3435183395929351E-3"/>
                </c:manualLayout>
              </c:layout>
              <c:tx>
                <c:rich>
                  <a:bodyPr/>
                  <a:lstStyle/>
                  <a:p>
                    <a:r>
                      <a:rPr lang="en-US"/>
                      <a:t>Ministerio de Hacienda</a:t>
                    </a:r>
                  </a:p>
                  <a:p>
                    <a:r>
                      <a:rPr lang="en-US"/>
                      <a:t>40,725</a:t>
                    </a:r>
                  </a:p>
                  <a:p>
                    <a:r>
                      <a:rPr lang="en-US"/>
                      <a:t>2.9%</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7.0371066077322842E-3"/>
                  <c:y val="-8.6931476829417903E-2"/>
                </c:manualLayout>
              </c:layout>
              <c:tx>
                <c:rich>
                  <a:bodyPr/>
                  <a:lstStyle/>
                  <a:p>
                    <a:r>
                      <a:rPr lang="en-US"/>
                      <a:t> Sin Individualizar </a:t>
                    </a:r>
                  </a:p>
                  <a:p>
                    <a:r>
                      <a:rPr lang="en-US"/>
                      <a:t>6,523</a:t>
                    </a:r>
                  </a:p>
                  <a:p>
                    <a:r>
                      <a:rPr lang="en-US"/>
                      <a:t>0.46%</a:t>
                    </a:r>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'Cotiz.x AFP y fondos'!$B$4:$I$4</c:f>
              <c:numCache>
                <c:formatCode>_(* #,##0_);_(* \(#,##0\);_(* "-"??_);_(@_)</c:formatCode>
                <c:ptCount val="8"/>
                <c:pt idx="0">
                  <c:v>421439</c:v>
                </c:pt>
                <c:pt idx="1">
                  <c:v>192971</c:v>
                </c:pt>
                <c:pt idx="2">
                  <c:v>11441</c:v>
                </c:pt>
                <c:pt idx="3">
                  <c:v>407476</c:v>
                </c:pt>
                <c:pt idx="4">
                  <c:v>257824</c:v>
                </c:pt>
                <c:pt idx="5">
                  <c:v>84797</c:v>
                </c:pt>
                <c:pt idx="6">
                  <c:v>40725</c:v>
                </c:pt>
                <c:pt idx="7">
                  <c:v>6523</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5910753078012944"/>
          <c:y val="5.264206881948779E-2"/>
        </c:manualLayout>
      </c:layout>
      <c:overlay val="0"/>
    </c:title>
    <c:autoTitleDeleted val="0"/>
    <c:plotArea>
      <c:layout>
        <c:manualLayout>
          <c:layoutTarget val="inner"/>
          <c:xMode val="edge"/>
          <c:yMode val="edge"/>
          <c:x val="7.1351606398627018E-2"/>
          <c:y val="0.20570996311710477"/>
          <c:w val="0.81570551129826496"/>
          <c:h val="0.64635969254750969"/>
        </c:manualLayout>
      </c:layout>
      <c:lineChart>
        <c:grouping val="standard"/>
        <c:varyColors val="0"/>
        <c:ser>
          <c:idx val="0"/>
          <c:order val="0"/>
          <c:tx>
            <c:strRef>
              <c:f>'Salario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1.8293565443461141E-2"/>
                  <c:y val="-2.9245593788604328E-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RD$ 16,524</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'Salario prom.'!$A$4:$A$11</c:f>
              <c:strCache>
                <c:ptCount val="8"/>
                <c:pt idx="0">
                  <c:v>Dic.08</c:v>
                </c:pt>
                <c:pt idx="1">
                  <c:v>Dic.09</c:v>
                </c:pt>
                <c:pt idx="2">
                  <c:v>Dic.10</c:v>
                </c:pt>
                <c:pt idx="3">
                  <c:v>Dic.11</c:v>
                </c:pt>
                <c:pt idx="4">
                  <c:v>Dic.12</c:v>
                </c:pt>
                <c:pt idx="5">
                  <c:v>Dic.13</c:v>
                </c:pt>
                <c:pt idx="6">
                  <c:v>Dic.14</c:v>
                </c:pt>
                <c:pt idx="7">
                  <c:v>Ene.15</c:v>
                </c:pt>
              </c:strCache>
            </c:strRef>
          </c:cat>
          <c:val>
            <c:numRef>
              <c:f>'Salario prom.'!$B$4:$B$11</c:f>
              <c:numCache>
                <c:formatCode>_(* #,##0_);_(* \(#,##0\);_(* "-"??_);_(@_)</c:formatCode>
                <c:ptCount val="8"/>
                <c:pt idx="0">
                  <c:v>12759.99</c:v>
                </c:pt>
                <c:pt idx="1">
                  <c:v>13453</c:v>
                </c:pt>
                <c:pt idx="2">
                  <c:v>13943.45</c:v>
                </c:pt>
                <c:pt idx="3">
                  <c:v>15132</c:v>
                </c:pt>
                <c:pt idx="4">
                  <c:v>15533</c:v>
                </c:pt>
                <c:pt idx="5">
                  <c:v>16191</c:v>
                </c:pt>
                <c:pt idx="6">
                  <c:v>16415</c:v>
                </c:pt>
                <c:pt idx="7">
                  <c:v>16524</c:v>
                </c:pt>
              </c:numCache>
            </c:numRef>
          </c:val>
          <c:smooth val="0"/>
        </c:ser>
        <c:ser>
          <c:idx val="1"/>
          <c:order val="1"/>
          <c:tx>
            <c:strRef>
              <c:f>'Salario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RD$ 20,829</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'Salario prom.'!$A$4:$A$11</c:f>
              <c:strCache>
                <c:ptCount val="8"/>
                <c:pt idx="0">
                  <c:v>Dic.08</c:v>
                </c:pt>
                <c:pt idx="1">
                  <c:v>Dic.09</c:v>
                </c:pt>
                <c:pt idx="2">
                  <c:v>Dic.10</c:v>
                </c:pt>
                <c:pt idx="3">
                  <c:v>Dic.11</c:v>
                </c:pt>
                <c:pt idx="4">
                  <c:v>Dic.12</c:v>
                </c:pt>
                <c:pt idx="5">
                  <c:v>Dic.13</c:v>
                </c:pt>
                <c:pt idx="6">
                  <c:v>Dic.14</c:v>
                </c:pt>
                <c:pt idx="7">
                  <c:v>Ene.15</c:v>
                </c:pt>
              </c:strCache>
            </c:strRef>
          </c:cat>
          <c:val>
            <c:numRef>
              <c:f>'Salario prom.'!$C$4:$C$11</c:f>
              <c:numCache>
                <c:formatCode>_(* #,##0_);_(* \(#,##0\);_(* "-"??_);_(@_)</c:formatCode>
                <c:ptCount val="8"/>
                <c:pt idx="0">
                  <c:v>15836.19</c:v>
                </c:pt>
                <c:pt idx="1">
                  <c:v>14653.84</c:v>
                </c:pt>
                <c:pt idx="2">
                  <c:v>16719.03</c:v>
                </c:pt>
                <c:pt idx="3">
                  <c:v>17464</c:v>
                </c:pt>
                <c:pt idx="4">
                  <c:v>18675</c:v>
                </c:pt>
                <c:pt idx="5">
                  <c:v>19327</c:v>
                </c:pt>
                <c:pt idx="6">
                  <c:v>20545</c:v>
                </c:pt>
                <c:pt idx="7">
                  <c:v>20829</c:v>
                </c:pt>
              </c:numCache>
            </c:numRef>
          </c:val>
          <c:smooth val="0"/>
        </c:ser>
        <c:ser>
          <c:idx val="2"/>
          <c:order val="2"/>
          <c:tx>
            <c:strRef>
              <c:f>'Salario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9537241058515033E-4"/>
                  <c:y val="-1.4622796894302164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RD$ 23,807</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'Salario prom.'!$A$4:$A$11</c:f>
              <c:strCache>
                <c:ptCount val="8"/>
                <c:pt idx="0">
                  <c:v>Dic.08</c:v>
                </c:pt>
                <c:pt idx="1">
                  <c:v>Dic.09</c:v>
                </c:pt>
                <c:pt idx="2">
                  <c:v>Dic.10</c:v>
                </c:pt>
                <c:pt idx="3">
                  <c:v>Dic.11</c:v>
                </c:pt>
                <c:pt idx="4">
                  <c:v>Dic.12</c:v>
                </c:pt>
                <c:pt idx="5">
                  <c:v>Dic.13</c:v>
                </c:pt>
                <c:pt idx="6">
                  <c:v>Dic.14</c:v>
                </c:pt>
                <c:pt idx="7">
                  <c:v>Ene.15</c:v>
                </c:pt>
              </c:strCache>
            </c:strRef>
          </c:cat>
          <c:val>
            <c:numRef>
              <c:f>'Salario prom.'!$D$4:$D$11</c:f>
              <c:numCache>
                <c:formatCode>_(* #,##0_);_(* \(#,##0\);_(* "-"??_);_(@_)</c:formatCode>
                <c:ptCount val="8"/>
                <c:pt idx="0">
                  <c:v>14748.51</c:v>
                </c:pt>
                <c:pt idx="1">
                  <c:v>15155.74</c:v>
                </c:pt>
                <c:pt idx="2">
                  <c:v>15971.57</c:v>
                </c:pt>
                <c:pt idx="3">
                  <c:v>17399</c:v>
                </c:pt>
                <c:pt idx="4">
                  <c:v>17851</c:v>
                </c:pt>
                <c:pt idx="5">
                  <c:v>20747</c:v>
                </c:pt>
                <c:pt idx="6">
                  <c:v>22507</c:v>
                </c:pt>
                <c:pt idx="7">
                  <c:v>23807</c:v>
                </c:pt>
              </c:numCache>
            </c:numRef>
          </c:val>
          <c:smooth val="0"/>
        </c:ser>
        <c:dLbls>
          <c:showLegendKey val="0"/>
          <c:showVal val="0"/>
          <c:showCatName val="0"/>
          <c:showSerName val="0"/>
          <c:showPercent val="0"/>
          <c:showBubbleSize val="0"/>
        </c:dLbls>
        <c:marker val="1"/>
        <c:smooth val="0"/>
        <c:axId val="300396608"/>
        <c:axId val="300397000"/>
      </c:lineChart>
      <c:catAx>
        <c:axId val="300396608"/>
        <c:scaling>
          <c:orientation val="minMax"/>
        </c:scaling>
        <c:delete val="0"/>
        <c:axPos val="b"/>
        <c:numFmt formatCode="General" sourceLinked="0"/>
        <c:majorTickMark val="none"/>
        <c:minorTickMark val="none"/>
        <c:tickLblPos val="nextTo"/>
        <c:txPr>
          <a:bodyPr/>
          <a:lstStyle/>
          <a:p>
            <a:pPr>
              <a:defRPr sz="1800"/>
            </a:pPr>
            <a:endParaRPr lang="es-ES"/>
          </a:p>
        </c:txPr>
        <c:crossAx val="300397000"/>
        <c:crosses val="autoZero"/>
        <c:auto val="1"/>
        <c:lblAlgn val="ctr"/>
        <c:lblOffset val="100"/>
        <c:noMultiLvlLbl val="0"/>
      </c:catAx>
      <c:valAx>
        <c:axId val="300397000"/>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3003966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32290876365445986"/>
          <c:y val="1.4556040756914119E-2"/>
        </c:manualLayout>
      </c:layout>
      <c:overlay val="0"/>
    </c:title>
    <c:autoTitleDeleted val="0"/>
    <c:plotArea>
      <c:layout>
        <c:manualLayout>
          <c:layoutTarget val="inner"/>
          <c:xMode val="edge"/>
          <c:yMode val="edge"/>
          <c:x val="4.7805856229990985E-2"/>
          <c:y val="0.25393230867975564"/>
          <c:w val="0.87356181704929892"/>
          <c:h val="0.56856514114774959"/>
        </c:manualLayout>
      </c:layout>
      <c:lineChart>
        <c:grouping val="standard"/>
        <c:varyColors val="0"/>
        <c:ser>
          <c:idx val="0"/>
          <c:order val="0"/>
          <c:tx>
            <c:strRef>
              <c:f>PEA_Género!$E$3</c:f>
              <c:strCache>
                <c:ptCount val="1"/>
                <c:pt idx="0">
                  <c:v>% Hombres /PEA</c:v>
                </c:pt>
              </c:strCache>
            </c:strRef>
          </c:tx>
          <c:dLbls>
            <c:dLbl>
              <c:idx val="0"/>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84447304025440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954802259887006E-2"/>
                  <c:y val="-5.591960785824599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5781544256120526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6365348399246636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898305084745763E-2"/>
                  <c:y val="-4.892965687596521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19774011299435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7080979284369114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986577489714772E-2"/>
                  <c:y val="-4.276216541986387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PEA_Género!$A$4:$A$16</c:f>
              <c:strCache>
                <c:ptCount val="11"/>
                <c:pt idx="0">
                  <c:v>2005</c:v>
                </c:pt>
                <c:pt idx="1">
                  <c:v>2006</c:v>
                </c:pt>
                <c:pt idx="2">
                  <c:v>2007</c:v>
                </c:pt>
                <c:pt idx="3">
                  <c:v>2008</c:v>
                </c:pt>
                <c:pt idx="4">
                  <c:v>2009</c:v>
                </c:pt>
                <c:pt idx="5">
                  <c:v>2010</c:v>
                </c:pt>
                <c:pt idx="6">
                  <c:v>2011</c:v>
                </c:pt>
                <c:pt idx="7">
                  <c:v>2012</c:v>
                </c:pt>
                <c:pt idx="8">
                  <c:v>2013</c:v>
                </c:pt>
                <c:pt idx="9">
                  <c:v>2014</c:v>
                </c:pt>
                <c:pt idx="10">
                  <c:v>Ene. 15</c:v>
                </c:pt>
              </c:strCache>
            </c:strRef>
          </c:cat>
          <c:val>
            <c:numRef>
              <c:f>PEA_Género!$E$4:$E$16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PEA_Género!$F$3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PEA_Género!$A$4:$A$16</c:f>
              <c:strCache>
                <c:ptCount val="11"/>
                <c:pt idx="0">
                  <c:v>2005</c:v>
                </c:pt>
                <c:pt idx="1">
                  <c:v>2006</c:v>
                </c:pt>
                <c:pt idx="2">
                  <c:v>2007</c:v>
                </c:pt>
                <c:pt idx="3">
                  <c:v>2008</c:v>
                </c:pt>
                <c:pt idx="4">
                  <c:v>2009</c:v>
                </c:pt>
                <c:pt idx="5">
                  <c:v>2010</c:v>
                </c:pt>
                <c:pt idx="6">
                  <c:v>2011</c:v>
                </c:pt>
                <c:pt idx="7">
                  <c:v>2012</c:v>
                </c:pt>
                <c:pt idx="8">
                  <c:v>2013</c:v>
                </c:pt>
                <c:pt idx="9">
                  <c:v>2014</c:v>
                </c:pt>
                <c:pt idx="10">
                  <c:v>Ene. 15</c:v>
                </c:pt>
              </c:strCache>
            </c:strRef>
          </c:cat>
          <c:val>
            <c:numRef>
              <c:f>PEA_Género!$F$4:$F$16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PEA_Género!$J$3</c:f>
              <c:strCache>
                <c:ptCount val="1"/>
                <c:pt idx="0">
                  <c:v>% Hombres Cotizantes</c:v>
                </c:pt>
              </c:strCache>
            </c:strRef>
          </c:tx>
          <c:marker>
            <c:spPr>
              <a:solidFill>
                <a:schemeClr val="accent5">
                  <a:lumMod val="50000"/>
                </a:schemeClr>
              </a:solidFill>
            </c:spPr>
          </c:marker>
          <c:dLbls>
            <c:dLbl>
              <c:idx val="0"/>
              <c:layout>
                <c:manualLayout>
                  <c:x val="-4.519774011299435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964218455743877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382086975619E-2"/>
                  <c:y val="3.6533192484237594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PEA_Género!$A$4:$A$16</c:f>
              <c:strCache>
                <c:ptCount val="11"/>
                <c:pt idx="0">
                  <c:v>2005</c:v>
                </c:pt>
                <c:pt idx="1">
                  <c:v>2006</c:v>
                </c:pt>
                <c:pt idx="2">
                  <c:v>2007</c:v>
                </c:pt>
                <c:pt idx="3">
                  <c:v>2008</c:v>
                </c:pt>
                <c:pt idx="4">
                  <c:v>2009</c:v>
                </c:pt>
                <c:pt idx="5">
                  <c:v>2010</c:v>
                </c:pt>
                <c:pt idx="6">
                  <c:v>2011</c:v>
                </c:pt>
                <c:pt idx="7">
                  <c:v>2012</c:v>
                </c:pt>
                <c:pt idx="8">
                  <c:v>2013</c:v>
                </c:pt>
                <c:pt idx="9">
                  <c:v>2014</c:v>
                </c:pt>
                <c:pt idx="10">
                  <c:v>Ene. 15</c:v>
                </c:pt>
              </c:strCache>
            </c:strRef>
          </c:cat>
          <c:val>
            <c:numRef>
              <c:f>PEA_Género!$J$4:$J$16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0.55521446097375204</c:v>
                </c:pt>
              </c:numCache>
            </c:numRef>
          </c:val>
          <c:smooth val="0"/>
        </c:ser>
        <c:ser>
          <c:idx val="3"/>
          <c:order val="3"/>
          <c:tx>
            <c:strRef>
              <c:f>PEA_Género!$K$3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PEA_Género!$A$4:$A$16</c:f>
              <c:strCache>
                <c:ptCount val="11"/>
                <c:pt idx="0">
                  <c:v>2005</c:v>
                </c:pt>
                <c:pt idx="1">
                  <c:v>2006</c:v>
                </c:pt>
                <c:pt idx="2">
                  <c:v>2007</c:v>
                </c:pt>
                <c:pt idx="3">
                  <c:v>2008</c:v>
                </c:pt>
                <c:pt idx="4">
                  <c:v>2009</c:v>
                </c:pt>
                <c:pt idx="5">
                  <c:v>2010</c:v>
                </c:pt>
                <c:pt idx="6">
                  <c:v>2011</c:v>
                </c:pt>
                <c:pt idx="7">
                  <c:v>2012</c:v>
                </c:pt>
                <c:pt idx="8">
                  <c:v>2013</c:v>
                </c:pt>
                <c:pt idx="9">
                  <c:v>2014</c:v>
                </c:pt>
                <c:pt idx="10">
                  <c:v>Ene. 15</c:v>
                </c:pt>
              </c:strCache>
            </c:strRef>
          </c:cat>
          <c:val>
            <c:numRef>
              <c:f>PEA_Género!$K$4:$K$16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0.44478553902624796</c:v>
                </c:pt>
              </c:numCache>
            </c:numRef>
          </c:val>
          <c:smooth val="0"/>
        </c:ser>
        <c:dLbls>
          <c:showLegendKey val="0"/>
          <c:showVal val="0"/>
          <c:showCatName val="0"/>
          <c:showSerName val="0"/>
          <c:showPercent val="0"/>
          <c:showBubbleSize val="0"/>
        </c:dLbls>
        <c:marker val="1"/>
        <c:smooth val="0"/>
        <c:axId val="365321960"/>
        <c:axId val="365322352"/>
      </c:lineChart>
      <c:catAx>
        <c:axId val="365321960"/>
        <c:scaling>
          <c:orientation val="minMax"/>
        </c:scaling>
        <c:delete val="0"/>
        <c:axPos val="b"/>
        <c:numFmt formatCode="General" sourceLinked="1"/>
        <c:majorTickMark val="none"/>
        <c:minorTickMark val="none"/>
        <c:tickLblPos val="nextTo"/>
        <c:txPr>
          <a:bodyPr/>
          <a:lstStyle/>
          <a:p>
            <a:pPr>
              <a:defRPr sz="900"/>
            </a:pPr>
            <a:endParaRPr lang="es-ES"/>
          </a:p>
        </c:txPr>
        <c:crossAx val="365322352"/>
        <c:crosses val="autoZero"/>
        <c:auto val="1"/>
        <c:lblAlgn val="ctr"/>
        <c:lblOffset val="100"/>
        <c:noMultiLvlLbl val="0"/>
      </c:catAx>
      <c:valAx>
        <c:axId val="365322352"/>
        <c:scaling>
          <c:orientation val="minMax"/>
        </c:scaling>
        <c:delete val="1"/>
        <c:axPos val="l"/>
        <c:numFmt formatCode="0.0%" sourceLinked="1"/>
        <c:majorTickMark val="none"/>
        <c:minorTickMark val="none"/>
        <c:tickLblPos val="nextTo"/>
        <c:crossAx val="365321960"/>
        <c:crosses val="autoZero"/>
        <c:crossBetween val="between"/>
      </c:valAx>
    </c:plotArea>
    <c:legend>
      <c:legendPos val="b"/>
      <c:layout>
        <c:manualLayout>
          <c:xMode val="edge"/>
          <c:yMode val="edge"/>
          <c:x val="4.7448374779957676E-2"/>
          <c:y val="0.12141984435351695"/>
          <c:w val="0.9"/>
          <c:h val="6.0051178153946567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400"/>
              <a:t>Afiliados y Cotizantes del SVDS por  Género</a:t>
            </a:r>
          </a:p>
        </c:rich>
      </c:tx>
      <c:overlay val="1"/>
    </c:title>
    <c:autoTitleDeleted val="0"/>
    <c:plotArea>
      <c:layout>
        <c:manualLayout>
          <c:layoutTarget val="inner"/>
          <c:xMode val="edge"/>
          <c:yMode val="edge"/>
          <c:x val="0.13095887025421257"/>
          <c:y val="0.16641279908270851"/>
          <c:w val="0.67603284052770241"/>
          <c:h val="0.73159424184604915"/>
        </c:manualLayout>
      </c:layout>
      <c:barChart>
        <c:barDir val="bar"/>
        <c:grouping val="clustered"/>
        <c:varyColors val="0"/>
        <c:ser>
          <c:idx val="0"/>
          <c:order val="0"/>
          <c:tx>
            <c:strRef>
              <c:f>'Cot.Afil X Sexo'!$AX$6</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'Cot.Afil X Sexo'!$AW$7:$AW$19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Ene.15</c:v>
                </c:pt>
              </c:strCache>
            </c:strRef>
          </c:cat>
          <c:val>
            <c:numRef>
              <c:f>'Cot.Afil X Sexo'!$AX$7:$AX$19</c:f>
              <c:numCache>
                <c:formatCode>#,##0</c:formatCode>
                <c:ptCount val="12"/>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1766896</c:v>
                </c:pt>
              </c:numCache>
            </c:numRef>
          </c:val>
        </c:ser>
        <c:ser>
          <c:idx val="1"/>
          <c:order val="1"/>
          <c:tx>
            <c:strRef>
              <c:f>'Cot.Afil X Sexo'!$AY$6</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0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'Cot.Afil X Sexo'!$AW$7:$AW$19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Ene.15</c:v>
                </c:pt>
              </c:strCache>
            </c:strRef>
          </c:cat>
          <c:val>
            <c:numRef>
              <c:f>'Cot.Afil X Sexo'!$AY$7:$AY$19</c:f>
              <c:numCache>
                <c:formatCode>#,##0</c:formatCode>
                <c:ptCount val="12"/>
                <c:pt idx="0">
                  <c:v>356770</c:v>
                </c:pt>
                <c:pt idx="1">
                  <c:v>386054</c:v>
                </c:pt>
                <c:pt idx="2">
                  <c:v>486327</c:v>
                </c:pt>
                <c:pt idx="3">
                  <c:v>549737</c:v>
                </c:pt>
                <c:pt idx="4">
                  <c:v>552570</c:v>
                </c:pt>
                <c:pt idx="5">
                  <c:v>634008</c:v>
                </c:pt>
                <c:pt idx="6">
                  <c:v>675015</c:v>
                </c:pt>
                <c:pt idx="7">
                  <c:v>702422</c:v>
                </c:pt>
                <c:pt idx="8">
                  <c:v>726141</c:v>
                </c:pt>
                <c:pt idx="9">
                  <c:v>770060</c:v>
                </c:pt>
                <c:pt idx="10">
                  <c:v>835620</c:v>
                </c:pt>
                <c:pt idx="11">
                  <c:v>790179</c:v>
                </c:pt>
              </c:numCache>
            </c:numRef>
          </c:val>
        </c:ser>
        <c:ser>
          <c:idx val="2"/>
          <c:order val="2"/>
          <c:tx>
            <c:strRef>
              <c:f>'Cot.Afil X Sexo'!$AZ$6</c:f>
              <c:strCache>
                <c:ptCount val="1"/>
                <c:pt idx="0">
                  <c:v>Afiliados Femeninos</c:v>
                </c:pt>
              </c:strCache>
            </c:strRef>
          </c:tx>
          <c:spPr>
            <a:solidFill>
              <a:schemeClr val="accent6">
                <a:lumMod val="50000"/>
              </a:schemeClr>
            </a:solidFill>
          </c:spPr>
          <c:invertIfNegative val="0"/>
          <c:dLbls>
            <c:spPr>
              <a:noFill/>
              <a:ln>
                <a:noFill/>
              </a:ln>
              <a:effectLst/>
            </c:spPr>
            <c:txPr>
              <a:bodyPr/>
              <a:lstStyle/>
              <a:p>
                <a:pPr>
                  <a:defRPr sz="9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'Cot.Afil X Sexo'!$AW$7:$AW$19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Ene.15</c:v>
                </c:pt>
              </c:strCache>
            </c:strRef>
          </c:cat>
          <c:val>
            <c:numRef>
              <c:f>'Cot.Afil X Sexo'!$AZ$7:$AZ$19</c:f>
              <c:numCache>
                <c:formatCode>General</c:formatCode>
                <c:ptCount val="12"/>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-1315813</c:v>
                </c:pt>
              </c:numCache>
            </c:numRef>
          </c:val>
        </c:ser>
        <c:ser>
          <c:idx val="3"/>
          <c:order val="3"/>
          <c:tx>
            <c:strRef>
              <c:f>'Cot.Afil X Sexo'!$BA$6</c:f>
              <c:strCache>
                <c:ptCount val="1"/>
                <c:pt idx="0">
                  <c:v>Cotizantes Femeninos</c:v>
                </c:pt>
              </c:strCache>
            </c:strRef>
          </c:tx>
          <c:spPr>
            <a:solidFill>
              <a:schemeClr val="accent6"/>
            </a:solidFill>
          </c:spPr>
          <c:invertIfNegative val="0"/>
          <c:dLbls>
            <c:dLbl>
              <c:idx val="0"/>
              <c:layout>
                <c:manualLayout>
                  <c:x val="-5.2420862164956651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5.3922691481746603E-2"/>
                  <c:y val="-1.9253254801893417E-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5.3502113541195988E-2"/>
                  <c:y val="-2.455760062573540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'Cot.Afil X Sexo'!$AW$7:$AW$19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Ene.15</c:v>
                </c:pt>
              </c:strCache>
            </c:strRef>
          </c:cat>
          <c:val>
            <c:numRef>
              <c:f>'Cot.Afil X Sexo'!$BA$7:$BA$19</c:f>
              <c:numCache>
                <c:formatCode>General</c:formatCode>
                <c:ptCount val="12"/>
                <c:pt idx="0">
                  <c:v>-236516</c:v>
                </c:pt>
                <c:pt idx="1">
                  <c:v>-240561</c:v>
                </c:pt>
                <c:pt idx="2">
                  <c:v>-322169</c:v>
                </c:pt>
                <c:pt idx="3">
                  <c:v>-363466</c:v>
                </c:pt>
                <c:pt idx="4">
                  <c:v>-377173</c:v>
                </c:pt>
                <c:pt idx="5">
                  <c:v>-484285</c:v>
                </c:pt>
                <c:pt idx="6">
                  <c:v>-514586</c:v>
                </c:pt>
                <c:pt idx="7">
                  <c:v>-540358</c:v>
                </c:pt>
                <c:pt idx="8">
                  <c:v>-564996</c:v>
                </c:pt>
                <c:pt idx="9">
                  <c:v>-606906</c:v>
                </c:pt>
                <c:pt idx="10">
                  <c:v>-672772</c:v>
                </c:pt>
                <c:pt idx="11">
                  <c:v>-633017</c:v>
                </c:pt>
              </c:numCache>
            </c:numRef>
          </c:val>
        </c:ser>
        <c:dLbls>
          <c:showLegendKey val="0"/>
          <c:showVal val="0"/>
          <c:showCatName val="0"/>
          <c:showSerName val="0"/>
          <c:showPercent val="0"/>
          <c:showBubbleSize val="0"/>
        </c:dLbls>
        <c:gapWidth val="6"/>
        <c:overlap val="97"/>
        <c:axId val="365323136"/>
        <c:axId val="365323528"/>
      </c:barChart>
      <c:catAx>
        <c:axId val="365323136"/>
        <c:scaling>
          <c:orientation val="minMax"/>
        </c:scaling>
        <c:delete val="0"/>
        <c:axPos val="l"/>
        <c:numFmt formatCode="General" sourceLinked="0"/>
        <c:majorTickMark val="out"/>
        <c:minorTickMark val="none"/>
        <c:tickLblPos val="high"/>
        <c:crossAx val="365323528"/>
        <c:crosses val="autoZero"/>
        <c:auto val="1"/>
        <c:lblAlgn val="ctr"/>
        <c:lblOffset val="100"/>
        <c:noMultiLvlLbl val="0"/>
      </c:catAx>
      <c:valAx>
        <c:axId val="365323528"/>
        <c:scaling>
          <c:orientation val="minMax"/>
        </c:scaling>
        <c:delete val="0"/>
        <c:axPos val="b"/>
        <c:numFmt formatCode="#,##0" sourceLinked="1"/>
        <c:majorTickMark val="out"/>
        <c:minorTickMark val="none"/>
        <c:tickLblPos val="nextTo"/>
        <c:crossAx val="365323136"/>
        <c:crosses val="autoZero"/>
        <c:crossBetween val="between"/>
      </c:valAx>
    </c:plotArea>
    <c:legend>
      <c:legendPos val="r"/>
      <c:layout>
        <c:manualLayout>
          <c:xMode val="edge"/>
          <c:yMode val="edge"/>
          <c:x val="9.2209070506064889E-2"/>
          <c:y val="6.8811332078542772E-2"/>
          <c:w val="0.79605435143632741"/>
          <c:h val="3.672341812195817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Seguro de Vejez, Discapacidad y Sobrevivencia (SVDS)</a:t>
            </a:r>
          </a:p>
          <a:p>
            <a:pPr>
              <a:defRPr sz="2400"/>
            </a:pPr>
            <a:r>
              <a:rPr lang="en-US" sz="2400"/>
              <a:t>Traspasos Totales por Año</a:t>
            </a:r>
          </a:p>
        </c:rich>
      </c:tx>
      <c:layout>
        <c:manualLayout>
          <c:xMode val="edge"/>
          <c:yMode val="edge"/>
          <c:x val="0.29211507728200642"/>
          <c:y val="2.345901144675734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13143190434529"/>
          <c:h val="0.66166339696249343"/>
        </c:manualLayout>
      </c:layout>
      <c:bar3DChart>
        <c:barDir val="col"/>
        <c:grouping val="clustered"/>
        <c:varyColors val="0"/>
        <c:ser>
          <c:idx val="0"/>
          <c:order val="0"/>
          <c:tx>
            <c:strRef>
              <c:f>'Traspasos anual'!$B$4</c:f>
              <c:strCache>
                <c:ptCount val="1"/>
                <c:pt idx="0">
                  <c:v>Traspasos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'Traspasos anual'!$A$5:$A$16</c:f>
              <c:strCache>
                <c:ptCount val="12"/>
                <c:pt idx="0">
                  <c:v>2004</c:v>
                </c:pt>
                <c:pt idx="1">
                  <c:v>2005</c:v>
                </c:pt>
                <c:pt idx="2">
                  <c:v>2006</c:v>
                </c:pt>
                <c:pt idx="3">
                  <c:v>2007</c:v>
                </c:pt>
                <c:pt idx="4">
                  <c:v>2008</c:v>
                </c:pt>
                <c:pt idx="5">
                  <c:v>2009</c:v>
                </c:pt>
                <c:pt idx="6">
                  <c:v>2010</c:v>
                </c:pt>
                <c:pt idx="7">
                  <c:v>2011</c:v>
                </c:pt>
                <c:pt idx="8">
                  <c:v>2012</c:v>
                </c:pt>
                <c:pt idx="9">
                  <c:v>2013</c:v>
                </c:pt>
                <c:pt idx="10">
                  <c:v>2014</c:v>
                </c:pt>
                <c:pt idx="11">
                  <c:v>Ene.15</c:v>
                </c:pt>
              </c:strCache>
            </c:strRef>
          </c:cat>
          <c:val>
            <c:numRef>
              <c:f>'Traspasos anual'!$B$5:$B$16</c:f>
              <c:numCache>
                <c:formatCode>_(* #,##0_);_(* \(#,##0\);_(* "-"??_);_(@_)</c:formatCode>
                <c:ptCount val="12"/>
                <c:pt idx="0">
                  <c:v>1348</c:v>
                </c:pt>
                <c:pt idx="1">
                  <c:v>733</c:v>
                </c:pt>
                <c:pt idx="2">
                  <c:v>1859</c:v>
                </c:pt>
                <c:pt idx="3">
                  <c:v>1247</c:v>
                </c:pt>
                <c:pt idx="4">
                  <c:v>1028</c:v>
                </c:pt>
                <c:pt idx="5">
                  <c:v>25287</c:v>
                </c:pt>
                <c:pt idx="6">
                  <c:v>10644</c:v>
                </c:pt>
                <c:pt idx="7">
                  <c:v>6268</c:v>
                </c:pt>
                <c:pt idx="8">
                  <c:v>10046</c:v>
                </c:pt>
                <c:pt idx="9">
                  <c:v>15740</c:v>
                </c:pt>
                <c:pt idx="10">
                  <c:v>32365</c:v>
                </c:pt>
                <c:pt idx="11">
                  <c:v>1210</c:v>
                </c:pt>
              </c:numCache>
            </c:numRef>
          </c:val>
        </c:ser>
        <c:dLbls>
          <c:showLegendKey val="0"/>
          <c:showVal val="0"/>
          <c:showCatName val="0"/>
          <c:showSerName val="0"/>
          <c:showPercent val="0"/>
          <c:showBubbleSize val="0"/>
        </c:dLbls>
        <c:gapWidth val="43"/>
        <c:gapDepth val="165"/>
        <c:shape val="cone"/>
        <c:axId val="365324312"/>
        <c:axId val="365324704"/>
        <c:axId val="0"/>
      </c:bar3DChart>
      <c:catAx>
        <c:axId val="365324312"/>
        <c:scaling>
          <c:orientation val="minMax"/>
        </c:scaling>
        <c:delete val="0"/>
        <c:axPos val="b"/>
        <c:numFmt formatCode="General" sourceLinked="1"/>
        <c:majorTickMark val="none"/>
        <c:minorTickMark val="none"/>
        <c:tickLblPos val="nextTo"/>
        <c:txPr>
          <a:bodyPr/>
          <a:lstStyle/>
          <a:p>
            <a:pPr>
              <a:defRPr sz="2000"/>
            </a:pPr>
            <a:endParaRPr lang="es-ES"/>
          </a:p>
        </c:txPr>
        <c:crossAx val="365324704"/>
        <c:crosses val="autoZero"/>
        <c:auto val="1"/>
        <c:lblAlgn val="ctr"/>
        <c:lblOffset val="100"/>
        <c:noMultiLvlLbl val="0"/>
      </c:catAx>
      <c:valAx>
        <c:axId val="365324704"/>
        <c:scaling>
          <c:orientation val="minMax"/>
        </c:scaling>
        <c:delete val="1"/>
        <c:axPos val="l"/>
        <c:numFmt formatCode="_(* #,##0_);_(* \(#,##0\);_(* &quot;-&quot;??_);_(@_)" sourceLinked="1"/>
        <c:majorTickMark val="out"/>
        <c:minorTickMark val="none"/>
        <c:tickLblPos val="nextTo"/>
        <c:crossAx val="365324312"/>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Reparto</a:t>
            </a:r>
          </a:p>
        </c:rich>
      </c:tx>
      <c:layout>
        <c:manualLayout>
          <c:xMode val="edge"/>
          <c:yMode val="edge"/>
          <c:x val="0.23477067938573443"/>
          <c:y val="6.132200102136339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 Trasp. recibidos'!$L$4</c:f>
              <c:strCache>
                <c:ptCount val="1"/>
                <c:pt idx="0">
                  <c:v>FPBC</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 Trasp. recibidos'!$M$4</c:f>
              <c:strCache>
                <c:ptCount val="1"/>
                <c:pt idx="0">
                  <c:v>Bco. Reservas</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 Trasp. recibidos'!$N$4</c:f>
              <c:strCache>
                <c:ptCount val="1"/>
                <c:pt idx="0">
                  <c:v>INABIMA</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c:v>
                </c:pt>
              </c:numCache>
            </c:numRef>
          </c:val>
        </c:ser>
        <c:ser>
          <c:idx val="3"/>
          <c:order val="3"/>
          <c:tx>
            <c:strRef>
              <c:f>' 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8426415609943412E-3"/>
                  <c:y val="-5.76382269823905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67480056427E-2"/>
                  <c:y val="-6.809099083252266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5373667117435902E-2"/>
                  <c:y val="-9.6947941398252371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50338076933E-2"/>
                  <c:y val="-4.6535011871160915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141414141414142E-2"/>
                  <c:y val="-4.0874318346863503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0</c:v>
                </c:pt>
              </c:numCache>
            </c:numRef>
          </c:val>
        </c:ser>
        <c:dLbls>
          <c:showLegendKey val="0"/>
          <c:showVal val="0"/>
          <c:showCatName val="0"/>
          <c:showSerName val="0"/>
          <c:showPercent val="0"/>
          <c:showBubbleSize val="0"/>
        </c:dLbls>
        <c:gapWidth val="17"/>
        <c:shape val="cylinder"/>
        <c:axId val="365325488"/>
        <c:axId val="365325880"/>
        <c:axId val="0"/>
      </c:bar3DChart>
      <c:catAx>
        <c:axId val="365325488"/>
        <c:scaling>
          <c:orientation val="minMax"/>
        </c:scaling>
        <c:delete val="0"/>
        <c:axPos val="b"/>
        <c:numFmt formatCode="General" sourceLinked="1"/>
        <c:majorTickMark val="none"/>
        <c:minorTickMark val="none"/>
        <c:tickLblPos val="nextTo"/>
        <c:txPr>
          <a:bodyPr/>
          <a:lstStyle/>
          <a:p>
            <a:pPr>
              <a:defRPr sz="1200"/>
            </a:pPr>
            <a:endParaRPr lang="es-ES"/>
          </a:p>
        </c:txPr>
        <c:crossAx val="365325880"/>
        <c:crosses val="autoZero"/>
        <c:auto val="1"/>
        <c:lblAlgn val="ctr"/>
        <c:lblOffset val="100"/>
        <c:noMultiLvlLbl val="0"/>
      </c:catAx>
      <c:valAx>
        <c:axId val="365325880"/>
        <c:scaling>
          <c:orientation val="minMax"/>
        </c:scaling>
        <c:delete val="1"/>
        <c:axPos val="l"/>
        <c:numFmt formatCode="#,##0" sourceLinked="1"/>
        <c:majorTickMark val="out"/>
        <c:minorTickMark val="none"/>
        <c:tickLblPos val="nextTo"/>
        <c:crossAx val="365325488"/>
        <c:crosses val="autoZero"/>
        <c:crossBetween val="between"/>
      </c:valAx>
      <c:spPr>
        <a:noFill/>
        <a:ln w="25400">
          <a:noFill/>
        </a:ln>
      </c:spPr>
    </c:plotArea>
    <c:legend>
      <c:legendPos val="b"/>
      <c:layout>
        <c:manualLayout>
          <c:xMode val="edge"/>
          <c:yMode val="edge"/>
          <c:x val="3.5885013747076186E-2"/>
          <c:y val="0.14788394248617925"/>
          <c:w val="0.94033246793406999"/>
          <c:h val="3.975542661127753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 Trasp. recibidos'!$B$4</c:f>
              <c:strCache>
                <c:ptCount val="1"/>
                <c:pt idx="0">
                  <c:v>Camino </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 Trasp. recibidos'!$C$4</c:f>
              <c:strCache>
                <c:ptCount val="1"/>
                <c:pt idx="0">
                  <c:v>Caribalico</c:v>
                </c:pt>
              </c:strCache>
            </c:strRef>
          </c:tx>
          <c:spPr>
            <a:solidFill>
              <a:srgbClr val="FF0000"/>
            </a:solidFill>
          </c:spPr>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 Trasp. recibidos'!$D$4</c:f>
              <c:strCache>
                <c:ptCount val="1"/>
                <c:pt idx="0">
                  <c:v>León</c:v>
                </c:pt>
              </c:strCache>
            </c:strRef>
          </c:tx>
          <c:spPr>
            <a:solidFill>
              <a:srgbClr val="002060"/>
            </a:solidFill>
          </c:spPr>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 Trasp. recibidos'!$E$4</c:f>
              <c:strCache>
                <c:ptCount val="1"/>
                <c:pt idx="0">
                  <c:v> Popular</c:v>
                </c:pt>
              </c:strCache>
            </c:strRef>
          </c:tx>
          <c:spPr>
            <a:solidFill>
              <a:schemeClr val="accent3">
                <a:lumMod val="75000"/>
              </a:schemeClr>
            </a:solidFill>
          </c:spPr>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139</c:v>
                </c:pt>
              </c:numCache>
            </c:numRef>
          </c:val>
        </c:ser>
        <c:ser>
          <c:idx val="4"/>
          <c:order val="4"/>
          <c:tx>
            <c:strRef>
              <c:f>' Trasp. recibidos'!$F$4</c:f>
              <c:strCache>
                <c:ptCount val="1"/>
                <c:pt idx="0">
                  <c:v>Porvenir </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 Trasp. recibidos'!$G$4</c:f>
              <c:strCache>
                <c:ptCount val="1"/>
                <c:pt idx="0">
                  <c:v> Reservas </c:v>
                </c:pt>
              </c:strCache>
            </c:strRef>
          </c:tx>
          <c:spPr>
            <a:solidFill>
              <a:schemeClr val="accent5">
                <a:lumMod val="75000"/>
              </a:schemeClr>
            </a:solidFill>
          </c:spPr>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781</c:v>
                </c:pt>
              </c:numCache>
            </c:numRef>
          </c:val>
        </c:ser>
        <c:ser>
          <c:idx val="6"/>
          <c:order val="6"/>
          <c:tx>
            <c:strRef>
              <c:f>' Trasp. recibidos'!$H$4</c:f>
              <c:strCache>
                <c:ptCount val="1"/>
                <c:pt idx="0">
                  <c:v>Romana</c:v>
                </c:pt>
              </c:strCache>
            </c:strRef>
          </c:tx>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recibidos'!$H$5:$H$15</c:f>
              <c:numCache>
                <c:formatCode>#,##0</c:formatCode>
                <c:ptCount val="11"/>
                <c:pt idx="0">
                  <c:v>3</c:v>
                </c:pt>
                <c:pt idx="1">
                  <c:v>19</c:v>
                </c:pt>
                <c:pt idx="2">
                  <c:v>8</c:v>
                </c:pt>
                <c:pt idx="3">
                  <c:v>3</c:v>
                </c:pt>
                <c:pt idx="4">
                  <c:v>3</c:v>
                </c:pt>
                <c:pt idx="5">
                  <c:v>2</c:v>
                </c:pt>
                <c:pt idx="6">
                  <c:v>8</c:v>
                </c:pt>
                <c:pt idx="7">
                  <c:v>11</c:v>
                </c:pt>
                <c:pt idx="8">
                  <c:v>7</c:v>
                </c:pt>
                <c:pt idx="9">
                  <c:v>768</c:v>
                </c:pt>
                <c:pt idx="10">
                  <c:v>66</c:v>
                </c:pt>
              </c:numCache>
            </c:numRef>
          </c:val>
        </c:ser>
        <c:ser>
          <c:idx val="7"/>
          <c:order val="7"/>
          <c:tx>
            <c:strRef>
              <c:f>' Trasp. recibidos'!$I$4</c:f>
              <c:strCache>
                <c:ptCount val="1"/>
                <c:pt idx="0">
                  <c:v>Scotia Crecer</c:v>
                </c:pt>
              </c:strCache>
            </c:strRef>
          </c:tx>
          <c:spPr>
            <a:solidFill>
              <a:srgbClr val="00B050"/>
            </a:solidFill>
          </c:spPr>
          <c:invertIfNegative val="0"/>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38</c:v>
                </c:pt>
              </c:numCache>
            </c:numRef>
          </c:val>
        </c:ser>
        <c:ser>
          <c:idx val="8"/>
          <c:order val="8"/>
          <c:tx>
            <c:strRef>
              <c:f>' 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 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174</c:v>
                </c:pt>
              </c:numCache>
            </c:numRef>
          </c:val>
        </c:ser>
        <c:dLbls>
          <c:showLegendKey val="0"/>
          <c:showVal val="0"/>
          <c:showCatName val="0"/>
          <c:showSerName val="0"/>
          <c:showPercent val="0"/>
          <c:showBubbleSize val="0"/>
        </c:dLbls>
        <c:gapWidth val="29"/>
        <c:shape val="cylinder"/>
        <c:axId val="365326664"/>
        <c:axId val="365327056"/>
        <c:axId val="0"/>
      </c:bar3DChart>
      <c:catAx>
        <c:axId val="365326664"/>
        <c:scaling>
          <c:orientation val="minMax"/>
        </c:scaling>
        <c:delete val="0"/>
        <c:axPos val="b"/>
        <c:numFmt formatCode="General" sourceLinked="1"/>
        <c:majorTickMark val="none"/>
        <c:minorTickMark val="none"/>
        <c:tickLblPos val="nextTo"/>
        <c:txPr>
          <a:bodyPr/>
          <a:lstStyle/>
          <a:p>
            <a:pPr>
              <a:defRPr sz="1200"/>
            </a:pPr>
            <a:endParaRPr lang="es-ES"/>
          </a:p>
        </c:txPr>
        <c:crossAx val="365327056"/>
        <c:crosses val="autoZero"/>
        <c:auto val="1"/>
        <c:lblAlgn val="ctr"/>
        <c:lblOffset val="100"/>
        <c:noMultiLvlLbl val="0"/>
      </c:catAx>
      <c:valAx>
        <c:axId val="365327056"/>
        <c:scaling>
          <c:orientation val="minMax"/>
        </c:scaling>
        <c:delete val="1"/>
        <c:axPos val="l"/>
        <c:numFmt formatCode="#,##0" sourceLinked="1"/>
        <c:majorTickMark val="out"/>
        <c:minorTickMark val="none"/>
        <c:tickLblPos val="nextTo"/>
        <c:crossAx val="36532666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 Trasp. cedidos'!$B$4</c:f>
              <c:strCache>
                <c:ptCount val="1"/>
                <c:pt idx="0">
                  <c:v>Camino </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 Trasp. cedidos'!$C$4</c:f>
              <c:strCache>
                <c:ptCount val="1"/>
                <c:pt idx="0">
                  <c:v>Caribalico</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 Trasp. cedidos'!$D$4</c:f>
              <c:strCache>
                <c:ptCount val="1"/>
                <c:pt idx="0">
                  <c:v>León</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 Trasp. cedidos'!$E$4</c:f>
              <c:strCache>
                <c:ptCount val="1"/>
                <c:pt idx="0">
                  <c:v> Popular</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206</c:v>
                </c:pt>
              </c:numCache>
            </c:numRef>
          </c:val>
        </c:ser>
        <c:ser>
          <c:idx val="4"/>
          <c:order val="4"/>
          <c:tx>
            <c:strRef>
              <c:f>' Trasp. cedidos'!$F$4</c:f>
              <c:strCache>
                <c:ptCount val="1"/>
                <c:pt idx="0">
                  <c:v>Porvenir </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 Trasp. cedidos'!$G$4</c:f>
              <c:strCache>
                <c:ptCount val="1"/>
                <c:pt idx="0">
                  <c:v> Reservas </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143</c:v>
                </c:pt>
              </c:numCache>
            </c:numRef>
          </c:val>
        </c:ser>
        <c:ser>
          <c:idx val="6"/>
          <c:order val="6"/>
          <c:tx>
            <c:strRef>
              <c:f>' Trasp. cedidos'!$H$4</c:f>
              <c:strCache>
                <c:ptCount val="1"/>
                <c:pt idx="0">
                  <c:v>Romana</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7</c:v>
                </c:pt>
              </c:numCache>
            </c:numRef>
          </c:val>
        </c:ser>
        <c:ser>
          <c:idx val="7"/>
          <c:order val="7"/>
          <c:tx>
            <c:strRef>
              <c:f>' Trasp. cedidos'!$I$4</c:f>
              <c:strCache>
                <c:ptCount val="1"/>
                <c:pt idx="0">
                  <c:v>Scotia Crecer</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527</c:v>
                </c:pt>
              </c:numCache>
            </c:numRef>
          </c:val>
        </c:ser>
        <c:ser>
          <c:idx val="8"/>
          <c:order val="8"/>
          <c:tx>
            <c:strRef>
              <c:f>' 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313</c:v>
                </c:pt>
              </c:numCache>
            </c:numRef>
          </c:val>
        </c:ser>
        <c:dLbls>
          <c:showLegendKey val="0"/>
          <c:showVal val="0"/>
          <c:showCatName val="0"/>
          <c:showSerName val="0"/>
          <c:showPercent val="0"/>
          <c:showBubbleSize val="0"/>
        </c:dLbls>
        <c:gapWidth val="21"/>
        <c:shape val="cylinder"/>
        <c:axId val="365327840"/>
        <c:axId val="365328232"/>
        <c:axId val="0"/>
      </c:bar3DChart>
      <c:catAx>
        <c:axId val="365327840"/>
        <c:scaling>
          <c:orientation val="minMax"/>
        </c:scaling>
        <c:delete val="0"/>
        <c:axPos val="b"/>
        <c:numFmt formatCode="General" sourceLinked="1"/>
        <c:majorTickMark val="none"/>
        <c:minorTickMark val="none"/>
        <c:tickLblPos val="nextTo"/>
        <c:txPr>
          <a:bodyPr/>
          <a:lstStyle/>
          <a:p>
            <a:pPr>
              <a:defRPr sz="1050"/>
            </a:pPr>
            <a:endParaRPr lang="es-ES"/>
          </a:p>
        </c:txPr>
        <c:crossAx val="365328232"/>
        <c:crosses val="autoZero"/>
        <c:auto val="1"/>
        <c:lblAlgn val="ctr"/>
        <c:lblOffset val="100"/>
        <c:noMultiLvlLbl val="0"/>
      </c:catAx>
      <c:valAx>
        <c:axId val="365328232"/>
        <c:scaling>
          <c:orientation val="minMax"/>
        </c:scaling>
        <c:delete val="1"/>
        <c:axPos val="l"/>
        <c:numFmt formatCode="0" sourceLinked="1"/>
        <c:majorTickMark val="out"/>
        <c:minorTickMark val="none"/>
        <c:tickLblPos val="nextTo"/>
        <c:crossAx val="36532784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 Trasp. cedidos'!$L$4</c:f>
              <c:strCache>
                <c:ptCount val="1"/>
                <c:pt idx="0">
                  <c:v>FPBC</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cedidos'!$L$5:$L$15</c:f>
              <c:numCache>
                <c:formatCode>0</c:formatCode>
                <c:ptCount val="11"/>
                <c:pt idx="0">
                  <c:v>0</c:v>
                </c:pt>
                <c:pt idx="1">
                  <c:v>259</c:v>
                </c:pt>
                <c:pt idx="2">
                  <c:v>25</c:v>
                </c:pt>
                <c:pt idx="3">
                  <c:v>7</c:v>
                </c:pt>
                <c:pt idx="4">
                  <c:v>7</c:v>
                </c:pt>
                <c:pt idx="5">
                  <c:v>5</c:v>
                </c:pt>
                <c:pt idx="6">
                  <c:v>23</c:v>
                </c:pt>
                <c:pt idx="7">
                  <c:v>3</c:v>
                </c:pt>
                <c:pt idx="8">
                  <c:v>7</c:v>
                </c:pt>
                <c:pt idx="9">
                  <c:v>5</c:v>
                </c:pt>
                <c:pt idx="10">
                  <c:v>0</c:v>
                </c:pt>
              </c:numCache>
            </c:numRef>
          </c:val>
        </c:ser>
        <c:ser>
          <c:idx val="1"/>
          <c:order val="1"/>
          <c:tx>
            <c:strRef>
              <c:f>' 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70422864243957E-2"/>
                  <c:y val="-4.58878445156742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3</c:v>
                </c:pt>
              </c:numCache>
            </c:numRef>
          </c:val>
        </c:ser>
        <c:ser>
          <c:idx val="2"/>
          <c:order val="2"/>
          <c:tx>
            <c:strRef>
              <c:f>' Trasp. cedidos'!$N$4</c:f>
              <c:strCache>
                <c:ptCount val="1"/>
                <c:pt idx="0">
                  <c:v>INABIMA</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 Trasp. cedidos'!$O$4</c:f>
              <c:strCache>
                <c:ptCount val="1"/>
                <c:pt idx="0">
                  <c:v>S.E.H.</c:v>
                </c:pt>
              </c:strCache>
            </c:strRef>
          </c:tx>
          <c:invertIfNegative val="0"/>
          <c:cat>
            <c:strRef>
              <c:f>' 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Trasp. cedidos'!$O$5:$O$15</c:f>
              <c:numCache>
                <c:formatCode>0</c:formatCode>
                <c:ptCount val="11"/>
                <c:pt idx="0">
                  <c:v>0</c:v>
                </c:pt>
                <c:pt idx="1">
                  <c:v>0</c:v>
                </c:pt>
                <c:pt idx="2">
                  <c:v>0</c:v>
                </c:pt>
                <c:pt idx="3">
                  <c:v>0</c:v>
                </c:pt>
                <c:pt idx="4">
                  <c:v>0</c:v>
                </c:pt>
                <c:pt idx="5">
                  <c:v>0</c:v>
                </c:pt>
                <c:pt idx="6">
                  <c:v>0</c:v>
                </c:pt>
                <c:pt idx="7">
                  <c:v>0</c:v>
                </c:pt>
                <c:pt idx="8">
                  <c:v>0</c:v>
                </c:pt>
                <c:pt idx="9">
                  <c:v>7</c:v>
                </c:pt>
                <c:pt idx="10">
                  <c:v>11</c:v>
                </c:pt>
              </c:numCache>
            </c:numRef>
          </c:val>
        </c:ser>
        <c:dLbls>
          <c:showLegendKey val="0"/>
          <c:showVal val="0"/>
          <c:showCatName val="0"/>
          <c:showSerName val="0"/>
          <c:showPercent val="0"/>
          <c:showBubbleSize val="0"/>
        </c:dLbls>
        <c:gapWidth val="13"/>
        <c:shape val="cylinder"/>
        <c:axId val="365329016"/>
        <c:axId val="365329408"/>
        <c:axId val="0"/>
      </c:bar3DChart>
      <c:catAx>
        <c:axId val="365329016"/>
        <c:scaling>
          <c:orientation val="minMax"/>
        </c:scaling>
        <c:delete val="0"/>
        <c:axPos val="b"/>
        <c:numFmt formatCode="General" sourceLinked="1"/>
        <c:majorTickMark val="none"/>
        <c:minorTickMark val="none"/>
        <c:tickLblPos val="nextTo"/>
        <c:txPr>
          <a:bodyPr/>
          <a:lstStyle/>
          <a:p>
            <a:pPr>
              <a:defRPr sz="1050"/>
            </a:pPr>
            <a:endParaRPr lang="es-ES"/>
          </a:p>
        </c:txPr>
        <c:crossAx val="365329408"/>
        <c:crosses val="autoZero"/>
        <c:auto val="1"/>
        <c:lblAlgn val="ctr"/>
        <c:lblOffset val="100"/>
        <c:noMultiLvlLbl val="0"/>
      </c:catAx>
      <c:valAx>
        <c:axId val="365329408"/>
        <c:scaling>
          <c:orientation val="minMax"/>
        </c:scaling>
        <c:delete val="1"/>
        <c:axPos val="l"/>
        <c:numFmt formatCode="0" sourceLinked="1"/>
        <c:majorTickMark val="out"/>
        <c:minorTickMark val="none"/>
        <c:tickLblPos val="nextTo"/>
        <c:crossAx val="36532901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'Trasp. netos '!$B$4</c:f>
              <c:strCache>
                <c:ptCount val="1"/>
                <c:pt idx="0">
                  <c:v>Camino </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'Trasp. netos '!$C$4</c:f>
              <c:strCache>
                <c:ptCount val="1"/>
                <c:pt idx="0">
                  <c:v>Caribalico</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'Trasp. netos '!$D$4</c:f>
              <c:strCache>
                <c:ptCount val="1"/>
                <c:pt idx="0">
                  <c:v>León</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'Trasp. netos '!$E$4</c:f>
              <c:strCache>
                <c:ptCount val="1"/>
                <c:pt idx="0">
                  <c:v> Popular</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-67</c:v>
                </c:pt>
              </c:numCache>
            </c:numRef>
          </c:val>
        </c:ser>
        <c:ser>
          <c:idx val="4"/>
          <c:order val="4"/>
          <c:tx>
            <c:strRef>
              <c:f>'Trasp. netos '!$F$4</c:f>
              <c:strCache>
                <c:ptCount val="1"/>
                <c:pt idx="0">
                  <c:v>Porvenir </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'Trasp. netos '!$G$4</c:f>
              <c:strCache>
                <c:ptCount val="1"/>
                <c:pt idx="0">
                  <c:v> Reservas </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638</c:v>
                </c:pt>
              </c:numCache>
            </c:numRef>
          </c:val>
        </c:ser>
        <c:ser>
          <c:idx val="6"/>
          <c:order val="6"/>
          <c:tx>
            <c:strRef>
              <c:f>'Trasp. netos '!$H$4</c:f>
              <c:strCache>
                <c:ptCount val="1"/>
                <c:pt idx="0">
                  <c:v>Romana</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'!$H$5:$H$15</c:f>
              <c:numCache>
                <c:formatCode>#,##0_);[Red]\(#,##0\)</c:formatCode>
                <c:ptCount val="11"/>
                <c:pt idx="0">
                  <c:v>-5</c:v>
                </c:pt>
                <c:pt idx="1">
                  <c:v>14</c:v>
                </c:pt>
                <c:pt idx="2">
                  <c:v>0</c:v>
                </c:pt>
                <c:pt idx="3">
                  <c:v>-16</c:v>
                </c:pt>
                <c:pt idx="4">
                  <c:v>-56</c:v>
                </c:pt>
                <c:pt idx="5">
                  <c:v>-20</c:v>
                </c:pt>
                <c:pt idx="6">
                  <c:v>-15</c:v>
                </c:pt>
                <c:pt idx="7">
                  <c:v>-28</c:v>
                </c:pt>
                <c:pt idx="8">
                  <c:v>-26</c:v>
                </c:pt>
                <c:pt idx="9">
                  <c:v>661</c:v>
                </c:pt>
                <c:pt idx="10">
                  <c:v>59</c:v>
                </c:pt>
              </c:numCache>
            </c:numRef>
          </c:val>
        </c:ser>
        <c:ser>
          <c:idx val="7"/>
          <c:order val="7"/>
          <c:tx>
            <c:strRef>
              <c:f>'Trasp. netos '!$I$4</c:f>
              <c:strCache>
                <c:ptCount val="1"/>
                <c:pt idx="0">
                  <c:v>Scotia Crecer</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-489</c:v>
                </c:pt>
              </c:numCache>
            </c:numRef>
          </c:val>
        </c:ser>
        <c:ser>
          <c:idx val="8"/>
          <c:order val="8"/>
          <c:tx>
            <c:strRef>
              <c:f>'Trasp. netos '!$J$4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-139</c:v>
                </c:pt>
              </c:numCache>
            </c:numRef>
          </c:val>
        </c:ser>
        <c:dLbls>
          <c:showLegendKey val="0"/>
          <c:showVal val="0"/>
          <c:showCatName val="0"/>
          <c:showSerName val="0"/>
          <c:showPercent val="0"/>
          <c:showBubbleSize val="0"/>
        </c:dLbls>
        <c:gapWidth val="42"/>
        <c:shape val="cylinder"/>
        <c:axId val="365330192"/>
        <c:axId val="365330976"/>
        <c:axId val="0"/>
      </c:bar3DChart>
      <c:catAx>
        <c:axId val="365330192"/>
        <c:scaling>
          <c:orientation val="minMax"/>
        </c:scaling>
        <c:delete val="0"/>
        <c:axPos val="b"/>
        <c:numFmt formatCode="General" sourceLinked="1"/>
        <c:majorTickMark val="none"/>
        <c:minorTickMark val="none"/>
        <c:tickLblPos val="low"/>
        <c:txPr>
          <a:bodyPr/>
          <a:lstStyle/>
          <a:p>
            <a:pPr>
              <a:defRPr lang="en-US" sz="1600"/>
            </a:pPr>
            <a:endParaRPr lang="es-ES"/>
          </a:p>
        </c:txPr>
        <c:crossAx val="365330976"/>
        <c:crosses val="autoZero"/>
        <c:auto val="1"/>
        <c:lblAlgn val="ctr"/>
        <c:lblOffset val="100"/>
        <c:noMultiLvlLbl val="0"/>
      </c:catAx>
      <c:valAx>
        <c:axId val="365330976"/>
        <c:scaling>
          <c:orientation val="minMax"/>
        </c:scaling>
        <c:delete val="1"/>
        <c:axPos val="l"/>
        <c:numFmt formatCode="#,##0_);[Red]\(#,##0\)" sourceLinked="1"/>
        <c:majorTickMark val="out"/>
        <c:minorTickMark val="none"/>
        <c:tickLblPos val="nextTo"/>
        <c:crossAx val="365330192"/>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'Trasp. netos '!$L$4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'!$L$5:$L$15</c:f>
              <c:numCache>
                <c:formatCode>#,##0_);[Red]\(#,##0\)</c:formatCode>
                <c:ptCount val="11"/>
                <c:pt idx="0">
                  <c:v>0</c:v>
                </c:pt>
                <c:pt idx="1">
                  <c:v>-259</c:v>
                </c:pt>
                <c:pt idx="2">
                  <c:v>-25</c:v>
                </c:pt>
                <c:pt idx="3">
                  <c:v>-7</c:v>
                </c:pt>
                <c:pt idx="4">
                  <c:v>-7</c:v>
                </c:pt>
                <c:pt idx="5">
                  <c:v>-5</c:v>
                </c:pt>
                <c:pt idx="6">
                  <c:v>-23</c:v>
                </c:pt>
                <c:pt idx="7">
                  <c:v>-3</c:v>
                </c:pt>
                <c:pt idx="8">
                  <c:v>-7</c:v>
                </c:pt>
                <c:pt idx="9">
                  <c:v>-5</c:v>
                </c:pt>
                <c:pt idx="10">
                  <c:v>0</c:v>
                </c:pt>
              </c:numCache>
            </c:numRef>
          </c:val>
        </c:ser>
        <c:ser>
          <c:idx val="1"/>
          <c:order val="1"/>
          <c:tx>
            <c:strRef>
              <c:f>'Trasp. netos '!$M$4</c:f>
              <c:strCache>
                <c:ptCount val="1"/>
                <c:pt idx="0">
                  <c:v>Bco Reservas</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'!$M$5:$M$15</c:f>
              <c:numCache>
                <c:formatCode>#,##0_);[Red]\(#,##0\)</c:formatCode>
                <c:ptCount val="11"/>
                <c:pt idx="0">
                  <c:v>0</c:v>
                </c:pt>
                <c:pt idx="1">
                  <c:v>-719</c:v>
                </c:pt>
                <c:pt idx="2">
                  <c:v>-77</c:v>
                </c:pt>
                <c:pt idx="3">
                  <c:v>-59</c:v>
                </c:pt>
                <c:pt idx="4">
                  <c:v>-64</c:v>
                </c:pt>
                <c:pt idx="5">
                  <c:v>-42</c:v>
                </c:pt>
                <c:pt idx="6">
                  <c:v>-41</c:v>
                </c:pt>
                <c:pt idx="7">
                  <c:v>497</c:v>
                </c:pt>
                <c:pt idx="8">
                  <c:v>-32</c:v>
                </c:pt>
                <c:pt idx="9">
                  <c:v>-32</c:v>
                </c:pt>
                <c:pt idx="10">
                  <c:v>8</c:v>
                </c:pt>
              </c:numCache>
            </c:numRef>
          </c:val>
        </c:ser>
        <c:ser>
          <c:idx val="2"/>
          <c:order val="2"/>
          <c:tx>
            <c:strRef>
              <c:f>'Trasp. netos '!$N$4</c:f>
              <c:strCache>
                <c:ptCount val="1"/>
                <c:pt idx="0">
                  <c:v>INABIMA</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c:v>
                </c:pt>
              </c:numCache>
            </c:numRef>
          </c:val>
        </c:ser>
        <c:ser>
          <c:idx val="3"/>
          <c:order val="3"/>
          <c:tx>
            <c:strRef>
              <c:f>'Trasp. netos '!$O$4</c:f>
              <c:strCache>
                <c:ptCount val="1"/>
                <c:pt idx="0">
                  <c:v>M.H.</c:v>
                </c:pt>
              </c:strCache>
            </c:strRef>
          </c:tx>
          <c:invertIfNegative val="0"/>
          <c:cat>
            <c:strRef>
              <c:f>'Trasp. netos '!$A$5:$A$15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'Trasp. netos '!$O$5:$O$15</c:f>
              <c:numCache>
                <c:formatCode>#,##0_);[Red]\(#,##0\)</c:formatCode>
                <c:ptCount val="11"/>
                <c:pt idx="0">
                  <c:v>0</c:v>
                </c:pt>
                <c:pt idx="1">
                  <c:v>20</c:v>
                </c:pt>
                <c:pt idx="2">
                  <c:v>0</c:v>
                </c:pt>
                <c:pt idx="3">
                  <c:v>0</c:v>
                </c:pt>
                <c:pt idx="4">
                  <c:v>2582</c:v>
                </c:pt>
                <c:pt idx="5">
                  <c:v>4114</c:v>
                </c:pt>
                <c:pt idx="6">
                  <c:v>199</c:v>
                </c:pt>
                <c:pt idx="7">
                  <c:v>17</c:v>
                </c:pt>
                <c:pt idx="8">
                  <c:v>1532</c:v>
                </c:pt>
                <c:pt idx="9">
                  <c:v>455</c:v>
                </c:pt>
                <c:pt idx="10">
                  <c:v>-11</c:v>
                </c:pt>
              </c:numCache>
            </c:numRef>
          </c:val>
        </c:ser>
        <c:dLbls>
          <c:showLegendKey val="0"/>
          <c:showVal val="0"/>
          <c:showCatName val="0"/>
          <c:showSerName val="0"/>
          <c:showPercent val="0"/>
          <c:showBubbleSize val="0"/>
        </c:dLbls>
        <c:gapWidth val="41"/>
        <c:shape val="cylinder"/>
        <c:axId val="365331760"/>
        <c:axId val="365332152"/>
        <c:axId val="0"/>
      </c:bar3DChart>
      <c:catAx>
        <c:axId val="365331760"/>
        <c:scaling>
          <c:orientation val="minMax"/>
        </c:scaling>
        <c:delete val="0"/>
        <c:axPos val="b"/>
        <c:numFmt formatCode="General" sourceLinked="1"/>
        <c:majorTickMark val="none"/>
        <c:minorTickMark val="none"/>
        <c:tickLblPos val="low"/>
        <c:txPr>
          <a:bodyPr/>
          <a:lstStyle/>
          <a:p>
            <a:pPr>
              <a:defRPr lang="en-US" sz="1600"/>
            </a:pPr>
            <a:endParaRPr lang="es-ES"/>
          </a:p>
        </c:txPr>
        <c:crossAx val="365332152"/>
        <c:crosses val="autoZero"/>
        <c:auto val="1"/>
        <c:lblAlgn val="ctr"/>
        <c:lblOffset val="100"/>
        <c:noMultiLvlLbl val="0"/>
      </c:catAx>
      <c:valAx>
        <c:axId val="365332152"/>
        <c:scaling>
          <c:orientation val="minMax"/>
        </c:scaling>
        <c:delete val="1"/>
        <c:axPos val="l"/>
        <c:numFmt formatCode="#,##0_);[Red]\(#,##0\)" sourceLinked="1"/>
        <c:majorTickMark val="out"/>
        <c:minorTickMark val="none"/>
        <c:tickLblPos val="nextTo"/>
        <c:crossAx val="365331760"/>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Comparativo Afiliación al SRL en Relación a la Población Ocupada en el Sector Formal </a:t>
            </a:r>
          </a:p>
        </c:rich>
      </c:tx>
      <c:layout>
        <c:manualLayout>
          <c:xMode val="edge"/>
          <c:yMode val="edge"/>
          <c:x val="0.25041956834064028"/>
          <c:y val="2.7603205014654693E-2"/>
        </c:manualLayout>
      </c:layout>
      <c:overlay val="1"/>
    </c:title>
    <c:autoTitleDeleted val="0"/>
    <c:plotArea>
      <c:layout>
        <c:manualLayout>
          <c:layoutTarget val="inner"/>
          <c:xMode val="edge"/>
          <c:yMode val="edge"/>
          <c:x val="7.8354622041382826E-2"/>
          <c:y val="0.21364994250847888"/>
          <c:w val="0.8522844580060126"/>
          <c:h val="0.62874658827310925"/>
        </c:manualLayout>
      </c:layout>
      <c:barChart>
        <c:barDir val="col"/>
        <c:grouping val="clustered"/>
        <c:varyColors val="0"/>
        <c:ser>
          <c:idx val="0"/>
          <c:order val="0"/>
          <c:tx>
            <c:strRef>
              <c:f>' 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SRL'!$A$4:$A$11</c:f>
              <c:strCache>
                <c:ptCount val="8"/>
                <c:pt idx="0">
                  <c:v> 2008</c:v>
                </c:pt>
                <c:pt idx="1">
                  <c:v> 2009</c:v>
                </c:pt>
                <c:pt idx="2">
                  <c:v> 2010</c:v>
                </c:pt>
                <c:pt idx="3">
                  <c:v> 2011</c:v>
                </c:pt>
                <c:pt idx="4">
                  <c:v> 2012</c:v>
                </c:pt>
                <c:pt idx="5">
                  <c:v>2013</c:v>
                </c:pt>
                <c:pt idx="6">
                  <c:v>2014</c:v>
                </c:pt>
                <c:pt idx="7">
                  <c:v>Ene.2015</c:v>
                </c:pt>
              </c:strCache>
            </c:strRef>
          </c:cat>
          <c:val>
            <c:numRef>
              <c:f>' 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 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SRL'!$A$4:$A$11</c:f>
              <c:strCache>
                <c:ptCount val="8"/>
                <c:pt idx="0">
                  <c:v> 2008</c:v>
                </c:pt>
                <c:pt idx="1">
                  <c:v> 2009</c:v>
                </c:pt>
                <c:pt idx="2">
                  <c:v> 2010</c:v>
                </c:pt>
                <c:pt idx="3">
                  <c:v> 2011</c:v>
                </c:pt>
                <c:pt idx="4">
                  <c:v> 2012</c:v>
                </c:pt>
                <c:pt idx="5">
                  <c:v>2013</c:v>
                </c:pt>
                <c:pt idx="6">
                  <c:v>2014</c:v>
                </c:pt>
                <c:pt idx="7">
                  <c:v>Ene.2015</c:v>
                </c:pt>
              </c:strCache>
            </c:strRef>
          </c:cat>
          <c:val>
            <c:numRef>
              <c:f>' Afil. SRL'!$D$4:$D$11</c:f>
              <c:numCache>
                <c:formatCode>#,##0_);[Red]\(#,##0\)</c:formatCode>
                <c:ptCount val="8"/>
                <c:pt idx="0">
                  <c:v>1188229</c:v>
                </c:pt>
                <c:pt idx="1">
                  <c:v>1227725</c:v>
                </c:pt>
                <c:pt idx="2">
                  <c:v>1299087</c:v>
                </c:pt>
                <c:pt idx="3">
                  <c:v>1367790</c:v>
                </c:pt>
                <c:pt idx="4">
                  <c:v>1430273</c:v>
                </c:pt>
                <c:pt idx="5">
                  <c:v>1530322</c:v>
                </c:pt>
                <c:pt idx="6">
                  <c:v>1651202</c:v>
                </c:pt>
                <c:pt idx="7">
                  <c:v>1654484</c:v>
                </c:pt>
              </c:numCache>
            </c:numRef>
          </c:val>
        </c:ser>
        <c:dLbls>
          <c:showLegendKey val="0"/>
          <c:showVal val="0"/>
          <c:showCatName val="0"/>
          <c:showSerName val="0"/>
          <c:showPercent val="0"/>
          <c:showBubbleSize val="0"/>
        </c:dLbls>
        <c:gapWidth val="65"/>
        <c:axId val="365332936"/>
        <c:axId val="365333328"/>
      </c:barChart>
      <c:lineChart>
        <c:grouping val="standard"/>
        <c:varyColors val="0"/>
        <c:ser>
          <c:idx val="2"/>
          <c:order val="2"/>
          <c:tx>
            <c:strRef>
              <c:f>' 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565485433212687E-3"/>
                  <c:y val="-2.4558158540203417E-2"/>
                </c:manualLayout>
              </c:layout>
              <c:spPr/>
              <c:txPr>
                <a:bodyPr/>
                <a:lstStyle/>
                <a:p>
                  <a:pPr>
                    <a:defRPr sz="18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Afil. SRL'!$A$4:$A$11</c:f>
              <c:strCache>
                <c:ptCount val="8"/>
                <c:pt idx="0">
                  <c:v> 2008</c:v>
                </c:pt>
                <c:pt idx="1">
                  <c:v> 2009</c:v>
                </c:pt>
                <c:pt idx="2">
                  <c:v> 2010</c:v>
                </c:pt>
                <c:pt idx="3">
                  <c:v> 2011</c:v>
                </c:pt>
                <c:pt idx="4">
                  <c:v> 2012</c:v>
                </c:pt>
                <c:pt idx="5">
                  <c:v>2013</c:v>
                </c:pt>
                <c:pt idx="6">
                  <c:v>2014</c:v>
                </c:pt>
                <c:pt idx="7">
                  <c:v>Ene.2015</c:v>
                </c:pt>
              </c:strCache>
            </c:strRef>
          </c:cat>
          <c:val>
            <c:numRef>
              <c:f>' 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0.88688691908211004</c:v>
                </c:pt>
              </c:numCache>
            </c:numRef>
          </c:val>
          <c:smooth val="0"/>
        </c:ser>
        <c:dLbls>
          <c:showLegendKey val="0"/>
          <c:showVal val="0"/>
          <c:showCatName val="0"/>
          <c:showSerName val="0"/>
          <c:showPercent val="0"/>
          <c:showBubbleSize val="0"/>
        </c:dLbls>
        <c:marker val="1"/>
        <c:smooth val="0"/>
        <c:axId val="365334112"/>
        <c:axId val="365333720"/>
      </c:lineChart>
      <c:catAx>
        <c:axId val="365332936"/>
        <c:scaling>
          <c:orientation val="minMax"/>
        </c:scaling>
        <c:delete val="0"/>
        <c:axPos val="b"/>
        <c:numFmt formatCode="General" sourceLinked="1"/>
        <c:majorTickMark val="none"/>
        <c:minorTickMark val="none"/>
        <c:tickLblPos val="nextTo"/>
        <c:txPr>
          <a:bodyPr/>
          <a:lstStyle/>
          <a:p>
            <a:pPr>
              <a:defRPr sz="1600"/>
            </a:pPr>
            <a:endParaRPr lang="es-ES"/>
          </a:p>
        </c:txPr>
        <c:crossAx val="365333328"/>
        <c:crosses val="autoZero"/>
        <c:auto val="1"/>
        <c:lblAlgn val="ctr"/>
        <c:lblOffset val="100"/>
        <c:noMultiLvlLbl val="0"/>
      </c:catAx>
      <c:valAx>
        <c:axId val="365333328"/>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65332936"/>
        <c:crosses val="autoZero"/>
        <c:crossBetween val="between"/>
        <c:majorUnit val="200000"/>
        <c:minorUnit val="40000"/>
        <c:dispUnits>
          <c:builtInUnit val="thousands"/>
          <c:dispUnitsLbl>
            <c:layout>
              <c:manualLayout>
                <c:xMode val="edge"/>
                <c:yMode val="edge"/>
                <c:x val="1.5328544572216475E-2"/>
                <c:y val="0.42319594934009097"/>
              </c:manualLayout>
            </c:layout>
            <c:txPr>
              <a:bodyPr/>
              <a:lstStyle/>
              <a:p>
                <a:pPr>
                  <a:defRPr sz="1800" b="0"/>
                </a:pPr>
                <a:endParaRPr lang="es-ES"/>
              </a:p>
            </c:txPr>
          </c:dispUnitsLbl>
        </c:dispUnits>
      </c:valAx>
      <c:valAx>
        <c:axId val="365333720"/>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65334112"/>
        <c:crosses val="max"/>
        <c:crossBetween val="between"/>
      </c:valAx>
      <c:catAx>
        <c:axId val="365334112"/>
        <c:scaling>
          <c:orientation val="minMax"/>
        </c:scaling>
        <c:delete val="1"/>
        <c:axPos val="b"/>
        <c:numFmt formatCode="General" sourceLinked="1"/>
        <c:majorTickMark val="out"/>
        <c:minorTickMark val="none"/>
        <c:tickLblPos val="nextTo"/>
        <c:crossAx val="365333720"/>
        <c:crosses val="autoZero"/>
        <c:auto val="1"/>
        <c:lblAlgn val="ctr"/>
        <c:lblOffset val="100"/>
        <c:noMultiLvlLbl val="0"/>
      </c:catAx>
    </c:plotArea>
    <c:legend>
      <c:legendPos val="b"/>
      <c:layout>
        <c:manualLayout>
          <c:xMode val="edge"/>
          <c:yMode val="edge"/>
          <c:x val="0.19049524735030968"/>
          <c:y val="0.12033679713709119"/>
          <c:w val="0.64828017393348214"/>
          <c:h val="5.229927961041249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Trabajadores Afiliados Activos al SDSS, por  Sexo y Edad
</a:t>
            </a:r>
          </a:p>
        </c:rich>
      </c:tx>
      <c:overlay val="0"/>
    </c:title>
    <c:autoTitleDeleted val="0"/>
    <c:plotArea>
      <c:layout>
        <c:manualLayout>
          <c:layoutTarget val="inner"/>
          <c:xMode val="edge"/>
          <c:yMode val="edge"/>
          <c:x val="9.3784791355418784E-3"/>
          <c:y val="0.11929595004164947"/>
          <c:w val="0.98158379785621674"/>
          <c:h val="0.77088833579729399"/>
        </c:manualLayout>
      </c:layout>
      <c:barChart>
        <c:barDir val="col"/>
        <c:grouping val="clustered"/>
        <c:varyColors val="0"/>
        <c:ser>
          <c:idx val="1"/>
          <c:order val="1"/>
          <c:tx>
            <c:strRef>
              <c:f>'Empl xsexoy edad'!$C$4</c:f>
              <c:strCache>
                <c:ptCount val="1"/>
                <c:pt idx="0">
                  <c:v>Total empresas</c:v>
                </c:pt>
              </c:strCache>
            </c:strRef>
          </c:tx>
          <c:invertIfNegative val="0"/>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edad'!$C$5:$C$19</c:f>
            </c:numRef>
          </c:val>
        </c:ser>
        <c:ser>
          <c:idx val="3"/>
          <c:order val="3"/>
          <c:tx>
            <c:strRef>
              <c:f>'Empl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edad'!$E$5:$E$19</c:f>
              <c:numCache>
                <c:formatCode>_(* #,##0_);_(* \(#,##0\);_(* "-"??_);_(@_)</c:formatCode>
                <c:ptCount val="15"/>
                <c:pt idx="0">
                  <c:v>8562</c:v>
                </c:pt>
                <c:pt idx="1">
                  <c:v>86362</c:v>
                </c:pt>
                <c:pt idx="2">
                  <c:v>112955</c:v>
                </c:pt>
                <c:pt idx="3">
                  <c:v>113406</c:v>
                </c:pt>
                <c:pt idx="4">
                  <c:v>105059</c:v>
                </c:pt>
                <c:pt idx="5">
                  <c:v>89431</c:v>
                </c:pt>
                <c:pt idx="6">
                  <c:v>76257</c:v>
                </c:pt>
                <c:pt idx="7">
                  <c:v>57344</c:v>
                </c:pt>
                <c:pt idx="8">
                  <c:v>38567</c:v>
                </c:pt>
                <c:pt idx="9">
                  <c:v>22220</c:v>
                </c:pt>
                <c:pt idx="10">
                  <c:v>11010</c:v>
                </c:pt>
                <c:pt idx="11">
                  <c:v>5098</c:v>
                </c:pt>
                <c:pt idx="12">
                  <c:v>2739</c:v>
                </c:pt>
                <c:pt idx="13">
                  <c:v>1287</c:v>
                </c:pt>
                <c:pt idx="14">
                  <c:v>824</c:v>
                </c:pt>
              </c:numCache>
            </c:numRef>
          </c:val>
        </c:ser>
        <c:ser>
          <c:idx val="0"/>
          <c:order val="0"/>
          <c:tx>
            <c:strRef>
              <c:f>'Empl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edad'!$B$5:$B$19</c:f>
              <c:numCache>
                <c:formatCode>_(* #,##0_);_(* \(#,##0\);_(* "-"??_);_(@_)</c:formatCode>
                <c:ptCount val="15"/>
                <c:pt idx="0">
                  <c:v>12390</c:v>
                </c:pt>
                <c:pt idx="1">
                  <c:v>118089</c:v>
                </c:pt>
                <c:pt idx="2">
                  <c:v>144166</c:v>
                </c:pt>
                <c:pt idx="3">
                  <c:v>134946</c:v>
                </c:pt>
                <c:pt idx="4">
                  <c:v>120443</c:v>
                </c:pt>
                <c:pt idx="5">
                  <c:v>102316</c:v>
                </c:pt>
                <c:pt idx="6">
                  <c:v>88561</c:v>
                </c:pt>
                <c:pt idx="7">
                  <c:v>71519</c:v>
                </c:pt>
                <c:pt idx="8">
                  <c:v>54018</c:v>
                </c:pt>
                <c:pt idx="9">
                  <c:v>35303</c:v>
                </c:pt>
                <c:pt idx="10">
                  <c:v>20542</c:v>
                </c:pt>
                <c:pt idx="11">
                  <c:v>10694</c:v>
                </c:pt>
                <c:pt idx="12">
                  <c:v>5819</c:v>
                </c:pt>
                <c:pt idx="13">
                  <c:v>2812</c:v>
                </c:pt>
                <c:pt idx="14">
                  <c:v>1745</c:v>
                </c:pt>
              </c:numCache>
            </c:numRef>
          </c:val>
        </c:ser>
        <c:ser>
          <c:idx val="6"/>
          <c:order val="6"/>
          <c:tx>
            <c:strRef>
              <c:f>'Empl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edad'!$H$5:$H$19</c:f>
              <c:numCache>
                <c:formatCode>_(* #,##0_);_(* \(#,##0\);_(* "-"??_);_(@_)</c:formatCode>
                <c:ptCount val="15"/>
                <c:pt idx="0">
                  <c:v>20952</c:v>
                </c:pt>
                <c:pt idx="1">
                  <c:v>204451</c:v>
                </c:pt>
                <c:pt idx="2">
                  <c:v>257121</c:v>
                </c:pt>
                <c:pt idx="3">
                  <c:v>248352</c:v>
                </c:pt>
                <c:pt idx="4">
                  <c:v>225502</c:v>
                </c:pt>
                <c:pt idx="5">
                  <c:v>191747</c:v>
                </c:pt>
                <c:pt idx="6">
                  <c:v>164818</c:v>
                </c:pt>
                <c:pt idx="7">
                  <c:v>128863</c:v>
                </c:pt>
                <c:pt idx="8">
                  <c:v>92585</c:v>
                </c:pt>
                <c:pt idx="9">
                  <c:v>57523</c:v>
                </c:pt>
                <c:pt idx="10">
                  <c:v>31552</c:v>
                </c:pt>
                <c:pt idx="11">
                  <c:v>15792</c:v>
                </c:pt>
                <c:pt idx="12">
                  <c:v>8558</c:v>
                </c:pt>
                <c:pt idx="13">
                  <c:v>4099</c:v>
                </c:pt>
                <c:pt idx="14">
                  <c:v>2569</c:v>
                </c:pt>
              </c:numCache>
            </c:numRef>
          </c:val>
        </c:ser>
        <c:ser>
          <c:idx val="4"/>
          <c:order val="4"/>
          <c:tx>
            <c:strRef>
              <c:f>'Empl xsexoy edad'!$F$4</c:f>
              <c:strCache>
                <c:ptCount val="1"/>
                <c:pt idx="0">
                  <c:v>Total Empleados</c:v>
                </c:pt>
              </c:strCache>
            </c:strRef>
          </c:tx>
          <c:invertIfNegative val="0"/>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edad'!$F$5:$F$19</c:f>
            </c:numRef>
          </c:val>
        </c:ser>
        <c:dLbls>
          <c:showLegendKey val="0"/>
          <c:showVal val="0"/>
          <c:showCatName val="0"/>
          <c:showSerName val="0"/>
          <c:showPercent val="0"/>
          <c:showBubbleSize val="0"/>
        </c:dLbls>
        <c:gapWidth val="23"/>
        <c:overlap val="-3"/>
        <c:axId val="300397784"/>
        <c:axId val="300398176"/>
      </c:barChart>
      <c:lineChart>
        <c:grouping val="standard"/>
        <c:varyColors val="0"/>
        <c:ser>
          <c:idx val="2"/>
          <c:order val="2"/>
          <c:tx>
            <c:strRef>
              <c:f>'Empl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200" b="0">
                    <a:solidFill>
                      <a:schemeClr val="accent3">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edad'!$D$5:$D$19</c:f>
              <c:numCache>
                <c:formatCode>0.0%</c:formatCode>
                <c:ptCount val="15"/>
                <c:pt idx="0">
                  <c:v>0.59135166093928981</c:v>
                </c:pt>
                <c:pt idx="1">
                  <c:v>0.57759071855848099</c:v>
                </c:pt>
                <c:pt idx="2">
                  <c:v>0.56069321447878628</c:v>
                </c:pt>
                <c:pt idx="3">
                  <c:v>0.54336586780054119</c:v>
                </c:pt>
                <c:pt idx="4">
                  <c:v>0.53411056221230857</c:v>
                </c:pt>
                <c:pt idx="5">
                  <c:v>0.53359896113107375</c:v>
                </c:pt>
                <c:pt idx="6">
                  <c:v>0.53732602021623854</c:v>
                </c:pt>
                <c:pt idx="7">
                  <c:v>0.55500027160627952</c:v>
                </c:pt>
                <c:pt idx="8">
                  <c:v>0.58344224226386565</c:v>
                </c:pt>
                <c:pt idx="9">
                  <c:v>0.6137197294995046</c:v>
                </c:pt>
                <c:pt idx="10">
                  <c:v>0.65105223123732248</c:v>
                </c:pt>
                <c:pt idx="11">
                  <c:v>0.6771783181357649</c:v>
                </c:pt>
                <c:pt idx="12">
                  <c:v>0.67994858611825193</c:v>
                </c:pt>
                <c:pt idx="13">
                  <c:v>0.68602098072700657</c:v>
                </c:pt>
                <c:pt idx="14">
                  <c:v>0.67925262748151027</c:v>
                </c:pt>
              </c:numCache>
            </c:numRef>
          </c:val>
          <c:smooth val="0"/>
        </c:ser>
        <c:ser>
          <c:idx val="5"/>
          <c:order val="5"/>
          <c:tx>
            <c:strRef>
              <c:f>'Empl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'Empl xsexoy edad'!$G$5:$G$19</c:f>
              <c:numCache>
                <c:formatCode>0.0%</c:formatCode>
                <c:ptCount val="15"/>
                <c:pt idx="0">
                  <c:v>0.40864833906071019</c:v>
                </c:pt>
                <c:pt idx="1">
                  <c:v>0.42240928144151901</c:v>
                </c:pt>
                <c:pt idx="2">
                  <c:v>0.43930678552121377</c:v>
                </c:pt>
                <c:pt idx="3">
                  <c:v>0.45663413219945881</c:v>
                </c:pt>
                <c:pt idx="4">
                  <c:v>0.46588943778769148</c:v>
                </c:pt>
                <c:pt idx="5">
                  <c:v>0.46640103886892625</c:v>
                </c:pt>
                <c:pt idx="6">
                  <c:v>0.46267397978376146</c:v>
                </c:pt>
                <c:pt idx="7">
                  <c:v>0.44499972839372048</c:v>
                </c:pt>
                <c:pt idx="8">
                  <c:v>0.41655775773613435</c:v>
                </c:pt>
                <c:pt idx="9">
                  <c:v>0.38628027050049546</c:v>
                </c:pt>
                <c:pt idx="10">
                  <c:v>0.34894776876267747</c:v>
                </c:pt>
                <c:pt idx="11">
                  <c:v>0.32282168186423504</c:v>
                </c:pt>
                <c:pt idx="12">
                  <c:v>0.32005141388174807</c:v>
                </c:pt>
                <c:pt idx="13">
                  <c:v>0.31397901927299343</c:v>
                </c:pt>
                <c:pt idx="14">
                  <c:v>0.32074737251848967</c:v>
                </c:pt>
              </c:numCache>
            </c:numRef>
          </c:val>
          <c:smooth val="0"/>
        </c:ser>
        <c:dLbls>
          <c:showLegendKey val="0"/>
          <c:showVal val="0"/>
          <c:showCatName val="0"/>
          <c:showSerName val="0"/>
          <c:showPercent val="0"/>
          <c:showBubbleSize val="0"/>
        </c:dLbls>
        <c:marker val="1"/>
        <c:smooth val="0"/>
        <c:axId val="300398960"/>
        <c:axId val="300398568"/>
      </c:lineChart>
      <c:catAx>
        <c:axId val="300397784"/>
        <c:scaling>
          <c:orientation val="minMax"/>
        </c:scaling>
        <c:delete val="0"/>
        <c:axPos val="b"/>
        <c:numFmt formatCode="General" sourceLinked="0"/>
        <c:majorTickMark val="none"/>
        <c:minorTickMark val="none"/>
        <c:tickLblPos val="nextTo"/>
        <c:txPr>
          <a:bodyPr/>
          <a:lstStyle/>
          <a:p>
            <a:pPr>
              <a:defRPr sz="1200"/>
            </a:pPr>
            <a:endParaRPr lang="es-ES"/>
          </a:p>
        </c:txPr>
        <c:crossAx val="300398176"/>
        <c:crosses val="autoZero"/>
        <c:auto val="1"/>
        <c:lblAlgn val="ctr"/>
        <c:lblOffset val="100"/>
        <c:noMultiLvlLbl val="0"/>
      </c:catAx>
      <c:valAx>
        <c:axId val="30039817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00397784"/>
        <c:crosses val="autoZero"/>
        <c:crossBetween val="between"/>
      </c:valAx>
      <c:valAx>
        <c:axId val="30039856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00398960"/>
        <c:crosses val="max"/>
        <c:crossBetween val="between"/>
      </c:valAx>
      <c:catAx>
        <c:axId val="300398960"/>
        <c:scaling>
          <c:orientation val="minMax"/>
        </c:scaling>
        <c:delete val="1"/>
        <c:axPos val="b"/>
        <c:numFmt formatCode="General" sourceLinked="1"/>
        <c:majorTickMark val="out"/>
        <c:minorTickMark val="none"/>
        <c:tickLblPos val="nextTo"/>
        <c:crossAx val="300398568"/>
        <c:crosses val="autoZero"/>
        <c:auto val="1"/>
        <c:lblAlgn val="ctr"/>
        <c:lblOffset val="100"/>
        <c:noMultiLvlLbl val="0"/>
      </c:catAx>
    </c:plotArea>
    <c:legend>
      <c:legendPos val="t"/>
      <c:layout>
        <c:manualLayout>
          <c:xMode val="edge"/>
          <c:yMode val="edge"/>
          <c:x val="0.31891403814630936"/>
          <c:y val="7.3838184250665212E-2"/>
          <c:w val="0.34586260424065424"/>
          <c:h val="3.69705594261332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9.2016504031975241E-2"/>
          <c:y val="0.13962290192797866"/>
          <c:w val="0.8876551444006453"/>
          <c:h val="0.78240377935417804"/>
        </c:manualLayout>
      </c:layout>
      <c:barChart>
        <c:barDir val="bar"/>
        <c:grouping val="stacked"/>
        <c:varyColors val="0"/>
        <c:ser>
          <c:idx val="0"/>
          <c:order val="0"/>
          <c:tx>
            <c:strRef>
              <c:f>'Afil. SRL x sexoy edad'!$BG$4</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3.5921409175797822E-2"/>
                  <c:y val="-6.612627815424484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SRL x sexoy edad'!$BE$5:$BE$19</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'Afil. SRL x sexoy edad'!$BG$5:$BG$19</c:f>
              <c:numCache>
                <c:formatCode>#,##0</c:formatCode>
                <c:ptCount val="15"/>
                <c:pt idx="0">
                  <c:v>12390</c:v>
                </c:pt>
                <c:pt idx="1">
                  <c:v>118089</c:v>
                </c:pt>
                <c:pt idx="2">
                  <c:v>144166</c:v>
                </c:pt>
                <c:pt idx="3">
                  <c:v>134946</c:v>
                </c:pt>
                <c:pt idx="4">
                  <c:v>120443</c:v>
                </c:pt>
                <c:pt idx="5">
                  <c:v>102316</c:v>
                </c:pt>
                <c:pt idx="6">
                  <c:v>88561</c:v>
                </c:pt>
                <c:pt idx="7">
                  <c:v>71519</c:v>
                </c:pt>
                <c:pt idx="8">
                  <c:v>54018</c:v>
                </c:pt>
                <c:pt idx="9">
                  <c:v>35303</c:v>
                </c:pt>
                <c:pt idx="10">
                  <c:v>20542</c:v>
                </c:pt>
                <c:pt idx="11">
                  <c:v>10694</c:v>
                </c:pt>
                <c:pt idx="12">
                  <c:v>5819</c:v>
                </c:pt>
                <c:pt idx="13">
                  <c:v>2812</c:v>
                </c:pt>
                <c:pt idx="14">
                  <c:v>1745</c:v>
                </c:pt>
              </c:numCache>
            </c:numRef>
          </c:val>
        </c:ser>
        <c:ser>
          <c:idx val="1"/>
          <c:order val="1"/>
          <c:tx>
            <c:strRef>
              <c:f>'Afil. SRL x sexoy edad'!$BF$4</c:f>
              <c:strCache>
                <c:ptCount val="1"/>
                <c:pt idx="0">
                  <c:v>Mujeres</c:v>
                </c:pt>
              </c:strCache>
            </c:strRef>
          </c:tx>
          <c:spPr>
            <a:solidFill>
              <a:srgbClr val="B81271"/>
            </a:solidFill>
          </c:spPr>
          <c:invertIfNegative val="0"/>
          <c:dLbls>
            <c:dLbl>
              <c:idx val="0"/>
              <c:layout>
                <c:manualLayout>
                  <c:x val="-3.7575757575757575E-2"/>
                  <c:y val="-3.83299143250962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3536206847382537"/>
                  <c:y val="-4.18282263253501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7161959334176202"/>
                  <c:y val="-2.30009671544096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7369614987278603"/>
                  <c:y val="-7.8285820971456016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6085952355199201"/>
                  <c:y val="1.116694751805101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3919319644802855"/>
                  <c:y val="1.391235994489412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2363636363636364"/>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006060606060606"/>
                  <c:y val="1.916646621429319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7.0303030303030298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4.9696969696969698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2.9090909090909091E-2"/>
                  <c:y val="-5.749487148764434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2.7878787878787878E-2"/>
                  <c:y val="3.83299143250962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3030303030303029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4242424242424242E-2"/>
                  <c:y val="1.91649571625477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1.818181818181818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SRL x sexoy edad'!$BE$5:$BE$19</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'Afil. SRL x sexoy edad'!$BF$5:$BF$19</c:f>
              <c:numCache>
                <c:formatCode>General</c:formatCode>
                <c:ptCount val="15"/>
                <c:pt idx="0">
                  <c:v>-8562</c:v>
                </c:pt>
                <c:pt idx="1">
                  <c:v>-86362</c:v>
                </c:pt>
                <c:pt idx="2">
                  <c:v>-112955</c:v>
                </c:pt>
                <c:pt idx="3">
                  <c:v>-113406</c:v>
                </c:pt>
                <c:pt idx="4">
                  <c:v>-105059</c:v>
                </c:pt>
                <c:pt idx="5">
                  <c:v>-89431</c:v>
                </c:pt>
                <c:pt idx="6">
                  <c:v>-76257</c:v>
                </c:pt>
                <c:pt idx="7">
                  <c:v>-57344</c:v>
                </c:pt>
                <c:pt idx="8">
                  <c:v>-38567</c:v>
                </c:pt>
                <c:pt idx="9">
                  <c:v>-22220</c:v>
                </c:pt>
                <c:pt idx="10">
                  <c:v>-11010</c:v>
                </c:pt>
                <c:pt idx="11">
                  <c:v>-5098</c:v>
                </c:pt>
                <c:pt idx="12">
                  <c:v>-2739</c:v>
                </c:pt>
                <c:pt idx="13">
                  <c:v>-1287</c:v>
                </c:pt>
                <c:pt idx="14">
                  <c:v>-824</c:v>
                </c:pt>
              </c:numCache>
            </c:numRef>
          </c:val>
        </c:ser>
        <c:dLbls>
          <c:showLegendKey val="0"/>
          <c:showVal val="0"/>
          <c:showCatName val="0"/>
          <c:showSerName val="0"/>
          <c:showPercent val="0"/>
          <c:showBubbleSize val="0"/>
        </c:dLbls>
        <c:gapWidth val="9"/>
        <c:overlap val="100"/>
        <c:axId val="364831248"/>
        <c:axId val="364831640"/>
      </c:barChart>
      <c:catAx>
        <c:axId val="364831248"/>
        <c:scaling>
          <c:orientation val="minMax"/>
        </c:scaling>
        <c:delete val="0"/>
        <c:axPos val="l"/>
        <c:numFmt formatCode="General" sourceLinked="1"/>
        <c:majorTickMark val="none"/>
        <c:minorTickMark val="none"/>
        <c:tickLblPos val="low"/>
        <c:crossAx val="364831640"/>
        <c:crosses val="autoZero"/>
        <c:auto val="1"/>
        <c:lblAlgn val="ctr"/>
        <c:lblOffset val="100"/>
        <c:noMultiLvlLbl val="0"/>
      </c:catAx>
      <c:valAx>
        <c:axId val="364831640"/>
        <c:scaling>
          <c:orientation val="minMax"/>
        </c:scaling>
        <c:delete val="0"/>
        <c:axPos val="b"/>
        <c:numFmt formatCode="#,##0" sourceLinked="1"/>
        <c:majorTickMark val="none"/>
        <c:minorTickMark val="none"/>
        <c:tickLblPos val="nextTo"/>
        <c:txPr>
          <a:bodyPr/>
          <a:lstStyle/>
          <a:p>
            <a:pPr>
              <a:defRPr sz="1100"/>
            </a:pPr>
            <a:endParaRPr lang="es-ES"/>
          </a:p>
        </c:txPr>
        <c:crossAx val="364831248"/>
        <c:crosses val="autoZero"/>
        <c:crossBetween val="between"/>
      </c:valAx>
    </c:plotArea>
    <c:legend>
      <c:legendPos val="t"/>
      <c:layout>
        <c:manualLayout>
          <c:xMode val="edge"/>
          <c:yMode val="edge"/>
          <c:x val="0.27330213724105351"/>
          <c:y val="9.6578220516013336E-2"/>
          <c:w val="0.37171519095588029"/>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6927597489321702"/>
          <c:y val="4.262820082493429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868491162915495E-3"/>
          <c:y val="0.35994171613752113"/>
          <c:w val="0.97572837437873439"/>
          <c:h val="0.43819619246756564"/>
        </c:manualLayout>
      </c:layout>
      <c:bar3DChart>
        <c:barDir val="col"/>
        <c:grouping val="clustered"/>
        <c:varyColors val="0"/>
        <c:ser>
          <c:idx val="0"/>
          <c:order val="0"/>
          <c:tx>
            <c:strRef>
              <c:f>'Afil.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ARL x riesgo'!$A$5:$A$43</c:f>
              <c:strCache>
                <c:ptCount val="13"/>
                <c:pt idx="0">
                  <c:v>Ene. 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ARL x riesgo'!$B$5:$B$43</c:f>
              <c:numCache>
                <c:formatCode>#,##0</c:formatCode>
                <c:ptCount val="13"/>
                <c:pt idx="0">
                  <c:v>256189</c:v>
                </c:pt>
                <c:pt idx="1">
                  <c:v>263872</c:v>
                </c:pt>
                <c:pt idx="2">
                  <c:v>270651</c:v>
                </c:pt>
                <c:pt idx="3">
                  <c:v>272029</c:v>
                </c:pt>
                <c:pt idx="4">
                  <c:v>272442</c:v>
                </c:pt>
                <c:pt idx="5">
                  <c:v>275990</c:v>
                </c:pt>
                <c:pt idx="6">
                  <c:v>274624</c:v>
                </c:pt>
                <c:pt idx="7">
                  <c:v>277391</c:v>
                </c:pt>
                <c:pt idx="8">
                  <c:v>276510</c:v>
                </c:pt>
                <c:pt idx="9">
                  <c:v>280712</c:v>
                </c:pt>
                <c:pt idx="10">
                  <c:v>280852</c:v>
                </c:pt>
                <c:pt idx="11">
                  <c:v>285703</c:v>
                </c:pt>
                <c:pt idx="12">
                  <c:v>284184</c:v>
                </c:pt>
              </c:numCache>
            </c:numRef>
          </c:val>
        </c:ser>
        <c:ser>
          <c:idx val="1"/>
          <c:order val="1"/>
          <c:tx>
            <c:strRef>
              <c:f>'Afil.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ARL x riesgo'!$A$5:$A$43</c:f>
              <c:strCache>
                <c:ptCount val="13"/>
                <c:pt idx="0">
                  <c:v>Ene. 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ARL x riesgo'!$C$5:$C$43</c:f>
              <c:numCache>
                <c:formatCode>#,##0</c:formatCode>
                <c:ptCount val="13"/>
                <c:pt idx="0">
                  <c:v>556755</c:v>
                </c:pt>
                <c:pt idx="1">
                  <c:v>558139</c:v>
                </c:pt>
                <c:pt idx="2">
                  <c:v>565760</c:v>
                </c:pt>
                <c:pt idx="3">
                  <c:v>572045</c:v>
                </c:pt>
                <c:pt idx="4">
                  <c:v>581637</c:v>
                </c:pt>
                <c:pt idx="5">
                  <c:v>577128</c:v>
                </c:pt>
                <c:pt idx="6">
                  <c:v>582358</c:v>
                </c:pt>
                <c:pt idx="7">
                  <c:v>585908</c:v>
                </c:pt>
                <c:pt idx="8">
                  <c:v>594455</c:v>
                </c:pt>
                <c:pt idx="9">
                  <c:v>608568</c:v>
                </c:pt>
                <c:pt idx="10">
                  <c:v>618171</c:v>
                </c:pt>
                <c:pt idx="11">
                  <c:v>624371</c:v>
                </c:pt>
                <c:pt idx="12">
                  <c:v>624657</c:v>
                </c:pt>
              </c:numCache>
            </c:numRef>
          </c:val>
        </c:ser>
        <c:ser>
          <c:idx val="2"/>
          <c:order val="2"/>
          <c:tx>
            <c:strRef>
              <c:f>'Afil.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ARL x riesgo'!$A$5:$A$43</c:f>
              <c:strCache>
                <c:ptCount val="13"/>
                <c:pt idx="0">
                  <c:v>Ene. 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ARL x riesgo'!$D$5:$D$43</c:f>
              <c:numCache>
                <c:formatCode>#,##0</c:formatCode>
                <c:ptCount val="13"/>
                <c:pt idx="0">
                  <c:v>377374</c:v>
                </c:pt>
                <c:pt idx="1">
                  <c:v>377875</c:v>
                </c:pt>
                <c:pt idx="2">
                  <c:v>377929</c:v>
                </c:pt>
                <c:pt idx="3">
                  <c:v>382588</c:v>
                </c:pt>
                <c:pt idx="4">
                  <c:v>387652</c:v>
                </c:pt>
                <c:pt idx="5">
                  <c:v>383655</c:v>
                </c:pt>
                <c:pt idx="6">
                  <c:v>387019</c:v>
                </c:pt>
                <c:pt idx="7">
                  <c:v>387179</c:v>
                </c:pt>
                <c:pt idx="8">
                  <c:v>389664</c:v>
                </c:pt>
                <c:pt idx="9">
                  <c:v>391615</c:v>
                </c:pt>
                <c:pt idx="10">
                  <c:v>393074</c:v>
                </c:pt>
                <c:pt idx="11">
                  <c:v>391447</c:v>
                </c:pt>
                <c:pt idx="12">
                  <c:v>393280</c:v>
                </c:pt>
              </c:numCache>
            </c:numRef>
          </c:val>
        </c:ser>
        <c:ser>
          <c:idx val="3"/>
          <c:order val="3"/>
          <c:tx>
            <c:strRef>
              <c:f>'Afil.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ARL x riesgo'!$A$5:$A$43</c:f>
              <c:strCache>
                <c:ptCount val="13"/>
                <c:pt idx="0">
                  <c:v>Ene. 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'Afil. ARL x riesgo'!$E$5:$E$43</c:f>
              <c:numCache>
                <c:formatCode>#,##0</c:formatCode>
                <c:ptCount val="13"/>
                <c:pt idx="0">
                  <c:v>340498</c:v>
                </c:pt>
                <c:pt idx="1">
                  <c:v>339204</c:v>
                </c:pt>
                <c:pt idx="2">
                  <c:v>341362</c:v>
                </c:pt>
                <c:pt idx="3">
                  <c:v>345238</c:v>
                </c:pt>
                <c:pt idx="4">
                  <c:v>349071</c:v>
                </c:pt>
                <c:pt idx="5">
                  <c:v>343083</c:v>
                </c:pt>
                <c:pt idx="6">
                  <c:v>346118</c:v>
                </c:pt>
                <c:pt idx="7">
                  <c:v>346360</c:v>
                </c:pt>
                <c:pt idx="8">
                  <c:v>345247</c:v>
                </c:pt>
                <c:pt idx="9">
                  <c:v>346177</c:v>
                </c:pt>
                <c:pt idx="10">
                  <c:v>349307</c:v>
                </c:pt>
                <c:pt idx="11">
                  <c:v>349681</c:v>
                </c:pt>
                <c:pt idx="12">
                  <c:v>352363</c:v>
                </c:pt>
              </c:numCache>
            </c:numRef>
          </c:val>
        </c:ser>
        <c:dLbls>
          <c:showLegendKey val="0"/>
          <c:showVal val="0"/>
          <c:showCatName val="0"/>
          <c:showSerName val="0"/>
          <c:showPercent val="0"/>
          <c:showBubbleSize val="0"/>
        </c:dLbls>
        <c:gapWidth val="15"/>
        <c:shape val="cylinder"/>
        <c:axId val="364832816"/>
        <c:axId val="364833208"/>
        <c:axId val="0"/>
      </c:bar3DChart>
      <c:catAx>
        <c:axId val="364832816"/>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64833208"/>
        <c:crosses val="autoZero"/>
        <c:auto val="1"/>
        <c:lblAlgn val="ctr"/>
        <c:lblOffset val="100"/>
        <c:noMultiLvlLbl val="1"/>
      </c:catAx>
      <c:valAx>
        <c:axId val="364833208"/>
        <c:scaling>
          <c:orientation val="minMax"/>
        </c:scaling>
        <c:delete val="1"/>
        <c:axPos val="l"/>
        <c:numFmt formatCode="#,##0" sourceLinked="1"/>
        <c:majorTickMark val="out"/>
        <c:minorTickMark val="none"/>
        <c:tickLblPos val="nextTo"/>
        <c:crossAx val="364832816"/>
        <c:crosses val="autoZero"/>
        <c:crossBetween val="between"/>
      </c:valAx>
      <c:spPr>
        <a:noFill/>
        <a:ln w="25400">
          <a:noFill/>
        </a:ln>
      </c:spPr>
    </c:plotArea>
    <c:legend>
      <c:legendPos val="b"/>
      <c:layout>
        <c:manualLayout>
          <c:xMode val="edge"/>
          <c:yMode val="edge"/>
          <c:x val="0.18214713232965807"/>
          <c:y val="0.1303741035358264"/>
          <c:w val="0.64918814863748553"/>
          <c:h val="5.7439288851961277E-2"/>
        </c:manualLayout>
      </c:layout>
      <c:overlay val="0"/>
      <c:txPr>
        <a:bodyPr/>
        <a:lstStyle/>
        <a:p>
          <a:pPr>
            <a:defRPr sz="14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24354335117669942"/>
          <c:w val="0.98081505765596499"/>
          <c:h val="0.64375078421715404"/>
        </c:manualLayout>
      </c:layout>
      <c:bar3DChart>
        <c:barDir val="col"/>
        <c:grouping val="clustered"/>
        <c:varyColors val="0"/>
        <c:ser>
          <c:idx val="0"/>
          <c:order val="0"/>
          <c:tx>
            <c:strRef>
              <c:f>'ID.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8.6646881663632082E-3"/>
                  <c:y val="-2.53712428494684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590174425555054E-2"/>
                  <c:y val="-2.07582896041106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8509725183836913E-3"/>
                  <c:y val="-2.3064766226789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 Accidentabilidad'!$A$4:$A$15</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'ID. Accidentabilidad'!$D$4:$D$15</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135.87317858619366</c:v>
                </c:pt>
              </c:numCache>
            </c:numRef>
          </c:val>
        </c:ser>
        <c:dLbls>
          <c:showLegendKey val="0"/>
          <c:showVal val="0"/>
          <c:showCatName val="0"/>
          <c:showSerName val="0"/>
          <c:showPercent val="0"/>
          <c:showBubbleSize val="0"/>
        </c:dLbls>
        <c:gapWidth val="61"/>
        <c:shape val="cylinder"/>
        <c:axId val="364833992"/>
        <c:axId val="364834384"/>
        <c:axId val="0"/>
      </c:bar3DChart>
      <c:catAx>
        <c:axId val="364833992"/>
        <c:scaling>
          <c:orientation val="minMax"/>
        </c:scaling>
        <c:delete val="0"/>
        <c:axPos val="b"/>
        <c:numFmt formatCode="General" sourceLinked="1"/>
        <c:majorTickMark val="none"/>
        <c:minorTickMark val="none"/>
        <c:tickLblPos val="nextTo"/>
        <c:txPr>
          <a:bodyPr/>
          <a:lstStyle/>
          <a:p>
            <a:pPr>
              <a:defRPr sz="1600"/>
            </a:pPr>
            <a:endParaRPr lang="es-ES"/>
          </a:p>
        </c:txPr>
        <c:crossAx val="364834384"/>
        <c:crosses val="autoZero"/>
        <c:auto val="1"/>
        <c:lblAlgn val="ctr"/>
        <c:lblOffset val="100"/>
        <c:noMultiLvlLbl val="0"/>
      </c:catAx>
      <c:valAx>
        <c:axId val="364834384"/>
        <c:scaling>
          <c:orientation val="minMax"/>
        </c:scaling>
        <c:delete val="1"/>
        <c:axPos val="l"/>
        <c:numFmt formatCode="_(* #,##0.0_);_(* \(#,##0.0\);_(* &quot;-&quot;??_);_(@_)" sourceLinked="1"/>
        <c:majorTickMark val="out"/>
        <c:minorTickMark val="none"/>
        <c:tickLblPos val="nextTo"/>
        <c:crossAx val="364833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2400"/>
              <a:t>Datos Generales del Sistema Dominicano de Seguridad Social (SDSS) </a:t>
            </a:r>
          </a:p>
          <a:p>
            <a:pPr>
              <a:defRPr/>
            </a:pPr>
            <a:r>
              <a:rPr lang="es-DO" sz="2400"/>
              <a:t>Ingresos y Egresos Anuales del SDSS</a:t>
            </a:r>
          </a:p>
        </c:rich>
      </c:tx>
      <c:layout>
        <c:manualLayout>
          <c:xMode val="edge"/>
          <c:yMode val="edge"/>
          <c:x val="0.32974779052528114"/>
          <c:y val="1.4308944188639205E-2"/>
        </c:manualLayout>
      </c:layout>
      <c:overlay val="1"/>
    </c:title>
    <c:autoTitleDeleted val="0"/>
    <c:plotArea>
      <c:layout>
        <c:manualLayout>
          <c:layoutTarget val="inner"/>
          <c:xMode val="edge"/>
          <c:yMode val="edge"/>
          <c:x val="2.7228776479728708E-2"/>
          <c:y val="0.13167251656776"/>
          <c:w val="0.95015699643329599"/>
          <c:h val="0.69551242546134395"/>
        </c:manualLayout>
      </c:layout>
      <c:barChart>
        <c:barDir val="col"/>
        <c:grouping val="clustered"/>
        <c:varyColors val="0"/>
        <c:ser>
          <c:idx val="0"/>
          <c:order val="0"/>
          <c:tx>
            <c:strRef>
              <c:f>'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5975579314.0299997</c:v>
                </c:pt>
              </c:numCache>
            </c:numRef>
          </c:val>
        </c:ser>
        <c:ser>
          <c:idx val="1"/>
          <c:order val="1"/>
          <c:tx>
            <c:strRef>
              <c:f>'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6074320586.8099995</c:v>
                </c:pt>
              </c:numCache>
            </c:numRef>
          </c:val>
        </c:ser>
        <c:ser>
          <c:idx val="2"/>
          <c:order val="2"/>
          <c:tx>
            <c:strRef>
              <c:f>'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-98741272.779999733</c:v>
                </c:pt>
              </c:numCache>
            </c:numRef>
          </c:val>
        </c:ser>
        <c:dLbls>
          <c:showLegendKey val="0"/>
          <c:showVal val="0"/>
          <c:showCatName val="0"/>
          <c:showSerName val="0"/>
          <c:showPercent val="0"/>
          <c:showBubbleSize val="0"/>
        </c:dLbls>
        <c:gapWidth val="39"/>
        <c:axId val="364835560"/>
        <c:axId val="364835952"/>
      </c:barChart>
      <c:catAx>
        <c:axId val="364835560"/>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64835952"/>
        <c:crosses val="autoZero"/>
        <c:auto val="1"/>
        <c:lblAlgn val="ctr"/>
        <c:lblOffset val="100"/>
        <c:noMultiLvlLbl val="0"/>
      </c:catAx>
      <c:valAx>
        <c:axId val="364835952"/>
        <c:scaling>
          <c:orientation val="minMax"/>
        </c:scaling>
        <c:delete val="0"/>
        <c:axPos val="l"/>
        <c:numFmt formatCode="#,##0.00_);[Red]\(#,##0.00\)" sourceLinked="1"/>
        <c:majorTickMark val="none"/>
        <c:minorTickMark val="none"/>
        <c:tickLblPos val="none"/>
        <c:spPr>
          <a:ln>
            <a:solidFill>
              <a:schemeClr val="bg1"/>
            </a:solidFill>
          </a:ln>
        </c:spPr>
        <c:crossAx val="364835560"/>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7300560578750743"/>
          <c:y val="9.2075422825152201E-2"/>
          <c:w val="0.52947389261897937"/>
          <c:h val="4.1468220777699086E-2"/>
        </c:manualLayout>
      </c:layout>
      <c:overlay val="0"/>
      <c:txPr>
        <a:bodyPr/>
        <a:lstStyle/>
        <a:p>
          <a:pPr>
            <a:defRPr sz="2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7.7963647067481046E-2"/>
          <c:y val="0.13688030747290308"/>
          <c:w val="0.88952387960850687"/>
          <c:h val="0.7506801832736919"/>
        </c:manualLayout>
      </c:layout>
      <c:barChart>
        <c:barDir val="col"/>
        <c:grouping val="stacked"/>
        <c:varyColors val="0"/>
        <c:ser>
          <c:idx val="0"/>
          <c:order val="0"/>
          <c:tx>
            <c:strRef>
              <c:f>'Recaudo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'Recaudo x sector'!$A$6:$A$16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'Recaudo x sector'!$B$6:$B$16</c:f>
              <c:numCache>
                <c:formatCode>_(* #,##0.00_);_(* \(#,##0.00\);_(* "-"??_);_(@_)</c:formatCode>
                <c:ptCount val="11"/>
                <c:pt idx="0">
                  <c:v>2740119047.3900003</c:v>
                </c:pt>
                <c:pt idx="1">
                  <c:v>2679574110.783494</c:v>
                </c:pt>
                <c:pt idx="2">
                  <c:v>7440643704.1800003</c:v>
                </c:pt>
                <c:pt idx="3">
                  <c:v>10090935314.219999</c:v>
                </c:pt>
                <c:pt idx="4">
                  <c:v>12419428715.15</c:v>
                </c:pt>
                <c:pt idx="5">
                  <c:v>13982932933.34</c:v>
                </c:pt>
                <c:pt idx="6">
                  <c:v>15631836986.009998</c:v>
                </c:pt>
                <c:pt idx="7">
                  <c:v>17595724643.350403</c:v>
                </c:pt>
                <c:pt idx="8">
                  <c:v>20873289030.960003</c:v>
                </c:pt>
                <c:pt idx="9">
                  <c:v>24657599719.139999</c:v>
                </c:pt>
                <c:pt idx="10">
                  <c:v>2193578968</c:v>
                </c:pt>
              </c:numCache>
            </c:numRef>
          </c:val>
        </c:ser>
        <c:ser>
          <c:idx val="1"/>
          <c:order val="1"/>
          <c:tx>
            <c:strRef>
              <c:f>'Recaudo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'Recaudo x sector'!$A$6:$A$16</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'Recaudo x sector'!$C$6:$C$16</c:f>
              <c:numCache>
                <c:formatCode>_(* #,##0.00_);_(* \(#,##0.00\);_(* "-"??_);_(@_)</c:formatCode>
                <c:ptCount val="11"/>
                <c:pt idx="0">
                  <c:v>6918059326.1500006</c:v>
                </c:pt>
                <c:pt idx="1">
                  <c:v>8392526306.6965065</c:v>
                </c:pt>
                <c:pt idx="2">
                  <c:v>13755990830.42</c:v>
                </c:pt>
                <c:pt idx="3">
                  <c:v>22987229737.049999</c:v>
                </c:pt>
                <c:pt idx="4">
                  <c:v>25453341929.369999</c:v>
                </c:pt>
                <c:pt idx="5">
                  <c:v>29622073160.660004</c:v>
                </c:pt>
                <c:pt idx="6">
                  <c:v>33784047829.830002</c:v>
                </c:pt>
                <c:pt idx="7">
                  <c:v>37469807664.639603</c:v>
                </c:pt>
                <c:pt idx="8">
                  <c:v>40609714567.439995</c:v>
                </c:pt>
                <c:pt idx="9">
                  <c:v>45263293195.400002</c:v>
                </c:pt>
                <c:pt idx="10">
                  <c:v>3724059066.8800001</c:v>
                </c:pt>
              </c:numCache>
            </c:numRef>
          </c:val>
        </c:ser>
        <c:dLbls>
          <c:showLegendKey val="0"/>
          <c:showVal val="0"/>
          <c:showCatName val="0"/>
          <c:showSerName val="0"/>
          <c:showPercent val="0"/>
          <c:showBubbleSize val="0"/>
        </c:dLbls>
        <c:gapWidth val="42"/>
        <c:overlap val="82"/>
        <c:axId val="364836736"/>
        <c:axId val="364837128"/>
      </c:barChart>
      <c:catAx>
        <c:axId val="364836736"/>
        <c:scaling>
          <c:orientation val="minMax"/>
        </c:scaling>
        <c:delete val="0"/>
        <c:axPos val="b"/>
        <c:numFmt formatCode="General" sourceLinked="1"/>
        <c:majorTickMark val="out"/>
        <c:minorTickMark val="none"/>
        <c:tickLblPos val="nextTo"/>
        <c:crossAx val="364837128"/>
        <c:crosses val="autoZero"/>
        <c:auto val="1"/>
        <c:lblAlgn val="ctr"/>
        <c:lblOffset val="100"/>
        <c:noMultiLvlLbl val="0"/>
      </c:catAx>
      <c:valAx>
        <c:axId val="36483712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64836736"/>
        <c:crosses val="autoZero"/>
        <c:crossBetween val="between"/>
        <c:dispUnits>
          <c:builtInUnit val="billions"/>
          <c:dispUnitsLbl>
            <c:layout>
              <c:manualLayout>
                <c:xMode val="edge"/>
                <c:yMode val="edge"/>
                <c:x val="4.7880884048372464E-2"/>
                <c:y val="0.326156804792097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Recaudo del Régimen Contributivo del SDSS por Origen de los Aportes                                                 </a:t>
            </a:r>
          </a:p>
        </c:rich>
      </c:tx>
      <c:layout>
        <c:manualLayout>
          <c:xMode val="edge"/>
          <c:yMode val="edge"/>
          <c:x val="0.24815643376276814"/>
          <c:y val="3.09071717216191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3003818148733629"/>
          <c:w val="0.98334941783076579"/>
          <c:h val="0.78406726592804199"/>
        </c:manualLayout>
      </c:layout>
      <c:bar3DChart>
        <c:barDir val="col"/>
        <c:grouping val="standard"/>
        <c:varyColors val="0"/>
        <c:ser>
          <c:idx val="0"/>
          <c:order val="0"/>
          <c:tx>
            <c:strRef>
              <c:f>'Rec. x origen'!$B$3</c:f>
              <c:strCache>
                <c:ptCount val="1"/>
                <c:pt idx="0">
                  <c:v>Trabajador Sector Público</c:v>
                </c:pt>
              </c:strCache>
            </c:strRef>
          </c:tx>
          <c:invertIfNegative val="0"/>
          <c:cat>
            <c:strRef>
              <c:f>'Rec.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625170005.88</c:v>
                </c:pt>
              </c:numCache>
            </c:numRef>
          </c:val>
        </c:ser>
        <c:ser>
          <c:idx val="1"/>
          <c:order val="1"/>
          <c:tx>
            <c:strRef>
              <c:f>'Rec. x origen'!$C$3</c:f>
              <c:strCache>
                <c:ptCount val="1"/>
                <c:pt idx="0">
                  <c:v>Trabajador Sector Privado</c:v>
                </c:pt>
              </c:strCache>
            </c:strRef>
          </c:tx>
          <c:invertIfNegative val="0"/>
          <c:cat>
            <c:strRef>
              <c:f>'Rec.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1061356834.0608</c:v>
                </c:pt>
              </c:numCache>
            </c:numRef>
          </c:val>
        </c:ser>
        <c:ser>
          <c:idx val="2"/>
          <c:order val="2"/>
          <c:tx>
            <c:strRef>
              <c:f>'Rec. x origen'!$D$3</c:f>
              <c:strCache>
                <c:ptCount val="1"/>
                <c:pt idx="0">
                  <c:v> Empleador Sector Público</c:v>
                </c:pt>
              </c:strCache>
            </c:strRef>
          </c:tx>
          <c:invertIfNegative val="0"/>
          <c:cat>
            <c:strRef>
              <c:f>'Rec.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1568408962.1199999</c:v>
                </c:pt>
              </c:numCache>
            </c:numRef>
          </c:val>
        </c:ser>
        <c:ser>
          <c:idx val="3"/>
          <c:order val="3"/>
          <c:tx>
            <c:strRef>
              <c:f>'Rec. x origen'!$E$3</c:f>
              <c:strCache>
                <c:ptCount val="1"/>
                <c:pt idx="0">
                  <c:v>Empleador  Sector Privado</c:v>
                </c:pt>
              </c:strCache>
            </c:strRef>
          </c:tx>
          <c:invertIfNegative val="0"/>
          <c:cat>
            <c:strRef>
              <c:f>'Rec.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2662702232.8192</c:v>
                </c:pt>
              </c:numCache>
            </c:numRef>
          </c:val>
        </c:ser>
        <c:ser>
          <c:idx val="4"/>
          <c:order val="4"/>
          <c:tx>
            <c:strRef>
              <c:f>'Rec.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018055099326E-3"/>
                  <c:y val="-8.29024690497758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3610979415464E-17"/>
                  <c:y val="-1.18605439806749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500661974775276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5917638034.8799992</c:v>
                </c:pt>
              </c:numCache>
            </c:numRef>
          </c:val>
        </c:ser>
        <c:dLbls>
          <c:showLegendKey val="0"/>
          <c:showVal val="0"/>
          <c:showCatName val="0"/>
          <c:showSerName val="0"/>
          <c:showPercent val="0"/>
          <c:showBubbleSize val="0"/>
        </c:dLbls>
        <c:gapWidth val="75"/>
        <c:shape val="cylinder"/>
        <c:axId val="364837912"/>
        <c:axId val="364838304"/>
        <c:axId val="310764384"/>
      </c:bar3DChart>
      <c:catAx>
        <c:axId val="364837912"/>
        <c:scaling>
          <c:orientation val="minMax"/>
        </c:scaling>
        <c:delete val="0"/>
        <c:axPos val="b"/>
        <c:numFmt formatCode="General" sourceLinked="1"/>
        <c:majorTickMark val="none"/>
        <c:minorTickMark val="none"/>
        <c:tickLblPos val="nextTo"/>
        <c:txPr>
          <a:bodyPr/>
          <a:lstStyle/>
          <a:p>
            <a:pPr>
              <a:defRPr sz="1050"/>
            </a:pPr>
            <a:endParaRPr lang="es-ES"/>
          </a:p>
        </c:txPr>
        <c:crossAx val="364838304"/>
        <c:crosses val="autoZero"/>
        <c:auto val="1"/>
        <c:lblAlgn val="ctr"/>
        <c:lblOffset val="600"/>
        <c:tickLblSkip val="1"/>
        <c:noMultiLvlLbl val="0"/>
      </c:catAx>
      <c:valAx>
        <c:axId val="364838304"/>
        <c:scaling>
          <c:orientation val="minMax"/>
        </c:scaling>
        <c:delete val="1"/>
        <c:axPos val="l"/>
        <c:numFmt formatCode="_(* #,##0.00_);_(* \(#,##0.00\);_(* &quot;-&quot;??_);_(@_)" sourceLinked="1"/>
        <c:majorTickMark val="none"/>
        <c:minorTickMark val="none"/>
        <c:tickLblPos val="nextTo"/>
        <c:crossAx val="364837912"/>
        <c:crosses val="autoZero"/>
        <c:crossBetween val="between"/>
        <c:dispUnits>
          <c:builtInUnit val="billions"/>
          <c:dispUnitsLbl/>
        </c:dispUnits>
      </c:valAx>
      <c:serAx>
        <c:axId val="310764384"/>
        <c:scaling>
          <c:orientation val="minMax"/>
        </c:scaling>
        <c:delete val="1"/>
        <c:axPos val="b"/>
        <c:majorTickMark val="out"/>
        <c:minorTickMark val="none"/>
        <c:tickLblPos val="nextTo"/>
        <c:crossAx val="364838304"/>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306203082948E-3"/>
          <c:y val="0.19539204834676213"/>
          <c:w val="0.968097561909116"/>
          <c:h val="0.62124094727177293"/>
        </c:manualLayout>
      </c:layout>
      <c:bar3DChart>
        <c:barDir val="col"/>
        <c:grouping val="standard"/>
        <c:varyColors val="0"/>
        <c:ser>
          <c:idx val="0"/>
          <c:order val="0"/>
          <c:tx>
            <c:strRef>
              <c:f>Aport.Gob.SS!$B$4</c:f>
              <c:strCache>
                <c:ptCount val="1"/>
                <c:pt idx="0">
                  <c:v>Salud Pensionados</c:v>
                </c:pt>
              </c:strCache>
            </c:strRef>
          </c:tx>
          <c:spPr>
            <a:solidFill>
              <a:schemeClr val="accent6">
                <a:lumMod val="75000"/>
              </a:schemeClr>
            </a:solidFill>
          </c:spPr>
          <c:invertIfNegative val="0"/>
          <c:cat>
            <c:strRef>
              <c:f>Aport.Gob.SS!$A$5:$A$15</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23402596</c:v>
                </c:pt>
              </c:numCache>
            </c:numRef>
          </c:val>
        </c:ser>
        <c:ser>
          <c:idx val="1"/>
          <c:order val="1"/>
          <c:tx>
            <c:strRef>
              <c:f>Aport.Gob.SS!$C$4</c:f>
              <c:strCache>
                <c:ptCount val="1"/>
                <c:pt idx="0">
                  <c:v> FONAMAT</c:v>
                </c:pt>
              </c:strCache>
            </c:strRef>
          </c:tx>
          <c:spPr>
            <a:solidFill>
              <a:schemeClr val="accent4">
                <a:lumMod val="75000"/>
              </a:schemeClr>
            </a:solidFill>
          </c:spPr>
          <c:invertIfNegative val="0"/>
          <c:cat>
            <c:strRef>
              <c:f>Aport.Gob.SS!$A$5:$A$15</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Aport.Gob.SS!$D$4</c:f>
              <c:strCache>
                <c:ptCount val="1"/>
                <c:pt idx="0">
                  <c:v>Salud RS</c:v>
                </c:pt>
              </c:strCache>
            </c:strRef>
          </c:tx>
          <c:spPr>
            <a:solidFill>
              <a:schemeClr val="accent2"/>
            </a:solidFill>
          </c:spPr>
          <c:invertIfNegative val="0"/>
          <c:cat>
            <c:strRef>
              <c:f>Aport.Gob.SS!$A$5:$A$15</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0</c:v>
                </c:pt>
              </c:numCache>
            </c:numRef>
          </c:val>
        </c:ser>
        <c:ser>
          <c:idx val="3"/>
          <c:order val="3"/>
          <c:tx>
            <c:strRef>
              <c:f>Aport.Gob.SS!$E$4</c:f>
              <c:strCache>
                <c:ptCount val="1"/>
                <c:pt idx="0">
                  <c:v>RC (Empleador)</c:v>
                </c:pt>
              </c:strCache>
            </c:strRef>
          </c:tx>
          <c:invertIfNegative val="0"/>
          <c:cat>
            <c:strRef>
              <c:f>Aport.Gob.SS!$A$5:$A$15</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1568408962.1199999</c:v>
                </c:pt>
              </c:numCache>
            </c:numRef>
          </c:val>
        </c:ser>
        <c:ser>
          <c:idx val="4"/>
          <c:order val="4"/>
          <c:tx>
            <c:strRef>
              <c:f>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Aport.Gob.SS!$A$5:$A$15</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1591811558.1199999</c:v>
                </c:pt>
              </c:numCache>
            </c:numRef>
          </c:val>
        </c:ser>
        <c:dLbls>
          <c:showLegendKey val="0"/>
          <c:showVal val="0"/>
          <c:showCatName val="0"/>
          <c:showSerName val="0"/>
          <c:showPercent val="0"/>
          <c:showBubbleSize val="0"/>
        </c:dLbls>
        <c:gapWidth val="75"/>
        <c:shape val="cylinder"/>
        <c:axId val="364839088"/>
        <c:axId val="364839480"/>
        <c:axId val="310766928"/>
      </c:bar3DChart>
      <c:catAx>
        <c:axId val="364839088"/>
        <c:scaling>
          <c:orientation val="minMax"/>
        </c:scaling>
        <c:delete val="0"/>
        <c:axPos val="b"/>
        <c:numFmt formatCode="General" sourceLinked="1"/>
        <c:majorTickMark val="none"/>
        <c:minorTickMark val="none"/>
        <c:tickLblPos val="nextTo"/>
        <c:txPr>
          <a:bodyPr/>
          <a:lstStyle/>
          <a:p>
            <a:pPr>
              <a:defRPr sz="1100"/>
            </a:pPr>
            <a:endParaRPr lang="es-ES"/>
          </a:p>
        </c:txPr>
        <c:crossAx val="364839480"/>
        <c:crosses val="autoZero"/>
        <c:auto val="1"/>
        <c:lblAlgn val="ctr"/>
        <c:lblOffset val="600"/>
        <c:noMultiLvlLbl val="0"/>
      </c:catAx>
      <c:valAx>
        <c:axId val="364839480"/>
        <c:scaling>
          <c:orientation val="minMax"/>
        </c:scaling>
        <c:delete val="1"/>
        <c:axPos val="l"/>
        <c:numFmt formatCode="_(* #,##0.00_);_(* \(#,##0.00\);_(* &quot;-&quot;??_);_(@_)" sourceLinked="1"/>
        <c:majorTickMark val="none"/>
        <c:minorTickMark val="none"/>
        <c:tickLblPos val="nextTo"/>
        <c:crossAx val="364839088"/>
        <c:crosses val="autoZero"/>
        <c:crossBetween val="between"/>
        <c:dispUnits>
          <c:builtInUnit val="billions"/>
          <c:dispUnitsLbl/>
        </c:dispUnits>
      </c:valAx>
      <c:serAx>
        <c:axId val="310766928"/>
        <c:scaling>
          <c:orientation val="minMax"/>
        </c:scaling>
        <c:delete val="1"/>
        <c:axPos val="b"/>
        <c:majorTickMark val="out"/>
        <c:minorTickMark val="none"/>
        <c:tickLblPos val="nextTo"/>
        <c:crossAx val="364839480"/>
        <c:crosses val="autoZero"/>
      </c:serAx>
    </c:plotArea>
    <c:legend>
      <c:legendPos val="l"/>
      <c:layout>
        <c:manualLayout>
          <c:xMode val="edge"/>
          <c:yMode val="edge"/>
          <c:x val="2.1346960887266963E-2"/>
          <c:y val="6.3089518877947864E-2"/>
          <c:w val="0.93911890950920451"/>
          <c:h val="6.785567552125257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'Pagos SFS'!$A$4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SFS'!$B$3:$J$3</c:f>
              <c:strCache>
                <c:ptCount val="9"/>
                <c:pt idx="0">
                  <c:v>2007</c:v>
                </c:pt>
                <c:pt idx="1">
                  <c:v>2008</c:v>
                </c:pt>
                <c:pt idx="2">
                  <c:v>2009</c:v>
                </c:pt>
                <c:pt idx="3">
                  <c:v>2010</c:v>
                </c:pt>
                <c:pt idx="4">
                  <c:v>2011</c:v>
                </c:pt>
                <c:pt idx="5">
                  <c:v> 2012</c:v>
                </c:pt>
                <c:pt idx="6">
                  <c:v> 2013</c:v>
                </c:pt>
                <c:pt idx="7">
                  <c:v> 2014</c:v>
                </c:pt>
                <c:pt idx="8">
                  <c:v>Ene.2015</c:v>
                </c:pt>
              </c:strCache>
            </c:strRef>
          </c:cat>
          <c:val>
            <c:numRef>
              <c:f>'Pagos SFS'!$B$4:$J$4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2706090096.8499999</c:v>
                </c:pt>
              </c:numCache>
            </c:numRef>
          </c:val>
        </c:ser>
        <c:ser>
          <c:idx val="1"/>
          <c:order val="1"/>
          <c:tx>
            <c:strRef>
              <c:f>'Pagos SFS'!$A$5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SFS'!$B$3:$J$3</c:f>
              <c:strCache>
                <c:ptCount val="9"/>
                <c:pt idx="0">
                  <c:v>2007</c:v>
                </c:pt>
                <c:pt idx="1">
                  <c:v>2008</c:v>
                </c:pt>
                <c:pt idx="2">
                  <c:v>2009</c:v>
                </c:pt>
                <c:pt idx="3">
                  <c:v>2010</c:v>
                </c:pt>
                <c:pt idx="4">
                  <c:v>2011</c:v>
                </c:pt>
                <c:pt idx="5">
                  <c:v> 2012</c:v>
                </c:pt>
                <c:pt idx="6">
                  <c:v> 2013</c:v>
                </c:pt>
                <c:pt idx="7">
                  <c:v> 2014</c:v>
                </c:pt>
                <c:pt idx="8">
                  <c:v>Ene.2015</c:v>
                </c:pt>
              </c:strCache>
            </c:strRef>
          </c:cat>
          <c:val>
            <c:numRef>
              <c:f>'Pagos SFS'!$B$5:$J$5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26935035</c:v>
                </c:pt>
              </c:numCache>
            </c:numRef>
          </c:val>
        </c:ser>
        <c:ser>
          <c:idx val="2"/>
          <c:order val="2"/>
          <c:tx>
            <c:strRef>
              <c:f>'Pagos SFS'!$A$6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SFS'!$B$3:$J$3</c:f>
              <c:strCache>
                <c:ptCount val="9"/>
                <c:pt idx="0">
                  <c:v>2007</c:v>
                </c:pt>
                <c:pt idx="1">
                  <c:v>2008</c:v>
                </c:pt>
                <c:pt idx="2">
                  <c:v>2009</c:v>
                </c:pt>
                <c:pt idx="3">
                  <c:v>2010</c:v>
                </c:pt>
                <c:pt idx="4">
                  <c:v>2011</c:v>
                </c:pt>
                <c:pt idx="5">
                  <c:v> 2012</c:v>
                </c:pt>
                <c:pt idx="6">
                  <c:v> 2013</c:v>
                </c:pt>
                <c:pt idx="7">
                  <c:v> 2014</c:v>
                </c:pt>
                <c:pt idx="8">
                  <c:v>Ene.2015</c:v>
                </c:pt>
              </c:strCache>
            </c:strRef>
          </c:cat>
          <c:val>
            <c:numRef>
              <c:f>'Pagos SFS'!$B$6:$J$6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128685947.84999999</c:v>
                </c:pt>
              </c:numCache>
            </c:numRef>
          </c:val>
        </c:ser>
        <c:ser>
          <c:idx val="3"/>
          <c:order val="3"/>
          <c:tx>
            <c:strRef>
              <c:f>'Pagos SFS'!$A$7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SFS'!$B$3:$J$3</c:f>
              <c:strCache>
                <c:ptCount val="9"/>
                <c:pt idx="0">
                  <c:v>2007</c:v>
                </c:pt>
                <c:pt idx="1">
                  <c:v>2008</c:v>
                </c:pt>
                <c:pt idx="2">
                  <c:v>2009</c:v>
                </c:pt>
                <c:pt idx="3">
                  <c:v>2010</c:v>
                </c:pt>
                <c:pt idx="4">
                  <c:v>2011</c:v>
                </c:pt>
                <c:pt idx="5">
                  <c:v> 2012</c:v>
                </c:pt>
                <c:pt idx="6">
                  <c:v> 2013</c:v>
                </c:pt>
                <c:pt idx="7">
                  <c:v> 2014</c:v>
                </c:pt>
                <c:pt idx="8">
                  <c:v>Ene.2015</c:v>
                </c:pt>
              </c:strCache>
            </c:strRef>
          </c:cat>
          <c:val>
            <c:numRef>
              <c:f>'Pagos SFS'!$B$7:$J$7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18409106.789999999</c:v>
                </c:pt>
              </c:numCache>
            </c:numRef>
          </c:val>
        </c:ser>
        <c:ser>
          <c:idx val="4"/>
          <c:order val="4"/>
          <c:tx>
            <c:strRef>
              <c:f>'Pagos SFS'!$A$8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SFS'!$B$3:$J$3</c:f>
              <c:strCache>
                <c:ptCount val="9"/>
                <c:pt idx="0">
                  <c:v>2007</c:v>
                </c:pt>
                <c:pt idx="1">
                  <c:v>2008</c:v>
                </c:pt>
                <c:pt idx="2">
                  <c:v>2009</c:v>
                </c:pt>
                <c:pt idx="3">
                  <c:v>2010</c:v>
                </c:pt>
                <c:pt idx="4">
                  <c:v>2011</c:v>
                </c:pt>
                <c:pt idx="5">
                  <c:v> 2012</c:v>
                </c:pt>
                <c:pt idx="6">
                  <c:v> 2013</c:v>
                </c:pt>
                <c:pt idx="7">
                  <c:v> 2014</c:v>
                </c:pt>
                <c:pt idx="8">
                  <c:v>Ene.2015</c:v>
                </c:pt>
              </c:strCache>
            </c:strRef>
          </c:cat>
          <c:val>
            <c:numRef>
              <c:f>'Pagos SFS'!$B$8:$J$8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14816000</c:v>
                </c:pt>
              </c:numCache>
            </c:numRef>
          </c:val>
        </c:ser>
        <c:dLbls>
          <c:showLegendKey val="0"/>
          <c:showVal val="0"/>
          <c:showCatName val="0"/>
          <c:showSerName val="0"/>
          <c:showPercent val="0"/>
          <c:showBubbleSize val="0"/>
        </c:dLbls>
        <c:gapWidth val="99"/>
        <c:gapDepth val="311"/>
        <c:shape val="cylinder"/>
        <c:axId val="364840264"/>
        <c:axId val="364840656"/>
        <c:axId val="0"/>
      </c:bar3DChart>
      <c:catAx>
        <c:axId val="364840264"/>
        <c:scaling>
          <c:orientation val="minMax"/>
        </c:scaling>
        <c:delete val="0"/>
        <c:axPos val="b"/>
        <c:numFmt formatCode="General" sourceLinked="1"/>
        <c:majorTickMark val="none"/>
        <c:minorTickMark val="none"/>
        <c:tickLblPos val="nextTo"/>
        <c:txPr>
          <a:bodyPr/>
          <a:lstStyle/>
          <a:p>
            <a:pPr>
              <a:defRPr lang="en-US" sz="1800"/>
            </a:pPr>
            <a:endParaRPr lang="es-ES"/>
          </a:p>
        </c:txPr>
        <c:crossAx val="364840656"/>
        <c:crosses val="autoZero"/>
        <c:auto val="1"/>
        <c:lblAlgn val="ctr"/>
        <c:lblOffset val="100"/>
        <c:noMultiLvlLbl val="0"/>
      </c:catAx>
      <c:valAx>
        <c:axId val="36484065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64840264"/>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430013374010995"/>
          <c:y val="5.600000261300682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624921502950676E-2"/>
          <c:y val="0.32784694443147017"/>
          <c:w val="0.90878655583328272"/>
          <c:h val="0.49707375897690331"/>
        </c:manualLayout>
      </c:layout>
      <c:bar3DChart>
        <c:barDir val="col"/>
        <c:grouping val="clustered"/>
        <c:varyColors val="0"/>
        <c:ser>
          <c:idx val="0"/>
          <c:order val="0"/>
          <c:tx>
            <c:strRef>
              <c:f>'Pagos_SFS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'Pagos_SFS M'!$B$4:$B$16</c:f>
              <c:numCache>
                <c:formatCode>_(* #,##0.00_);_(* \(#,##0.00\);_(* "-"??_);_(@_)</c:formatCode>
                <c:ptCount val="13"/>
                <c:pt idx="0">
                  <c:v>2481123851.8899999</c:v>
                </c:pt>
                <c:pt idx="1">
                  <c:v>2521735402.48</c:v>
                </c:pt>
                <c:pt idx="2">
                  <c:v>2521262075.8699999</c:v>
                </c:pt>
                <c:pt idx="3">
                  <c:v>2571038494.48</c:v>
                </c:pt>
                <c:pt idx="4">
                  <c:v>2492547024.3400002</c:v>
                </c:pt>
                <c:pt idx="5">
                  <c:v>2683967635.4099998</c:v>
                </c:pt>
                <c:pt idx="6">
                  <c:v>2594192728.46</c:v>
                </c:pt>
                <c:pt idx="7">
                  <c:v>2641820988.0099998</c:v>
                </c:pt>
                <c:pt idx="8">
                  <c:v>2631187836.6500001</c:v>
                </c:pt>
                <c:pt idx="9">
                  <c:v>2657402335.5600004</c:v>
                </c:pt>
                <c:pt idx="10">
                  <c:v>2675404983.6300001</c:v>
                </c:pt>
                <c:pt idx="11">
                  <c:v>2695428414.4199996</c:v>
                </c:pt>
                <c:pt idx="12">
                  <c:v>2706090096.8499999</c:v>
                </c:pt>
              </c:numCache>
            </c:numRef>
          </c:val>
        </c:ser>
        <c:ser>
          <c:idx val="1"/>
          <c:order val="1"/>
          <c:tx>
            <c:strRef>
              <c:f>'Pagos_SFS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'Pagos_SFS M'!$C$4:$C$16</c:f>
              <c:numCache>
                <c:formatCode>_(* #,##0.00_);_(* \(#,##0.00\);_(* "-"??_);_(@_)</c:formatCode>
                <c:ptCount val="13"/>
                <c:pt idx="0">
                  <c:v>20979055.5</c:v>
                </c:pt>
                <c:pt idx="1">
                  <c:v>21008001</c:v>
                </c:pt>
                <c:pt idx="2">
                  <c:v>21071451</c:v>
                </c:pt>
                <c:pt idx="3">
                  <c:v>21381019.199999999</c:v>
                </c:pt>
                <c:pt idx="4">
                  <c:v>0</c:v>
                </c:pt>
                <c:pt idx="5">
                  <c:v>43392624</c:v>
                </c:pt>
                <c:pt idx="6">
                  <c:v>21695539.5</c:v>
                </c:pt>
                <c:pt idx="7">
                  <c:v>22127010</c:v>
                </c:pt>
                <c:pt idx="8">
                  <c:v>21933249</c:v>
                </c:pt>
                <c:pt idx="9">
                  <c:v>22144288.5</c:v>
                </c:pt>
                <c:pt idx="10">
                  <c:v>22622574</c:v>
                </c:pt>
                <c:pt idx="11">
                  <c:v>22553880</c:v>
                </c:pt>
                <c:pt idx="12">
                  <c:v>26935035</c:v>
                </c:pt>
              </c:numCache>
            </c:numRef>
          </c:val>
        </c:ser>
        <c:ser>
          <c:idx val="2"/>
          <c:order val="2"/>
          <c:tx>
            <c:strRef>
              <c:f>'Pagos_SFS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'Pagos_SFS M'!$D$4:$D$16</c:f>
              <c:numCache>
                <c:formatCode>_(* #,##0.00_);_(* \(#,##0.00\);_(* "-"??_);_(@_)</c:formatCode>
                <c:ptCount val="13"/>
                <c:pt idx="0">
                  <c:v>117579749.40000001</c:v>
                </c:pt>
                <c:pt idx="1">
                  <c:v>120115331.20999999</c:v>
                </c:pt>
                <c:pt idx="2">
                  <c:v>128948107.11</c:v>
                </c:pt>
                <c:pt idx="3">
                  <c:v>126664709.78</c:v>
                </c:pt>
                <c:pt idx="4">
                  <c:v>128425724.31999999</c:v>
                </c:pt>
                <c:pt idx="5">
                  <c:v>137309264.62</c:v>
                </c:pt>
                <c:pt idx="6">
                  <c:v>133174993.88</c:v>
                </c:pt>
                <c:pt idx="7">
                  <c:v>131852721.61</c:v>
                </c:pt>
                <c:pt idx="8">
                  <c:v>134291668.47999999</c:v>
                </c:pt>
                <c:pt idx="9">
                  <c:v>134502961.25999999</c:v>
                </c:pt>
                <c:pt idx="10">
                  <c:v>129397014.25</c:v>
                </c:pt>
                <c:pt idx="11">
                  <c:v>133971069.88</c:v>
                </c:pt>
                <c:pt idx="12">
                  <c:v>128685947.84999999</c:v>
                </c:pt>
              </c:numCache>
            </c:numRef>
          </c:val>
        </c:ser>
        <c:ser>
          <c:idx val="3"/>
          <c:order val="3"/>
          <c:tx>
            <c:strRef>
              <c:f>'Pagos_SFS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'Pagos_SFS M'!$E$4:$E$16</c:f>
              <c:numCache>
                <c:formatCode>_(* #,##0.00_);_(* \(#,##0.00\);_(* "-"??_);_(@_)</c:formatCode>
                <c:ptCount val="13"/>
                <c:pt idx="0">
                  <c:v>16737868.779999999</c:v>
                </c:pt>
                <c:pt idx="1">
                  <c:v>16897600.02</c:v>
                </c:pt>
                <c:pt idx="2">
                  <c:v>17473435.41</c:v>
                </c:pt>
                <c:pt idx="3">
                  <c:v>17588136.32</c:v>
                </c:pt>
                <c:pt idx="4">
                  <c:v>17684785.719999999</c:v>
                </c:pt>
                <c:pt idx="5">
                  <c:v>18317103.920000002</c:v>
                </c:pt>
                <c:pt idx="6">
                  <c:v>18106572.739999998</c:v>
                </c:pt>
                <c:pt idx="7">
                  <c:v>18117489.039999999</c:v>
                </c:pt>
                <c:pt idx="8">
                  <c:v>18358494.530000001</c:v>
                </c:pt>
                <c:pt idx="9">
                  <c:v>18689133.52</c:v>
                </c:pt>
                <c:pt idx="10">
                  <c:v>18490936.91</c:v>
                </c:pt>
                <c:pt idx="11">
                  <c:v>19457072.02</c:v>
                </c:pt>
                <c:pt idx="12">
                  <c:v>18409106.789999999</c:v>
                </c:pt>
              </c:numCache>
            </c:numRef>
          </c:val>
        </c:ser>
        <c:ser>
          <c:idx val="4"/>
          <c:order val="4"/>
          <c:tx>
            <c:strRef>
              <c:f>'Pagos_SFS M'!$F$3</c:f>
              <c:strCache>
                <c:ptCount val="1"/>
                <c:pt idx="0">
                  <c:v>Estancias Infantiles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'Pagos_SFS M'!$F$4:$F$16</c:f>
              <c:numCache>
                <c:formatCode>_(* #,##0.00_);_(* \(#,##0.00\);_(* "-"??_);_(@_)</c:formatCode>
                <c:ptCount val="13"/>
                <c:pt idx="0">
                  <c:v>13096000</c:v>
                </c:pt>
                <c:pt idx="1">
                  <c:v>12830000</c:v>
                </c:pt>
                <c:pt idx="2">
                  <c:v>13236000</c:v>
                </c:pt>
                <c:pt idx="3">
                  <c:v>108461320</c:v>
                </c:pt>
                <c:pt idx="4">
                  <c:v>13130000</c:v>
                </c:pt>
                <c:pt idx="5">
                  <c:v>13402000</c:v>
                </c:pt>
                <c:pt idx="6">
                  <c:v>13136000</c:v>
                </c:pt>
                <c:pt idx="7">
                  <c:v>14004000</c:v>
                </c:pt>
                <c:pt idx="8">
                  <c:v>15014000</c:v>
                </c:pt>
                <c:pt idx="9">
                  <c:v>15616000</c:v>
                </c:pt>
                <c:pt idx="10">
                  <c:v>15756000</c:v>
                </c:pt>
                <c:pt idx="11">
                  <c:v>14748000</c:v>
                </c:pt>
                <c:pt idx="12">
                  <c:v>14816000</c:v>
                </c:pt>
              </c:numCache>
            </c:numRef>
          </c:val>
        </c:ser>
        <c:ser>
          <c:idx val="5"/>
          <c:order val="5"/>
          <c:tx>
            <c:strRef>
              <c:f>'IV.1.2.3 Dip. SFS mensual'!#REF!</c:f>
              <c:strCache>
                <c:ptCount val="1"/>
                <c:pt idx="0">
                  <c:v>#REF!</c:v>
                </c:pt>
              </c:strCache>
            </c:strRef>
          </c:tx>
          <c:invertIfNegative val="0"/>
          <c:cat>
            <c:strRef>
              <c:f>'Pagos_SFS M'!$A$4:$A$16</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364841440"/>
        <c:axId val="364841832"/>
        <c:axId val="0"/>
      </c:bar3DChart>
      <c:catAx>
        <c:axId val="364841440"/>
        <c:scaling>
          <c:orientation val="minMax"/>
        </c:scaling>
        <c:delete val="0"/>
        <c:axPos val="b"/>
        <c:numFmt formatCode="mmm\-yy" sourceLinked="0"/>
        <c:majorTickMark val="none"/>
        <c:minorTickMark val="none"/>
        <c:tickLblPos val="nextTo"/>
        <c:txPr>
          <a:bodyPr rot="-2700000" vert="horz"/>
          <a:lstStyle/>
          <a:p>
            <a:pPr>
              <a:defRPr sz="1100"/>
            </a:pPr>
            <a:endParaRPr lang="es-ES"/>
          </a:p>
        </c:txPr>
        <c:crossAx val="364841832"/>
        <c:crosses val="autoZero"/>
        <c:auto val="1"/>
        <c:lblAlgn val="ctr"/>
        <c:lblOffset val="100"/>
        <c:noMultiLvlLbl val="1"/>
      </c:catAx>
      <c:valAx>
        <c:axId val="364841832"/>
        <c:scaling>
          <c:orientation val="minMax"/>
        </c:scaling>
        <c:delete val="0"/>
        <c:axPos val="l"/>
        <c:numFmt formatCode="_(* #,##0.00_);_(* \(#,##0.00\);_(* &quot;-&quot;??_);_(@_)" sourceLinked="1"/>
        <c:majorTickMark val="none"/>
        <c:minorTickMark val="none"/>
        <c:tickLblPos val="nextTo"/>
        <c:spPr>
          <a:ln w="9525">
            <a:noFill/>
          </a:ln>
        </c:spPr>
        <c:crossAx val="364841440"/>
        <c:crosses val="autoZero"/>
        <c:crossBetween val="between"/>
        <c:dispUnits>
          <c:builtInUnit val="millions"/>
          <c:dispUnitsLbl>
            <c:layout>
              <c:manualLayout>
                <c:xMode val="edge"/>
                <c:yMode val="edge"/>
                <c:x val="4.782139024928642E-3"/>
                <c:y val="0.46334589177478214"/>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8515488074944553"/>
          <c:y val="0.168936280848587"/>
          <c:w val="0.66195100607111401"/>
          <c:h val="4.19663109131586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b="1">
                <a:effectLst/>
              </a:rPr>
              <a:t>Fondos Pagados a las ARS del SFS del RC</a:t>
            </a:r>
          </a:p>
          <a:p>
            <a:pPr>
              <a:defRPr sz="1400"/>
            </a:pPr>
            <a:r>
              <a:rPr lang="es-DO" sz="1400" b="1">
                <a:effectLst/>
              </a:rPr>
              <a:t>Septiembre 2007 -  Enero 2015</a:t>
            </a:r>
            <a:endParaRPr lang="es-ES" sz="1400">
              <a:effectLst/>
            </a:endParaRPr>
          </a:p>
        </c:rich>
      </c:tx>
      <c:layout>
        <c:manualLayout>
          <c:xMode val="edge"/>
          <c:yMode val="edge"/>
          <c:x val="0.37571818466988061"/>
          <c:y val="2.4425200479156216E-2"/>
        </c:manualLayout>
      </c:layout>
      <c:overlay val="0"/>
    </c:title>
    <c:autoTitleDeleted val="0"/>
    <c:plotArea>
      <c:layout>
        <c:manualLayout>
          <c:layoutTarget val="inner"/>
          <c:xMode val="edge"/>
          <c:yMode val="edge"/>
          <c:x val="0.15569404279376237"/>
          <c:y val="0.10179055600167684"/>
          <c:w val="0.82704106002763833"/>
          <c:h val="0.81935431174934403"/>
        </c:manualLayout>
      </c:layout>
      <c:barChart>
        <c:barDir val="bar"/>
        <c:grouping val="clustered"/>
        <c:varyColors val="0"/>
        <c:ser>
          <c:idx val="0"/>
          <c:order val="0"/>
          <c:tx>
            <c:strRef>
              <c:f>'Pagos x ARS 2'!$B$3</c:f>
              <c:strCache>
                <c:ptCount val="1"/>
                <c:pt idx="0">
                  <c:v>Total 
Sep.07 - Ene.2015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rgbClr val="FF000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FF000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x ARS 2'!$A$4:$A$32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'Pagos x ARS 2'!$B$4:$B$32</c:f>
              <c:numCache>
                <c:formatCode>_(* #,##0.00_);_(* \(#,##0.00\);_(* "-"??_);_(@_)</c:formatCode>
                <c:ptCount val="29"/>
                <c:pt idx="0">
                  <c:v>51098109025.619995</c:v>
                </c:pt>
                <c:pt idx="1">
                  <c:v>21850772792.589996</c:v>
                </c:pt>
                <c:pt idx="2">
                  <c:v>20775155266.199997</c:v>
                </c:pt>
                <c:pt idx="3">
                  <c:v>18976336642.669998</c:v>
                </c:pt>
                <c:pt idx="4">
                  <c:v>12852422108.719999</c:v>
                </c:pt>
                <c:pt idx="5">
                  <c:v>8465457286.1900005</c:v>
                </c:pt>
                <c:pt idx="6">
                  <c:v>3144714368.4300008</c:v>
                </c:pt>
                <c:pt idx="7">
                  <c:v>2890757885.2999997</c:v>
                </c:pt>
                <c:pt idx="8">
                  <c:v>2518191487.8299999</c:v>
                </c:pt>
                <c:pt idx="9">
                  <c:v>2163231786.7200003</c:v>
                </c:pt>
                <c:pt idx="10">
                  <c:v>2059799723.8399999</c:v>
                </c:pt>
                <c:pt idx="11">
                  <c:v>1788472787.6899998</c:v>
                </c:pt>
                <c:pt idx="12">
                  <c:v>1699935751.0800002</c:v>
                </c:pt>
                <c:pt idx="13">
                  <c:v>1560976781.3600001</c:v>
                </c:pt>
                <c:pt idx="14">
                  <c:v>1394862052.8799999</c:v>
                </c:pt>
                <c:pt idx="15">
                  <c:v>1248478909.1500001</c:v>
                </c:pt>
                <c:pt idx="16">
                  <c:v>1217756712.27</c:v>
                </c:pt>
                <c:pt idx="17">
                  <c:v>1085885667.46</c:v>
                </c:pt>
                <c:pt idx="18">
                  <c:v>947216533.15999997</c:v>
                </c:pt>
                <c:pt idx="19">
                  <c:v>751176204.28999949</c:v>
                </c:pt>
                <c:pt idx="20">
                  <c:v>505681621.5399999</c:v>
                </c:pt>
                <c:pt idx="21">
                  <c:v>484656433.32999998</c:v>
                </c:pt>
                <c:pt idx="22">
                  <c:v>366725885.96000004</c:v>
                </c:pt>
                <c:pt idx="23">
                  <c:v>260644027.96000001</c:v>
                </c:pt>
                <c:pt idx="24">
                  <c:v>162182527.97999999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64842616"/>
        <c:axId val="364843008"/>
      </c:barChart>
      <c:catAx>
        <c:axId val="364842616"/>
        <c:scaling>
          <c:orientation val="minMax"/>
        </c:scaling>
        <c:delete val="0"/>
        <c:axPos val="l"/>
        <c:numFmt formatCode="General" sourceLinked="1"/>
        <c:majorTickMark val="out"/>
        <c:minorTickMark val="none"/>
        <c:tickLblPos val="nextTo"/>
        <c:txPr>
          <a:bodyPr/>
          <a:lstStyle/>
          <a:p>
            <a:pPr>
              <a:defRPr lang="en-US" sz="1000"/>
            </a:pPr>
            <a:endParaRPr lang="es-ES"/>
          </a:p>
        </c:txPr>
        <c:crossAx val="364843008"/>
        <c:crosses val="autoZero"/>
        <c:auto val="1"/>
        <c:lblAlgn val="ctr"/>
        <c:lblOffset val="100"/>
        <c:noMultiLvlLbl val="0"/>
      </c:catAx>
      <c:valAx>
        <c:axId val="364843008"/>
        <c:scaling>
          <c:orientation val="minMax"/>
        </c:scaling>
        <c:delete val="1"/>
        <c:axPos val="b"/>
        <c:numFmt formatCode="_(* #,##0.00_);_(* \(#,##0.00\);_(* &quot;-&quot;??_);_(@_)" sourceLinked="1"/>
        <c:majorTickMark val="out"/>
        <c:minorTickMark val="none"/>
        <c:tickLblPos val="nextTo"/>
        <c:crossAx val="364842616"/>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a:t>
            </a:r>
            <a:r>
              <a:rPr lang="en-US" sz="2400" baseline="0"/>
              <a:t> </a:t>
            </a:r>
            <a:r>
              <a:rPr lang="en-US" sz="2400"/>
              <a:t>del SFS a la Población Nacional</a:t>
            </a:r>
          </a:p>
        </c:rich>
      </c:tx>
      <c:layout>
        <c:manualLayout>
          <c:xMode val="edge"/>
          <c:yMode val="edge"/>
          <c:x val="0.36288763195368179"/>
          <c:y val="1.9867480618771333E-2"/>
        </c:manualLayout>
      </c:layout>
      <c:overlay val="0"/>
    </c:title>
    <c:autoTitleDeleted val="0"/>
    <c:plotArea>
      <c:layout>
        <c:manualLayout>
          <c:layoutTarget val="inner"/>
          <c:xMode val="edge"/>
          <c:yMode val="edge"/>
          <c:x val="6.352543572502875E-2"/>
          <c:y val="0.16988639802239763"/>
          <c:w val="0.88253667511308043"/>
          <c:h val="0.6850506283422384"/>
        </c:manualLayout>
      </c:layout>
      <c:barChart>
        <c:barDir val="col"/>
        <c:grouping val="clustered"/>
        <c:varyColors val="0"/>
        <c:ser>
          <c:idx val="0"/>
          <c:order val="0"/>
          <c:tx>
            <c:strRef>
              <c:f>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Afil.SFSPob.Nac.!$A$4:$A$16</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9888817</c:v>
                </c:pt>
              </c:numCache>
            </c:numRef>
          </c:val>
        </c:ser>
        <c:dLbls>
          <c:showLegendKey val="0"/>
          <c:showVal val="0"/>
          <c:showCatName val="0"/>
          <c:showSerName val="0"/>
          <c:showPercent val="0"/>
          <c:showBubbleSize val="0"/>
        </c:dLbls>
        <c:gapWidth val="39"/>
        <c:axId val="300400136"/>
        <c:axId val="300400528"/>
      </c:barChart>
      <c:lineChart>
        <c:grouping val="standard"/>
        <c:varyColors val="0"/>
        <c:ser>
          <c:idx val="1"/>
          <c:order val="1"/>
          <c:tx>
            <c:strRef>
              <c:f>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Afil.SFSPob.Nac.!$A$4:$A$16</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0.62573561630273877</c:v>
                </c:pt>
              </c:numCache>
            </c:numRef>
          </c:val>
          <c:smooth val="0"/>
        </c:ser>
        <c:dLbls>
          <c:showLegendKey val="0"/>
          <c:showVal val="0"/>
          <c:showCatName val="0"/>
          <c:showSerName val="0"/>
          <c:showPercent val="0"/>
          <c:showBubbleSize val="0"/>
        </c:dLbls>
        <c:marker val="1"/>
        <c:smooth val="0"/>
        <c:axId val="300401312"/>
        <c:axId val="300400920"/>
      </c:lineChart>
      <c:catAx>
        <c:axId val="300400136"/>
        <c:scaling>
          <c:orientation val="minMax"/>
        </c:scaling>
        <c:delete val="0"/>
        <c:axPos val="b"/>
        <c:numFmt formatCode="General" sourceLinked="0"/>
        <c:majorTickMark val="none"/>
        <c:minorTickMark val="none"/>
        <c:tickLblPos val="nextTo"/>
        <c:txPr>
          <a:bodyPr/>
          <a:lstStyle/>
          <a:p>
            <a:pPr>
              <a:defRPr sz="1800"/>
            </a:pPr>
            <a:endParaRPr lang="es-ES"/>
          </a:p>
        </c:txPr>
        <c:crossAx val="300400528"/>
        <c:crosses val="autoZero"/>
        <c:auto val="1"/>
        <c:lblAlgn val="ctr"/>
        <c:lblOffset val="100"/>
        <c:noMultiLvlLbl val="0"/>
      </c:catAx>
      <c:valAx>
        <c:axId val="300400528"/>
        <c:scaling>
          <c:orientation val="minMax"/>
        </c:scaling>
        <c:delete val="0"/>
        <c:axPos val="l"/>
        <c:numFmt formatCode="#,##0_);[Red]\(#,##0\)" sourceLinked="1"/>
        <c:majorTickMark val="none"/>
        <c:minorTickMark val="none"/>
        <c:tickLblPos val="nextTo"/>
        <c:txPr>
          <a:bodyPr/>
          <a:lstStyle/>
          <a:p>
            <a:pPr>
              <a:defRPr sz="1200"/>
            </a:pPr>
            <a:endParaRPr lang="es-ES"/>
          </a:p>
        </c:txPr>
        <c:crossAx val="300400136"/>
        <c:crosses val="autoZero"/>
        <c:crossBetween val="between"/>
      </c:valAx>
      <c:valAx>
        <c:axId val="300400920"/>
        <c:scaling>
          <c:orientation val="minMax"/>
          <c:max val="1"/>
        </c:scaling>
        <c:delete val="0"/>
        <c:axPos val="r"/>
        <c:numFmt formatCode="0.0%" sourceLinked="1"/>
        <c:majorTickMark val="out"/>
        <c:minorTickMark val="none"/>
        <c:tickLblPos val="nextTo"/>
        <c:txPr>
          <a:bodyPr/>
          <a:lstStyle/>
          <a:p>
            <a:pPr>
              <a:defRPr sz="1200"/>
            </a:pPr>
            <a:endParaRPr lang="es-ES"/>
          </a:p>
        </c:txPr>
        <c:crossAx val="300401312"/>
        <c:crosses val="max"/>
        <c:crossBetween val="between"/>
      </c:valAx>
      <c:catAx>
        <c:axId val="300401312"/>
        <c:scaling>
          <c:orientation val="minMax"/>
        </c:scaling>
        <c:delete val="1"/>
        <c:axPos val="b"/>
        <c:numFmt formatCode="General" sourceLinked="1"/>
        <c:majorTickMark val="out"/>
        <c:minorTickMark val="none"/>
        <c:tickLblPos val="nextTo"/>
        <c:crossAx val="300400920"/>
        <c:crosses val="autoZero"/>
        <c:auto val="1"/>
        <c:lblAlgn val="ctr"/>
        <c:lblOffset val="100"/>
        <c:noMultiLvlLbl val="0"/>
      </c:catAx>
    </c:plotArea>
    <c:legend>
      <c:legendPos val="t"/>
      <c:layout>
        <c:manualLayout>
          <c:xMode val="edge"/>
          <c:yMode val="edge"/>
          <c:x val="0.33953698582389785"/>
          <c:y val="6.715229528940235E-2"/>
          <c:w val="0.31036764118596677"/>
          <c:h val="3.646464629293096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7967478924490804"/>
          <c:y val="5.8082520634475561E-2"/>
          <c:w val="0.75827202539321314"/>
          <c:h val="0.88373813585749816"/>
        </c:manualLayout>
      </c:layout>
      <c:bar3DChart>
        <c:barDir val="bar"/>
        <c:grouping val="clustered"/>
        <c:varyColors val="0"/>
        <c:ser>
          <c:idx val="0"/>
          <c:order val="0"/>
          <c:invertIfNegative val="0"/>
          <c:dPt>
            <c:idx val="5"/>
            <c:invertIfNegative val="0"/>
            <c:bubble3D val="0"/>
            <c:spPr>
              <a:solidFill>
                <a:schemeClr val="accent6">
                  <a:lumMod val="50000"/>
                </a:schemeClr>
              </a:solidFill>
            </c:spPr>
          </c:dPt>
          <c:dPt>
            <c:idx val="12"/>
            <c:invertIfNegative val="0"/>
            <c:bubble3D val="0"/>
            <c:spPr>
              <a:solidFill>
                <a:schemeClr val="accent6">
                  <a:lumMod val="50000"/>
                </a:schemeClr>
              </a:solidFill>
            </c:spPr>
          </c:dPt>
          <c:dPt>
            <c:idx val="13"/>
            <c:invertIfNegative val="0"/>
            <c:bubble3D val="0"/>
            <c:spPr>
              <a:solidFill>
                <a:schemeClr val="accent6">
                  <a:lumMod val="50000"/>
                </a:schemeClr>
              </a:solidFill>
            </c:spPr>
          </c:dPt>
          <c:dPt>
            <c:idx val="20"/>
            <c:invertIfNegative val="0"/>
            <c:bubble3D val="0"/>
            <c:spPr>
              <a:solidFill>
                <a:schemeClr val="accent6">
                  <a:lumMod val="50000"/>
                </a:schemeClr>
              </a:solidFill>
            </c:spPr>
          </c:dPt>
          <c:dPt>
            <c:idx val="21"/>
            <c:invertIfNegative val="0"/>
            <c:bubble3D val="0"/>
            <c:spPr>
              <a:solidFill>
                <a:schemeClr val="accent6">
                  <a:lumMod val="50000"/>
                </a:schemeClr>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x ARS'!$I$4:$I$25</c:f>
              <c:strCache>
                <c:ptCount val="22"/>
                <c:pt idx="0">
                  <c:v>Humano</c:v>
                </c:pt>
                <c:pt idx="1">
                  <c:v>Palic Salud</c:v>
                </c:pt>
                <c:pt idx="2">
                  <c:v>SENASA RC</c:v>
                </c:pt>
                <c:pt idx="3">
                  <c:v>Universal</c:v>
                </c:pt>
                <c:pt idx="4">
                  <c:v>Futuro</c:v>
                </c:pt>
                <c:pt idx="5">
                  <c:v>SEMMA</c:v>
                </c:pt>
                <c:pt idx="6">
                  <c:v>Salud Segura</c:v>
                </c:pt>
                <c:pt idx="7">
                  <c:v>Dr. Yunen</c:v>
                </c:pt>
                <c:pt idx="8">
                  <c:v>Serv. de Igualas Méd. Dr. Abel</c:v>
                </c:pt>
                <c:pt idx="9">
                  <c:v>Renacer</c:v>
                </c:pt>
                <c:pt idx="10">
                  <c:v>Grupo Med. Asociado</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'Pagos x ARS'!$J$4:$J$25</c:f>
              <c:numCache>
                <c:formatCode>_(* #,##0.00_);_(* \(#,##0.00\);_(* "-"??_);_(@_)</c:formatCode>
                <c:ptCount val="22"/>
                <c:pt idx="0">
                  <c:v>954952429.44000006</c:v>
                </c:pt>
                <c:pt idx="1">
                  <c:v>425634324.60000002</c:v>
                </c:pt>
                <c:pt idx="2">
                  <c:v>397471792.36000001</c:v>
                </c:pt>
                <c:pt idx="3">
                  <c:v>341120863.68000001</c:v>
                </c:pt>
                <c:pt idx="4">
                  <c:v>104264547.45</c:v>
                </c:pt>
                <c:pt idx="5">
                  <c:v>105523360.53</c:v>
                </c:pt>
                <c:pt idx="6">
                  <c:v>72659432.819999993</c:v>
                </c:pt>
                <c:pt idx="7">
                  <c:v>45777075.75</c:v>
                </c:pt>
                <c:pt idx="8">
                  <c:v>43503466.32</c:v>
                </c:pt>
                <c:pt idx="9">
                  <c:v>39677432.039999999</c:v>
                </c:pt>
                <c:pt idx="10">
                  <c:v>41391865.350000001</c:v>
                </c:pt>
                <c:pt idx="11">
                  <c:v>28594838.129999999</c:v>
                </c:pt>
                <c:pt idx="12">
                  <c:v>25344099.66</c:v>
                </c:pt>
                <c:pt idx="13">
                  <c:v>22588512.210000001</c:v>
                </c:pt>
                <c:pt idx="14">
                  <c:v>21388062.359999999</c:v>
                </c:pt>
                <c:pt idx="15">
                  <c:v>18436415.879999999</c:v>
                </c:pt>
                <c:pt idx="16">
                  <c:v>15925231.74</c:v>
                </c:pt>
                <c:pt idx="17">
                  <c:v>13836615.99</c:v>
                </c:pt>
                <c:pt idx="18">
                  <c:v>6905373.0300000003</c:v>
                </c:pt>
                <c:pt idx="19">
                  <c:v>3297277.95</c:v>
                </c:pt>
                <c:pt idx="20">
                  <c:v>2703216.78</c:v>
                </c:pt>
                <c:pt idx="21">
                  <c:v>2028897.78</c:v>
                </c:pt>
              </c:numCache>
            </c:numRef>
          </c:val>
        </c:ser>
        <c:dLbls>
          <c:showLegendKey val="0"/>
          <c:showVal val="0"/>
          <c:showCatName val="0"/>
          <c:showSerName val="0"/>
          <c:showPercent val="0"/>
          <c:showBubbleSize val="0"/>
        </c:dLbls>
        <c:gapWidth val="36"/>
        <c:shape val="cylinder"/>
        <c:axId val="364843400"/>
        <c:axId val="364843792"/>
        <c:axId val="0"/>
      </c:bar3DChart>
      <c:catAx>
        <c:axId val="364843400"/>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364843792"/>
        <c:crosses val="autoZero"/>
        <c:auto val="1"/>
        <c:lblAlgn val="ctr"/>
        <c:lblOffset val="100"/>
        <c:noMultiLvlLbl val="0"/>
      </c:catAx>
      <c:valAx>
        <c:axId val="364843792"/>
        <c:scaling>
          <c:orientation val="minMax"/>
        </c:scaling>
        <c:delete val="1"/>
        <c:axPos val="b"/>
        <c:numFmt formatCode="_(* #,##0.00_);_(* \(#,##0.00\);_(* &quot;-&quot;??_);_(@_)" sourceLinked="1"/>
        <c:majorTickMark val="out"/>
        <c:minorTickMark val="none"/>
        <c:tickLblPos val="nextTo"/>
        <c:crossAx val="364843400"/>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 </a:t>
            </a:r>
            <a:r>
              <a:rPr lang="es-DO" sz="1800" b="1">
                <a:solidFill>
                  <a:sysClr val="windowText" lastClr="000000"/>
                </a:solidFill>
                <a:effectLst/>
              </a:rPr>
              <a:t>Gestión de Fondos</a:t>
            </a:r>
            <a:endParaRPr lang="es-ES" sz="1800">
              <a:solidFill>
                <a:sysClr val="windowText" lastClr="000000"/>
              </a:solidFill>
              <a:effectLst/>
            </a:endParaRPr>
          </a:p>
          <a:p>
            <a:pPr>
              <a:defRPr sz="1800">
                <a:solidFill>
                  <a:sysClr val="windowText" lastClr="000000"/>
                </a:solidFill>
              </a:defRPr>
            </a:pPr>
            <a:r>
              <a:rPr lang="es-DO" sz="1800" b="1">
                <a:solidFill>
                  <a:sysClr val="windowText" lastClr="000000"/>
                </a:solidFill>
                <a:effectLst/>
              </a:rPr>
              <a:t>Distribución de las Inversiones de la  Cuenta Cuidado de la Salud por Instrumento</a:t>
            </a:r>
            <a:endParaRPr lang="es-ES" sz="1800">
              <a:solidFill>
                <a:sysClr val="windowText" lastClr="000000"/>
              </a:solidFill>
              <a:effectLst/>
            </a:endParaRPr>
          </a:p>
        </c:rich>
      </c:tx>
      <c:layout>
        <c:manualLayout>
          <c:xMode val="edge"/>
          <c:yMode val="edge"/>
          <c:x val="0.19718760900453852"/>
          <c:y val="4.328231856666735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s-ES"/>
        </a:p>
      </c:txPr>
    </c:title>
    <c:autoTitleDeleted val="0"/>
    <c:view3D>
      <c:rotX val="30"/>
      <c:rotY val="3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995186685870036"/>
          <c:y val="0.40966675278015346"/>
          <c:w val="0.4707989761707676"/>
          <c:h val="0.42151436404834564"/>
        </c:manualLayout>
      </c:layout>
      <c:pie3DChart>
        <c:varyColors val="1"/>
        <c:ser>
          <c:idx val="0"/>
          <c:order val="0"/>
          <c:tx>
            <c:strRef>
              <c:f>'INV_SFS x Entidad'!$B$3</c:f>
              <c:strCache>
                <c:ptCount val="1"/>
                <c:pt idx="0">
                  <c:v> Total Invertido</c:v>
                </c:pt>
              </c:strCache>
            </c:strRef>
          </c:tx>
          <c:explosion val="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Lbls>
            <c:dLbl>
              <c:idx val="0"/>
              <c:layout>
                <c:manualLayout>
                  <c:x val="4.2193583520713628E-3"/>
                  <c:y val="3.6884706519458479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fld id="{D077DE79-2CF6-4D0E-B96B-8FED478C9C27}" type="CATEGORYNAME">
                      <a:rPr lang="en-US" b="1">
                        <a:solidFill>
                          <a:srgbClr val="0070C0"/>
                        </a:solidFill>
                      </a:rPr>
                      <a:pPr>
                        <a:defRPr sz="1600" b="1">
                          <a:solidFill>
                            <a:srgbClr val="0070C0"/>
                          </a:solidFill>
                        </a:defRPr>
                      </a:pPr>
                      <a:t>[NOMBRE DE CATEGORÍA]</a:t>
                    </a:fld>
                    <a:r>
                      <a:rPr lang="en-US" b="1" baseline="0">
                        <a:solidFill>
                          <a:srgbClr val="0070C0"/>
                        </a:solidFill>
                      </a:rPr>
                      <a:t> </a:t>
                    </a:r>
                  </a:p>
                  <a:p>
                    <a:pPr>
                      <a:defRPr sz="1600" b="1">
                        <a:solidFill>
                          <a:srgbClr val="0070C0"/>
                        </a:solidFill>
                      </a:defRPr>
                    </a:pPr>
                    <a:fld id="{2D738504-4E0A-4E51-8707-1D890676C4ED}" type="VALUE">
                      <a:rPr lang="en-US" b="1" baseline="0">
                        <a:solidFill>
                          <a:srgbClr val="0070C0"/>
                        </a:solidFill>
                      </a:rPr>
                      <a:pPr>
                        <a:defRPr sz="1600" b="1">
                          <a:solidFill>
                            <a:srgbClr val="0070C0"/>
                          </a:solidFill>
                        </a:defRPr>
                      </a:pPr>
                      <a:t>[VALOR]</a:t>
                    </a:fld>
                    <a:r>
                      <a:rPr lang="en-US" b="1" baseline="0">
                        <a:solidFill>
                          <a:srgbClr val="0070C0"/>
                        </a:solidFill>
                      </a:rPr>
                      <a:t> </a:t>
                    </a:r>
                  </a:p>
                  <a:p>
                    <a:pPr>
                      <a:defRPr sz="1600" b="1">
                        <a:solidFill>
                          <a:srgbClr val="0070C0"/>
                        </a:solidFill>
                      </a:defRPr>
                    </a:pPr>
                    <a:fld id="{60A66AA8-C1AC-4A95-9033-73A0B575FE5A}" type="PERCENTAGE">
                      <a:rPr lang="en-US" b="1" baseline="0">
                        <a:solidFill>
                          <a:srgbClr val="0070C0"/>
                        </a:solidFill>
                      </a:rPr>
                      <a:pPr>
                        <a:defRPr sz="1600" b="1">
                          <a:solidFill>
                            <a:srgbClr val="0070C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4143088841285451E-2"/>
                  <c:y val="3.6342762273236927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fld id="{9EA5FC17-FB3D-466E-B0AB-13AC2B511A02}" type="CATEGORYNAME">
                      <a:rPr lang="en-US" b="1">
                        <a:solidFill>
                          <a:srgbClr val="FF0000"/>
                        </a:solidFill>
                      </a:rPr>
                      <a:pPr>
                        <a:defRPr sz="1600" b="1">
                          <a:solidFill>
                            <a:srgbClr val="FF0000"/>
                          </a:solidFill>
                        </a:defRPr>
                      </a:pPr>
                      <a:t>[NOMBRE DE CATEGORÍA]</a:t>
                    </a:fld>
                    <a:endParaRPr lang="en-US" b="1">
                      <a:solidFill>
                        <a:srgbClr val="FF0000"/>
                      </a:solidFill>
                    </a:endParaRPr>
                  </a:p>
                  <a:p>
                    <a:pPr>
                      <a:defRPr sz="1600" b="1">
                        <a:solidFill>
                          <a:srgbClr val="FF0000"/>
                        </a:solidFill>
                      </a:defRPr>
                    </a:pPr>
                    <a:r>
                      <a:rPr lang="en-US" b="1" baseline="0">
                        <a:solidFill>
                          <a:srgbClr val="FF0000"/>
                        </a:solidFill>
                      </a:rPr>
                      <a:t> </a:t>
                    </a:r>
                    <a:fld id="{3DA75B36-FBF2-4E50-8023-23ACB5A4619B}" type="VALUE">
                      <a:rPr lang="en-US" b="1" baseline="0">
                        <a:solidFill>
                          <a:srgbClr val="FF0000"/>
                        </a:solidFill>
                      </a:rPr>
                      <a:pPr>
                        <a:defRPr sz="1600" b="1">
                          <a:solidFill>
                            <a:srgbClr val="FF0000"/>
                          </a:solidFill>
                        </a:defRPr>
                      </a:pPr>
                      <a:t>[VALOR]</a:t>
                    </a:fld>
                    <a:r>
                      <a:rPr lang="en-US" b="1" baseline="0">
                        <a:solidFill>
                          <a:srgbClr val="FF0000"/>
                        </a:solidFill>
                      </a:rPr>
                      <a:t> </a:t>
                    </a:r>
                  </a:p>
                  <a:p>
                    <a:pPr>
                      <a:defRPr sz="1600" b="1">
                        <a:solidFill>
                          <a:srgbClr val="FF0000"/>
                        </a:solidFill>
                      </a:defRPr>
                    </a:pPr>
                    <a:fld id="{0EE3F8F0-F8A4-47AF-9C03-361DBF5ED522}" type="PERCENTAGE">
                      <a:rPr lang="en-US" b="1" baseline="0">
                        <a:solidFill>
                          <a:srgbClr val="FF0000"/>
                        </a:solidFill>
                      </a:rPr>
                      <a:pPr>
                        <a:defRPr sz="1600" b="1">
                          <a:solidFill>
                            <a:srgbClr val="FF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7.905805626883998E-3"/>
                  <c:y val="-3.8920739406668813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accent3">
                            <a:lumMod val="50000"/>
                          </a:schemeClr>
                        </a:solidFill>
                        <a:latin typeface="+mn-lt"/>
                        <a:ea typeface="+mn-ea"/>
                        <a:cs typeface="+mn-cs"/>
                      </a:defRPr>
                    </a:pPr>
                    <a:fld id="{24B65968-3115-4241-881E-BA9B468FB9B7}" type="CATEGORYNAME">
                      <a:rPr lang="en-US" b="1">
                        <a:solidFill>
                          <a:schemeClr val="accent3">
                            <a:lumMod val="50000"/>
                          </a:schemeClr>
                        </a:solidFill>
                      </a:rPr>
                      <a:pPr>
                        <a:defRPr sz="1600" b="1">
                          <a:solidFill>
                            <a:schemeClr val="accent3">
                              <a:lumMod val="50000"/>
                            </a:schemeClr>
                          </a:solidFill>
                        </a:defRPr>
                      </a:pPr>
                      <a:t>[NOMBRE DE CATEGORÍA]</a:t>
                    </a:fld>
                    <a:r>
                      <a:rPr lang="en-US" b="1" baseline="0">
                        <a:solidFill>
                          <a:schemeClr val="accent3">
                            <a:lumMod val="50000"/>
                          </a:schemeClr>
                        </a:solidFill>
                      </a:rPr>
                      <a:t> </a:t>
                    </a:r>
                    <a:fld id="{A72A0247-0106-4B08-953D-F9C7B4977410}" type="VALUE">
                      <a:rPr lang="en-US" b="1" baseline="0">
                        <a:solidFill>
                          <a:schemeClr val="accent3">
                            <a:lumMod val="50000"/>
                          </a:schemeClr>
                        </a:solidFill>
                      </a:rPr>
                      <a:pPr>
                        <a:defRPr sz="1600" b="1">
                          <a:solidFill>
                            <a:schemeClr val="accent3">
                              <a:lumMod val="50000"/>
                            </a:schemeClr>
                          </a:solidFill>
                        </a:defRPr>
                      </a:pPr>
                      <a:t>[VALOR]</a:t>
                    </a:fld>
                    <a:r>
                      <a:rPr lang="en-US" b="1" baseline="0">
                        <a:solidFill>
                          <a:schemeClr val="accent3">
                            <a:lumMod val="50000"/>
                          </a:schemeClr>
                        </a:solidFill>
                      </a:rPr>
                      <a:t> </a:t>
                    </a:r>
                  </a:p>
                  <a:p>
                    <a:pPr>
                      <a:defRPr sz="1600" b="1">
                        <a:solidFill>
                          <a:schemeClr val="accent3">
                            <a:lumMod val="50000"/>
                          </a:schemeClr>
                        </a:solidFill>
                      </a:defRPr>
                    </a:pPr>
                    <a:fld id="{EA243387-ED6D-43D7-AB7F-CE84789E4ADD}" type="PERCENTAGE">
                      <a:rPr lang="en-US" b="1" baseline="0">
                        <a:solidFill>
                          <a:schemeClr val="accent3">
                            <a:lumMod val="50000"/>
                          </a:schemeClr>
                        </a:solidFill>
                      </a:rPr>
                      <a:pPr>
                        <a:defRPr sz="1600" b="1">
                          <a:solidFill>
                            <a:schemeClr val="accent3">
                              <a:lumMod val="50000"/>
                            </a:schemeClr>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'INV_SFS x Entidad'!$A$4:$A$6</c:f>
              <c:strCache>
                <c:ptCount val="3"/>
                <c:pt idx="0">
                  <c:v>Certificados Financieros</c:v>
                </c:pt>
                <c:pt idx="1">
                  <c:v>Títulos Desmaterializados del BC</c:v>
                </c:pt>
                <c:pt idx="2">
                  <c:v>Títulos Desmaterializados de Pacto de Recompra (REPO)</c:v>
                </c:pt>
              </c:strCache>
            </c:strRef>
          </c:cat>
          <c:val>
            <c:numRef>
              <c:f>'INV_SFS x Entidad'!$B$4:$B$6</c:f>
              <c:numCache>
                <c:formatCode>_(* #,##0.00_);_(* \(#,##0.00\);_(* "-"??_);_(@_)</c:formatCode>
                <c:ptCount val="3"/>
                <c:pt idx="0">
                  <c:v>3432033300</c:v>
                </c:pt>
                <c:pt idx="1">
                  <c:v>2003760000</c:v>
                </c:pt>
                <c:pt idx="2">
                  <c:v>376785554.33999997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a:p>
            <a:pPr>
              <a:defRPr/>
            </a:pPr>
            <a:r>
              <a:rPr lang="es-DO"/>
              <a:t>Enero 2015</a:t>
            </a:r>
          </a:p>
        </c:rich>
      </c:tx>
      <c:layout>
        <c:manualLayout>
          <c:xMode val="edge"/>
          <c:yMode val="edge"/>
          <c:x val="0.19607694606496878"/>
          <c:y val="1.8642986761779497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316121174341742"/>
          <c:y val="0.34177394797775107"/>
          <c:w val="0.60316791540799697"/>
          <c:h val="0.52327799845729139"/>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1.150416095448043E-2"/>
                  <c:y val="3.4543040387944486E-2"/>
                </c:manualLayout>
              </c:layout>
              <c:tx>
                <c:rich>
                  <a:bodyPr anchorCtr="0"/>
                  <a:lstStyle/>
                  <a:p>
                    <a:pPr algn="ctr">
                      <a:defRPr sz="1400" b="1">
                        <a:solidFill>
                          <a:srgbClr val="002060"/>
                        </a:solidFill>
                      </a:defRPr>
                    </a:pPr>
                    <a:r>
                      <a:rPr lang="en-US" sz="1400" b="1">
                        <a:solidFill>
                          <a:srgbClr val="002060"/>
                        </a:solidFill>
                      </a:rPr>
                      <a:t>Cuidado de la Salud  RD$5,812,578,854.34 </a:t>
                    </a:r>
                  </a:p>
                  <a:p>
                    <a:pPr algn="ctr">
                      <a:defRPr sz="1400" b="1">
                        <a:solidFill>
                          <a:srgbClr val="002060"/>
                        </a:solidFill>
                      </a:defRPr>
                    </a:pPr>
                    <a:r>
                      <a:rPr lang="en-US" sz="1400" b="1">
                        <a:solidFill>
                          <a:srgbClr val="002060"/>
                        </a:solidFill>
                      </a:rPr>
                      <a:t> 87.6%</a:t>
                    </a:r>
                    <a:endParaRPr lang="en-US" sz="1400">
                      <a:solidFill>
                        <a:srgbClr val="002060"/>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2.4461144146325015E-2"/>
                  <c:y val="2.5951447106586666E-2"/>
                </c:manualLayout>
              </c:layout>
              <c:tx>
                <c:rich>
                  <a:bodyPr anchorCtr="0"/>
                  <a:lstStyle/>
                  <a:p>
                    <a:pPr algn="ctr">
                      <a:defRPr sz="1400" b="1">
                        <a:solidFill>
                          <a:schemeClr val="accent6">
                            <a:lumMod val="50000"/>
                          </a:schemeClr>
                        </a:solidFill>
                      </a:defRPr>
                    </a:pPr>
                    <a:r>
                      <a:rPr lang="en-US" sz="1400" b="1">
                        <a:solidFill>
                          <a:schemeClr val="accent6">
                            <a:lumMod val="50000"/>
                          </a:schemeClr>
                        </a:solidFill>
                      </a:rPr>
                      <a:t>Estancias Infantiles  RD$736,642,848.17  </a:t>
                    </a:r>
                  </a:p>
                  <a:p>
                    <a:pPr algn="ctr">
                      <a:defRPr sz="1400" b="1">
                        <a:solidFill>
                          <a:schemeClr val="accent6">
                            <a:lumMod val="50000"/>
                          </a:schemeClr>
                        </a:solidFill>
                      </a:defRPr>
                    </a:pPr>
                    <a:r>
                      <a:rPr lang="en-US" sz="1400" b="1">
                        <a:solidFill>
                          <a:schemeClr val="accent6">
                            <a:lumMod val="50000"/>
                          </a:schemeClr>
                        </a:solidFill>
                      </a:rPr>
                      <a:t>11.1%</a:t>
                    </a:r>
                    <a:endParaRPr lang="en-US" sz="1400">
                      <a:solidFill>
                        <a:schemeClr val="accent6">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0.11884315503959916"/>
                  <c:y val="-3.630971301307407E-2"/>
                </c:manualLayout>
              </c:layout>
              <c:tx>
                <c:rich>
                  <a:bodyPr anchorCtr="0"/>
                  <a:lstStyle/>
                  <a:p>
                    <a:pPr algn="ctr">
                      <a:defRPr sz="1400" b="1">
                        <a:solidFill>
                          <a:schemeClr val="accent3">
                            <a:lumMod val="50000"/>
                          </a:schemeClr>
                        </a:solidFill>
                      </a:defRPr>
                    </a:pPr>
                    <a:r>
                      <a:rPr lang="en-US" sz="1400" b="1">
                        <a:solidFill>
                          <a:schemeClr val="accent3">
                            <a:lumMod val="50000"/>
                          </a:schemeClr>
                        </a:solidFill>
                      </a:rPr>
                      <a:t>Pensionados de Hacienda  RD$82,800,829.45 </a:t>
                    </a:r>
                  </a:p>
                  <a:p>
                    <a:pPr algn="ctr">
                      <a:defRPr sz="1400" b="1">
                        <a:solidFill>
                          <a:schemeClr val="accent3">
                            <a:lumMod val="50000"/>
                          </a:schemeClr>
                        </a:solidFill>
                      </a:defRPr>
                    </a:pPr>
                    <a:r>
                      <a:rPr lang="en-US" sz="1400" b="1">
                        <a:solidFill>
                          <a:schemeClr val="accent3">
                            <a:lumMod val="50000"/>
                          </a:schemeClr>
                        </a:solidFill>
                      </a:rPr>
                      <a:t> 1.25%</a:t>
                    </a:r>
                    <a:endParaRPr lang="en-US" sz="1400">
                      <a:solidFill>
                        <a:schemeClr val="accent3">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nchorCtr="0"/>
              <a:lstStyle/>
              <a:p>
                <a:pPr algn="ctr">
                  <a:defRPr sz="140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'INV_SFS x cuentas'!$A$3:$A$11</c:f>
              <c:strCache>
                <c:ptCount val="3"/>
                <c:pt idx="0">
                  <c:v>Cuidado de la Salud</c:v>
                </c:pt>
                <c:pt idx="1">
                  <c:v>Estancias Infantiles</c:v>
                </c:pt>
                <c:pt idx="2">
                  <c:v>Pensionados de Hacienda</c:v>
                </c:pt>
              </c:strCache>
            </c:strRef>
          </c:cat>
          <c:val>
            <c:numRef>
              <c:f>'INV_SFS x cuentas'!$B$3:$B$11</c:f>
              <c:numCache>
                <c:formatCode>_(* #,##0.00_);_(* \(#,##0.00\);_(* "-"??_);_(@_)</c:formatCode>
                <c:ptCount val="3"/>
                <c:pt idx="0">
                  <c:v>5812578854.3400002</c:v>
                </c:pt>
                <c:pt idx="1">
                  <c:v>736642848.16999996</c:v>
                </c:pt>
                <c:pt idx="2">
                  <c:v>82800829.450000003</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endParaRPr lang="es-ES"/>
          </a:p>
        </c:rich>
      </c:tx>
      <c:layout>
        <c:manualLayout>
          <c:xMode val="edge"/>
          <c:yMode val="edge"/>
          <c:x val="0.35742387381122931"/>
          <c:y val="5.2873553647650708E-2"/>
        </c:manualLayout>
      </c:layout>
      <c:overlay val="0"/>
    </c:title>
    <c:autoTitleDeleted val="0"/>
    <c:plotArea>
      <c:layout>
        <c:manualLayout>
          <c:layoutTarget val="inner"/>
          <c:xMode val="edge"/>
          <c:yMode val="edge"/>
          <c:x val="2.2935268326320288E-2"/>
          <c:y val="0.12867822813318344"/>
          <c:w val="0.96568682515610338"/>
          <c:h val="0.7338246476921626"/>
        </c:manualLayout>
      </c:layout>
      <c:barChart>
        <c:barDir val="col"/>
        <c:grouping val="clustered"/>
        <c:varyColors val="0"/>
        <c:ser>
          <c:idx val="0"/>
          <c:order val="0"/>
          <c:tx>
            <c:strRef>
              <c:f>'Aport. GOB. y Pagos RS'!$B$3</c:f>
              <c:strCache>
                <c:ptCount val="1"/>
                <c:pt idx="0">
                  <c:v>Aporte Gobierno
Según lo Presupuestado </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 GOB. y Pagos RS'!$B$6:$B$16</c:f>
              <c:numCache>
                <c:formatCode>#,##0.00_);[Red]\(#,##0.00\)</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0</c:v>
                </c:pt>
              </c:numCache>
            </c:numRef>
          </c:val>
        </c:ser>
        <c:ser>
          <c:idx val="1"/>
          <c:order val="1"/>
          <c:tx>
            <c:strRef>
              <c:f>'Aport.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 GOB. y Pagos RS'!$C$6:$C$16</c:f>
              <c:numCache>
                <c:formatCode>#,##0.00_);[Red]\(#,##0.00\)</c:formatCode>
                <c:ptCount val="11"/>
                <c:pt idx="0">
                  <c:v>203608914.68000001</c:v>
                </c:pt>
                <c:pt idx="1">
                  <c:v>816768960.5</c:v>
                </c:pt>
                <c:pt idx="2">
                  <c:v>1578880050.26</c:v>
                </c:pt>
                <c:pt idx="3">
                  <c:v>2556770326.0999999</c:v>
                </c:pt>
                <c:pt idx="4">
                  <c:v>2723337644.3600001</c:v>
                </c:pt>
                <c:pt idx="5">
                  <c:v>3444380482.9799995</c:v>
                </c:pt>
                <c:pt idx="6">
                  <c:v>4363872025.0799999</c:v>
                </c:pt>
                <c:pt idx="7">
                  <c:v>4742082647.7799997</c:v>
                </c:pt>
                <c:pt idx="8">
                  <c:v>5215203784.9399996</c:v>
                </c:pt>
                <c:pt idx="9">
                  <c:v>7378610518.96</c:v>
                </c:pt>
                <c:pt idx="10">
                  <c:v>0</c:v>
                </c:pt>
              </c:numCache>
            </c:numRef>
          </c:val>
        </c:ser>
        <c:ser>
          <c:idx val="2"/>
          <c:order val="2"/>
          <c:tx>
            <c:strRef>
              <c:f>'Aport.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Ene. 2015</c:v>
                </c:pt>
              </c:strCache>
            </c:strRef>
          </c:cat>
          <c:val>
            <c:numRef>
              <c:f>'Aport. GOB. y Pagos RS'!$D$6:$D$16</c:f>
              <c:numCache>
                <c:formatCode>#,##0.00_);[Red]\(#,##0.00\)</c:formatCode>
                <c:ptCount val="11"/>
                <c:pt idx="0">
                  <c:v>400996005.94999999</c:v>
                </c:pt>
                <c:pt idx="1">
                  <c:v>-92258963.840000033</c:v>
                </c:pt>
                <c:pt idx="2">
                  <c:v>-12454550.300000191</c:v>
                </c:pt>
                <c:pt idx="3">
                  <c:v>-353184795.0999999</c:v>
                </c:pt>
                <c:pt idx="4">
                  <c:v>467338210.6500001</c:v>
                </c:pt>
                <c:pt idx="5">
                  <c:v>292295366.4800005</c:v>
                </c:pt>
                <c:pt idx="6">
                  <c:v>-229196173.07999992</c:v>
                </c:pt>
                <c:pt idx="7">
                  <c:v>-142082647.81999969</c:v>
                </c:pt>
                <c:pt idx="8">
                  <c:v>87406215.06000042</c:v>
                </c:pt>
                <c:pt idx="9">
                  <c:v>-538611019.96000004</c:v>
                </c:pt>
                <c:pt idx="10">
                  <c:v>0</c:v>
                </c:pt>
              </c:numCache>
            </c:numRef>
          </c:val>
        </c:ser>
        <c:dLbls>
          <c:showLegendKey val="0"/>
          <c:showVal val="0"/>
          <c:showCatName val="0"/>
          <c:showSerName val="0"/>
          <c:showPercent val="0"/>
          <c:showBubbleSize val="0"/>
        </c:dLbls>
        <c:gapWidth val="75"/>
        <c:overlap val="-25"/>
        <c:axId val="364844968"/>
        <c:axId val="364845752"/>
      </c:barChart>
      <c:catAx>
        <c:axId val="364844968"/>
        <c:scaling>
          <c:orientation val="minMax"/>
        </c:scaling>
        <c:delete val="0"/>
        <c:axPos val="b"/>
        <c:numFmt formatCode="General" sourceLinked="1"/>
        <c:majorTickMark val="none"/>
        <c:minorTickMark val="none"/>
        <c:tickLblPos val="low"/>
        <c:txPr>
          <a:bodyPr/>
          <a:lstStyle/>
          <a:p>
            <a:pPr>
              <a:defRPr sz="1400"/>
            </a:pPr>
            <a:endParaRPr lang="es-ES"/>
          </a:p>
        </c:txPr>
        <c:crossAx val="364845752"/>
        <c:crosses val="autoZero"/>
        <c:auto val="1"/>
        <c:lblAlgn val="ctr"/>
        <c:lblOffset val="100"/>
        <c:noMultiLvlLbl val="0"/>
      </c:catAx>
      <c:valAx>
        <c:axId val="364845752"/>
        <c:scaling>
          <c:orientation val="minMax"/>
        </c:scaling>
        <c:delete val="0"/>
        <c:axPos val="l"/>
        <c:numFmt formatCode="#,##0.00_);[Red]\(#,##0.00\)" sourceLinked="1"/>
        <c:majorTickMark val="none"/>
        <c:minorTickMark val="none"/>
        <c:tickLblPos val="none"/>
        <c:spPr>
          <a:ln w="9525">
            <a:noFill/>
          </a:ln>
        </c:spPr>
        <c:crossAx val="364844968"/>
        <c:crosses val="autoZero"/>
        <c:crossBetween val="between"/>
        <c:dispUnits>
          <c:builtInUnit val="millions"/>
          <c:dispUnitsLbl>
            <c:layout>
              <c:manualLayout>
                <c:xMode val="edge"/>
                <c:yMode val="edge"/>
                <c:x val="7.7863197454987668E-3"/>
                <c:y val="0.37664958337413645"/>
              </c:manualLayout>
            </c:layout>
            <c:txPr>
              <a:bodyPr/>
              <a:lstStyle/>
              <a:p>
                <a:pPr>
                  <a:defRPr sz="1400"/>
                </a:pPr>
                <a:endParaRPr lang="es-ES"/>
              </a:p>
            </c:txPr>
          </c:dispUnitsLbl>
        </c:dispUnits>
      </c:valAx>
    </c:plotArea>
    <c:legend>
      <c:legendPos val="b"/>
      <c:layout>
        <c:manualLayout>
          <c:xMode val="edge"/>
          <c:yMode val="edge"/>
          <c:x val="0.35306312401890544"/>
          <c:y val="0.12336878932594995"/>
          <c:w val="0.3288826950931934"/>
          <c:h val="5.8240554214760751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b="1">
                <a:effectLst/>
              </a:rPr>
              <a:t>Seguro Familiar de Salud (SFS) del Régimen Subsidiado (RS)</a:t>
            </a:r>
            <a:endParaRPr lang="es-ES" sz="1400">
              <a:effectLst/>
            </a:endParaRPr>
          </a:p>
          <a:p>
            <a:pPr>
              <a:defRPr sz="1400"/>
            </a:pPr>
            <a:r>
              <a:rPr lang="es-DO" sz="1400" b="1">
                <a:effectLst/>
              </a:rPr>
              <a:t>Aportes y Pagos Mensual </a:t>
            </a:r>
            <a:endParaRPr lang="es-ES" sz="1400">
              <a:effectLst/>
            </a:endParaRPr>
          </a:p>
        </c:rich>
      </c:tx>
      <c:layout>
        <c:manualLayout>
          <c:xMode val="edge"/>
          <c:yMode val="edge"/>
          <c:x val="0.31096292533325809"/>
          <c:y val="1.56288168308820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3.556037215778135E-2"/>
          <c:y val="8.2002525223002914E-2"/>
          <c:w val="0.93480999821258903"/>
          <c:h val="0.78662157896582763"/>
        </c:manualLayout>
      </c:layout>
      <c:bar3DChart>
        <c:barDir val="col"/>
        <c:grouping val="clustered"/>
        <c:varyColors val="0"/>
        <c:ser>
          <c:idx val="0"/>
          <c:order val="0"/>
          <c:tx>
            <c:strRef>
              <c:f>' 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 Saldos RS mensual'!$A$3:$A$15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Saldos RS mensual'!$B$3:$B$15</c:f>
              <c:numCache>
                <c:formatCode>_(* #,##0.00_);_(* \(#,##0.00\);_(* "-"??_);_(@_)</c:formatCode>
                <c:ptCount val="13"/>
                <c:pt idx="0">
                  <c:v>0</c:v>
                </c:pt>
                <c:pt idx="1">
                  <c:v>570000000</c:v>
                </c:pt>
                <c:pt idx="2">
                  <c:v>570000000</c:v>
                </c:pt>
                <c:pt idx="3">
                  <c:v>570000000</c:v>
                </c:pt>
                <c:pt idx="4">
                  <c:v>570000000</c:v>
                </c:pt>
                <c:pt idx="5">
                  <c:v>570000000</c:v>
                </c:pt>
                <c:pt idx="6">
                  <c:v>570000000</c:v>
                </c:pt>
                <c:pt idx="7">
                  <c:v>570000000</c:v>
                </c:pt>
                <c:pt idx="8">
                  <c:v>570000000</c:v>
                </c:pt>
                <c:pt idx="9">
                  <c:v>570000000</c:v>
                </c:pt>
                <c:pt idx="10">
                  <c:v>570000000</c:v>
                </c:pt>
                <c:pt idx="11">
                  <c:v>1139999499</c:v>
                </c:pt>
                <c:pt idx="12">
                  <c:v>0</c:v>
                </c:pt>
              </c:numCache>
            </c:numRef>
          </c:val>
        </c:ser>
        <c:ser>
          <c:idx val="1"/>
          <c:order val="1"/>
          <c:tx>
            <c:strRef>
              <c:f>' Saldos RS mensual'!$C$2</c:f>
              <c:strCache>
                <c:ptCount val="1"/>
                <c:pt idx="0">
                  <c:v>Pagos a SENASA</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 Saldos RS mensual'!$A$3:$A$15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Saldos RS mensual'!$C$3:$C$15</c:f>
              <c:numCache>
                <c:formatCode>_(* #,##0.00_);_(* \(#,##0.00\);_(* "-"??_);_(@_)</c:formatCode>
                <c:ptCount val="13"/>
                <c:pt idx="0">
                  <c:v>510009901.01999998</c:v>
                </c:pt>
                <c:pt idx="1">
                  <c:v>562936324.55999994</c:v>
                </c:pt>
                <c:pt idx="2">
                  <c:v>565001428.94000006</c:v>
                </c:pt>
                <c:pt idx="3">
                  <c:v>563798547.22000003</c:v>
                </c:pt>
                <c:pt idx="4">
                  <c:v>564869806</c:v>
                </c:pt>
                <c:pt idx="5">
                  <c:v>566362011.77999997</c:v>
                </c:pt>
                <c:pt idx="6">
                  <c:v>565674533.46000004</c:v>
                </c:pt>
                <c:pt idx="7">
                  <c:v>564899580.29999995</c:v>
                </c:pt>
                <c:pt idx="8">
                  <c:v>564355018.62</c:v>
                </c:pt>
                <c:pt idx="9">
                  <c:v>565084386.29999995</c:v>
                </c:pt>
                <c:pt idx="10">
                  <c:v>584861503.05999994</c:v>
                </c:pt>
                <c:pt idx="11">
                  <c:v>1200757477.7</c:v>
                </c:pt>
                <c:pt idx="12">
                  <c:v>0</c:v>
                </c:pt>
              </c:numCache>
            </c:numRef>
          </c:val>
        </c:ser>
        <c:ser>
          <c:idx val="2"/>
          <c:order val="2"/>
          <c:tx>
            <c:strRef>
              <c:f>' Saldos RS mensual'!$D$2</c:f>
              <c:strCache>
                <c:ptCount val="1"/>
                <c:pt idx="0">
                  <c:v>Saldos</c:v>
                </c:pt>
              </c:strCache>
            </c:strRef>
          </c:tx>
          <c:spPr>
            <a:solidFill>
              <a:srgbClr val="FFC000"/>
            </a:solidFill>
          </c:spPr>
          <c:invertIfNegative val="0"/>
          <c:cat>
            <c:strRef>
              <c:f>' Saldos RS mensual'!$A$3:$A$15</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 Saldos RS mensual'!$D$3:$D$15</c:f>
              <c:numCache>
                <c:formatCode>General</c:formatCode>
                <c:ptCount val="13"/>
                <c:pt idx="0">
                  <c:v>-510009901.01999998</c:v>
                </c:pt>
                <c:pt idx="1">
                  <c:v>7063675.4400000572</c:v>
                </c:pt>
                <c:pt idx="2">
                  <c:v>4998571.0599999428</c:v>
                </c:pt>
                <c:pt idx="3">
                  <c:v>6201452.7799999714</c:v>
                </c:pt>
                <c:pt idx="4">
                  <c:v>5130194</c:v>
                </c:pt>
                <c:pt idx="5">
                  <c:v>3637988.2200000286</c:v>
                </c:pt>
                <c:pt idx="6">
                  <c:v>4325466.5399999619</c:v>
                </c:pt>
                <c:pt idx="7">
                  <c:v>5100419.7000000477</c:v>
                </c:pt>
                <c:pt idx="8">
                  <c:v>5644981.3799999952</c:v>
                </c:pt>
                <c:pt idx="9">
                  <c:v>4915613.7000000477</c:v>
                </c:pt>
                <c:pt idx="10">
                  <c:v>-14861503.059999943</c:v>
                </c:pt>
                <c:pt idx="11">
                  <c:v>-60757978.700000048</c:v>
                </c:pt>
                <c:pt idx="12">
                  <c:v>0</c:v>
                </c:pt>
              </c:numCache>
            </c:numRef>
          </c:val>
        </c:ser>
        <c:dLbls>
          <c:showLegendKey val="0"/>
          <c:showVal val="0"/>
          <c:showCatName val="0"/>
          <c:showSerName val="0"/>
          <c:showPercent val="0"/>
          <c:showBubbleSize val="0"/>
        </c:dLbls>
        <c:gapWidth val="75"/>
        <c:shape val="cylinder"/>
        <c:axId val="364846144"/>
        <c:axId val="370489232"/>
        <c:axId val="0"/>
      </c:bar3DChart>
      <c:catAx>
        <c:axId val="364846144"/>
        <c:scaling>
          <c:orientation val="minMax"/>
        </c:scaling>
        <c:delete val="0"/>
        <c:axPos val="b"/>
        <c:numFmt formatCode="mmm\-yy" sourceLinked="0"/>
        <c:majorTickMark val="none"/>
        <c:minorTickMark val="none"/>
        <c:tickLblPos val="low"/>
        <c:txPr>
          <a:bodyPr/>
          <a:lstStyle/>
          <a:p>
            <a:pPr>
              <a:defRPr lang="en-US" sz="1100"/>
            </a:pPr>
            <a:endParaRPr lang="es-ES"/>
          </a:p>
        </c:txPr>
        <c:crossAx val="370489232"/>
        <c:crosses val="autoZero"/>
        <c:auto val="1"/>
        <c:lblAlgn val="ctr"/>
        <c:lblOffset val="100"/>
        <c:noMultiLvlLbl val="1"/>
      </c:catAx>
      <c:valAx>
        <c:axId val="370489232"/>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64846144"/>
        <c:crosses val="autoZero"/>
        <c:crossBetween val="between"/>
        <c:dispUnits>
          <c:builtInUnit val="millions"/>
          <c:dispUnitsLbl>
            <c:layout>
              <c:manualLayout>
                <c:xMode val="edge"/>
                <c:yMode val="edge"/>
                <c:x val="6.419597550306212E-3"/>
                <c:y val="0.42145504284695512"/>
              </c:manualLayout>
            </c:layout>
            <c:txPr>
              <a:bodyPr/>
              <a:lstStyle/>
              <a:p>
                <a:pPr>
                  <a:defRPr lang="en-US"/>
                </a:pPr>
                <a:endParaRPr lang="es-ES"/>
              </a:p>
            </c:txPr>
          </c:dispUnitsLbl>
        </c:dispUnits>
      </c:valAx>
      <c:spPr>
        <a:noFill/>
        <a:ln w="25400">
          <a:noFill/>
        </a:ln>
      </c:spPr>
    </c:plotArea>
    <c:legend>
      <c:legendPos val="b"/>
      <c:layout>
        <c:manualLayout>
          <c:xMode val="edge"/>
          <c:yMode val="edge"/>
          <c:x val="0.30106674566405334"/>
          <c:y val="8.873982480320336E-2"/>
          <c:w val="0.35389992379984758"/>
          <c:h val="4.0071014177905831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Anuales del SFSP por ARS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1677283410829663"/>
          <c:w val="0.84965003668749417"/>
          <c:h val="0.74722315089813873"/>
        </c:manualLayout>
      </c:layout>
      <c:barChart>
        <c:barDir val="bar"/>
        <c:grouping val="clustered"/>
        <c:varyColors val="0"/>
        <c:ser>
          <c:idx val="0"/>
          <c:order val="0"/>
          <c:tx>
            <c:strRef>
              <c:f>'Pagos.SFS Pens.'!$B$6</c:f>
              <c:strCache>
                <c:ptCount val="1"/>
                <c:pt idx="0">
                  <c:v>Pagos SFSP</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'Pagos.SFS Pens.'!$A$7:$A$12</c:f>
              <c:strCache>
                <c:ptCount val="6"/>
                <c:pt idx="0">
                  <c:v>Jul. 2010</c:v>
                </c:pt>
                <c:pt idx="1">
                  <c:v>2011</c:v>
                </c:pt>
                <c:pt idx="2">
                  <c:v>2012</c:v>
                </c:pt>
                <c:pt idx="3">
                  <c:v>2013</c:v>
                </c:pt>
                <c:pt idx="4">
                  <c:v>2014</c:v>
                </c:pt>
                <c:pt idx="5">
                  <c:v>Ene.2015</c:v>
                </c:pt>
              </c:strCache>
            </c:strRef>
          </c:cat>
          <c:val>
            <c:numRef>
              <c:f>'Pagos.SFS Pens.'!$B$7:$B$12</c:f>
              <c:numCache>
                <c:formatCode>#,##0.00</c:formatCode>
                <c:ptCount val="6"/>
                <c:pt idx="0">
                  <c:v>115952658.19999999</c:v>
                </c:pt>
                <c:pt idx="1">
                  <c:v>291946073.39999998</c:v>
                </c:pt>
                <c:pt idx="2">
                  <c:v>331635794.92000002</c:v>
                </c:pt>
                <c:pt idx="3">
                  <c:v>333800248.55999994</c:v>
                </c:pt>
                <c:pt idx="4">
                  <c:v>329249337.19999999</c:v>
                </c:pt>
                <c:pt idx="5">
                  <c:v>27894333.240000002</c:v>
                </c:pt>
              </c:numCache>
            </c:numRef>
          </c:val>
        </c:ser>
        <c:dLbls>
          <c:showLegendKey val="0"/>
          <c:showVal val="0"/>
          <c:showCatName val="0"/>
          <c:showSerName val="0"/>
          <c:showPercent val="0"/>
          <c:showBubbleSize val="0"/>
        </c:dLbls>
        <c:gapWidth val="39"/>
        <c:overlap val="-48"/>
        <c:axId val="370490016"/>
        <c:axId val="370490408"/>
      </c:barChart>
      <c:catAx>
        <c:axId val="37049001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0490408"/>
        <c:crosses val="autoZero"/>
        <c:auto val="1"/>
        <c:lblAlgn val="ctr"/>
        <c:lblOffset val="100"/>
        <c:noMultiLvlLbl val="0"/>
      </c:catAx>
      <c:valAx>
        <c:axId val="370490408"/>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600" b="0" i="0" u="none" strike="noStrike" kern="1200" baseline="0">
                <a:solidFill>
                  <a:sysClr val="windowText" lastClr="000000"/>
                </a:solidFill>
                <a:latin typeface="+mn-lt"/>
                <a:ea typeface="+mn-ea"/>
                <a:cs typeface="+mn-cs"/>
              </a:defRPr>
            </a:pPr>
            <a:endParaRPr lang="es-ES"/>
          </a:p>
        </c:txPr>
        <c:crossAx val="370490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view3D>
      <c:rotX val="0"/>
      <c:rotY val="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574595742537244E-2"/>
          <c:y val="0.3595228462060534"/>
          <c:w val="0.97579857253833124"/>
          <c:h val="0.57067685122656531"/>
        </c:manualLayout>
      </c:layout>
      <c:bar3DChart>
        <c:barDir val="col"/>
        <c:grouping val="clustered"/>
        <c:varyColors val="0"/>
        <c:ser>
          <c:idx val="1"/>
          <c:order val="0"/>
          <c:tx>
            <c:strRef>
              <c:f>'Pagos.SFS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'Pagos.SFS Pens.Mens.'!$A$7:$A$19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'Pagos.SFS Pens.Mens.'!$C$7:$C$19</c:f>
              <c:numCache>
                <c:formatCode>#,##0.00</c:formatCode>
                <c:ptCount val="13"/>
                <c:pt idx="0">
                  <c:v>3093706.24</c:v>
                </c:pt>
                <c:pt idx="1">
                  <c:v>3165132.76</c:v>
                </c:pt>
                <c:pt idx="2">
                  <c:v>3204092.68</c:v>
                </c:pt>
                <c:pt idx="3">
                  <c:v>3214193.4</c:v>
                </c:pt>
                <c:pt idx="4">
                  <c:v>3239445.2</c:v>
                </c:pt>
                <c:pt idx="5">
                  <c:v>3315922.08</c:v>
                </c:pt>
                <c:pt idx="6">
                  <c:v>3341895.36</c:v>
                </c:pt>
                <c:pt idx="7">
                  <c:v>3354160.52</c:v>
                </c:pt>
                <c:pt idx="8">
                  <c:v>3455167.72</c:v>
                </c:pt>
                <c:pt idx="9">
                  <c:v>3467432.88</c:v>
                </c:pt>
                <c:pt idx="10">
                  <c:v>3468875.84</c:v>
                </c:pt>
                <c:pt idx="11">
                  <c:v>3483305.44</c:v>
                </c:pt>
                <c:pt idx="12">
                  <c:v>3489798.76</c:v>
                </c:pt>
              </c:numCache>
            </c:numRef>
          </c:val>
        </c:ser>
        <c:ser>
          <c:idx val="0"/>
          <c:order val="1"/>
          <c:tx>
            <c:strRef>
              <c:f>'Pagos.SFS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'Pagos.SFS Pens.Mens.'!$A$7:$A$19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'Pagos.SFS Pens.Mens.'!$B$7:$B$19</c:f>
              <c:numCache>
                <c:formatCode>#,##0.00</c:formatCode>
                <c:ptCount val="13"/>
                <c:pt idx="0">
                  <c:v>10428271.92</c:v>
                </c:pt>
                <c:pt idx="1">
                  <c:v>10319328.439999999</c:v>
                </c:pt>
                <c:pt idx="2">
                  <c:v>10393640.880000001</c:v>
                </c:pt>
                <c:pt idx="3">
                  <c:v>10508356.199999999</c:v>
                </c:pt>
                <c:pt idx="4">
                  <c:v>10597098.24</c:v>
                </c:pt>
                <c:pt idx="5">
                  <c:v>10659145.52</c:v>
                </c:pt>
                <c:pt idx="6">
                  <c:v>10707484.68</c:v>
                </c:pt>
                <c:pt idx="7">
                  <c:v>10737065.359999999</c:v>
                </c:pt>
                <c:pt idx="8">
                  <c:v>10804884.48</c:v>
                </c:pt>
                <c:pt idx="9">
                  <c:v>10853223.640000001</c:v>
                </c:pt>
                <c:pt idx="10">
                  <c:v>10769531.960000001</c:v>
                </c:pt>
                <c:pt idx="11">
                  <c:v>10900119.84</c:v>
                </c:pt>
                <c:pt idx="12">
                  <c:v>10901562.800000001</c:v>
                </c:pt>
              </c:numCache>
            </c:numRef>
          </c:val>
        </c:ser>
        <c:ser>
          <c:idx val="2"/>
          <c:order val="2"/>
          <c:tx>
            <c:strRef>
              <c:f>'Pagos.SFS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'Pagos.SFS Pens.Mens.'!$A$7:$A$19</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'Pagos.SFS Pens.Mens.'!$D$7:$D$19</c:f>
              <c:numCache>
                <c:formatCode>#,##0.00</c:formatCode>
                <c:ptCount val="13"/>
                <c:pt idx="0">
                  <c:v>13528598.880000001</c:v>
                </c:pt>
                <c:pt idx="1">
                  <c:v>13360740.720000001</c:v>
                </c:pt>
                <c:pt idx="2">
                  <c:v>13433778.24</c:v>
                </c:pt>
                <c:pt idx="3">
                  <c:v>13418401.92</c:v>
                </c:pt>
                <c:pt idx="4">
                  <c:v>13502971.68</c:v>
                </c:pt>
                <c:pt idx="5">
                  <c:v>13490158.08</c:v>
                </c:pt>
                <c:pt idx="6">
                  <c:v>13527317.52</c:v>
                </c:pt>
                <c:pt idx="7">
                  <c:v>13526036.16</c:v>
                </c:pt>
                <c:pt idx="8">
                  <c:v>13519629.359999999</c:v>
                </c:pt>
                <c:pt idx="9">
                  <c:v>13505534.4</c:v>
                </c:pt>
                <c:pt idx="10">
                  <c:v>13456842.720000001</c:v>
                </c:pt>
                <c:pt idx="11">
                  <c:v>13497846.24</c:v>
                </c:pt>
                <c:pt idx="12">
                  <c:v>13502971.68</c:v>
                </c:pt>
              </c:numCache>
            </c:numRef>
          </c:val>
        </c:ser>
        <c:dLbls>
          <c:showLegendKey val="0"/>
          <c:showVal val="1"/>
          <c:showCatName val="0"/>
          <c:showSerName val="0"/>
          <c:showPercent val="0"/>
          <c:showBubbleSize val="0"/>
        </c:dLbls>
        <c:gapWidth val="150"/>
        <c:shape val="box"/>
        <c:axId val="370491192"/>
        <c:axId val="370491584"/>
        <c:axId val="0"/>
      </c:bar3DChart>
      <c:catAx>
        <c:axId val="37049119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0491584"/>
        <c:crosses val="autoZero"/>
        <c:auto val="1"/>
        <c:lblAlgn val="ctr"/>
        <c:lblOffset val="100"/>
        <c:noMultiLvlLbl val="0"/>
      </c:catAx>
      <c:valAx>
        <c:axId val="370491584"/>
        <c:scaling>
          <c:orientation val="minMax"/>
        </c:scaling>
        <c:delete val="1"/>
        <c:axPos val="l"/>
        <c:numFmt formatCode="#,##0.00" sourceLinked="1"/>
        <c:majorTickMark val="none"/>
        <c:minorTickMark val="none"/>
        <c:tickLblPos val="nextTo"/>
        <c:crossAx val="370491192"/>
        <c:crosses val="autoZero"/>
        <c:crossBetween val="between"/>
      </c:valAx>
      <c:spPr>
        <a:noFill/>
        <a:ln>
          <a:noFill/>
        </a:ln>
        <a:effectLst/>
      </c:spPr>
    </c:plotArea>
    <c:legend>
      <c:legendPos val="t"/>
      <c:layout>
        <c:manualLayout>
          <c:xMode val="edge"/>
          <c:yMode val="edge"/>
          <c:x val="0.35124415719046692"/>
          <c:y val="8.8571281732192975E-2"/>
          <c:w val="0.3248697381572912"/>
          <c:h val="5.0206177695839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s-DO" sz="2000" b="1">
                <a:effectLst/>
              </a:rPr>
              <a:t>Seguro de Vejez, Discapacidad y Sobrevivencia (SVDS)</a:t>
            </a:r>
            <a:endParaRPr lang="es-ES" sz="2000">
              <a:effectLst/>
            </a:endParaRPr>
          </a:p>
          <a:p>
            <a:pPr>
              <a:defRPr sz="2000"/>
            </a:pPr>
            <a:r>
              <a:rPr lang="es-DO" sz="2000" b="1">
                <a:effectLst/>
              </a:rPr>
              <a:t>Dispersión Histórica </a:t>
            </a:r>
            <a:endParaRPr lang="es-ES" sz="2000">
              <a:effectLst/>
            </a:endParaRPr>
          </a:p>
        </c:rich>
      </c:tx>
      <c:layout>
        <c:manualLayout>
          <c:xMode val="edge"/>
          <c:yMode val="edge"/>
          <c:x val="0.30813351347120155"/>
          <c:y val="5.43326694159211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5347069418088302E-2"/>
          <c:y val="0.16721828230153402"/>
          <c:w val="0.9490831378215171"/>
          <c:h val="0.67838121266133022"/>
        </c:manualLayout>
      </c:layout>
      <c:bar3DChart>
        <c:barDir val="col"/>
        <c:grouping val="stacked"/>
        <c:varyColors val="0"/>
        <c:ser>
          <c:idx val="0"/>
          <c:order val="0"/>
          <c:spPr>
            <a:solidFill>
              <a:schemeClr val="accent3">
                <a:lumMod val="75000"/>
              </a:schemeClr>
            </a:solidFill>
          </c:spPr>
          <c:invertIfNegative val="0"/>
          <c:dLbls>
            <c:dLbl>
              <c:idx val="0"/>
              <c:layout>
                <c:manualLayout>
                  <c:x val="7.6278689592283984E-3"/>
                  <c:y val="-0.1106751395683814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175986166503E-2"/>
                  <c:y val="-0.114480832894153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515075933697632E-2"/>
                  <c:y val="-0.16484884849233528"/>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916428956206918E-2"/>
                  <c:y val="-0.1806205635784480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796004586185478E-2"/>
                  <c:y val="-0.19988606717304078"/>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061220712734035E-3"/>
                  <c:y val="-0.233986635553726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089551991963949E-2"/>
                  <c:y val="-0.2499865638944973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941153112877142E-2"/>
                  <c:y val="-0.2691199792081280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2705673536950232E-3"/>
                  <c:y val="-0.2982474505491155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6980167431790094E-3"/>
                  <c:y val="-0.32772105201096385"/>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200218419150752E-2"/>
                  <c:y val="-0.3242981205762792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799815288373475E-3"/>
                  <c:y val="-0.34297497568800217"/>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1199261153493901E-3"/>
                  <c:y val="-6.28221490121589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'Pagos_ SVDS'!$B$4:$B$16</c:f>
              <c:numCache>
                <c:formatCode>#,##0.00</c:formatCode>
                <c:ptCount val="13"/>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2870734332.0700002</c:v>
                </c:pt>
              </c:numCache>
            </c:numRef>
          </c:val>
        </c:ser>
        <c:dLbls>
          <c:showLegendKey val="0"/>
          <c:showVal val="0"/>
          <c:showCatName val="0"/>
          <c:showSerName val="0"/>
          <c:showPercent val="0"/>
          <c:showBubbleSize val="0"/>
        </c:dLbls>
        <c:gapWidth val="75"/>
        <c:shape val="cylinder"/>
        <c:axId val="370492368"/>
        <c:axId val="370492760"/>
        <c:axId val="0"/>
      </c:bar3DChart>
      <c:catAx>
        <c:axId val="370492368"/>
        <c:scaling>
          <c:orientation val="minMax"/>
        </c:scaling>
        <c:delete val="0"/>
        <c:axPos val="b"/>
        <c:numFmt formatCode="General" sourceLinked="1"/>
        <c:majorTickMark val="none"/>
        <c:minorTickMark val="none"/>
        <c:tickLblPos val="nextTo"/>
        <c:txPr>
          <a:bodyPr/>
          <a:lstStyle/>
          <a:p>
            <a:pPr>
              <a:defRPr sz="1600"/>
            </a:pPr>
            <a:endParaRPr lang="es-ES"/>
          </a:p>
        </c:txPr>
        <c:crossAx val="370492760"/>
        <c:crosses val="autoZero"/>
        <c:auto val="1"/>
        <c:lblAlgn val="ctr"/>
        <c:lblOffset val="100"/>
        <c:noMultiLvlLbl val="0"/>
      </c:catAx>
      <c:valAx>
        <c:axId val="370492760"/>
        <c:scaling>
          <c:orientation val="minMax"/>
        </c:scaling>
        <c:delete val="0"/>
        <c:axPos val="l"/>
        <c:numFmt formatCode="#,##0.00" sourceLinked="1"/>
        <c:majorTickMark val="none"/>
        <c:minorTickMark val="none"/>
        <c:tickLblPos val="none"/>
        <c:crossAx val="370492368"/>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5641703004381451"/>
          <c:y val="3.42632928339638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16425960851827276"/>
          <c:w val="0.89945834850948936"/>
          <c:h val="0.68505306004760103"/>
        </c:manualLayout>
      </c:layout>
      <c:bar3DChart>
        <c:barDir val="col"/>
        <c:grouping val="clustered"/>
        <c:varyColors val="0"/>
        <c:ser>
          <c:idx val="0"/>
          <c:order val="0"/>
          <c:tx>
            <c:strRef>
              <c:f>'Pagos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2254331445.0599999</c:v>
                </c:pt>
              </c:numCache>
            </c:numRef>
          </c:val>
        </c:ser>
        <c:ser>
          <c:idx val="1"/>
          <c:order val="1"/>
          <c:tx>
            <c:strRef>
              <c:f>'Pagos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96394755.359999999</c:v>
                </c:pt>
              </c:numCache>
            </c:numRef>
          </c:val>
        </c:ser>
        <c:ser>
          <c:idx val="2"/>
          <c:order val="2"/>
          <c:tx>
            <c:strRef>
              <c:f>'Pagos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numCache>
            </c:numRef>
          </c:val>
        </c:ser>
        <c:ser>
          <c:idx val="3"/>
          <c:order val="3"/>
          <c:tx>
            <c:strRef>
              <c:f>'Pagos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246780225.86000001</c:v>
                </c:pt>
              </c:numCache>
            </c:numRef>
          </c:val>
        </c:ser>
        <c:ser>
          <c:idx val="4"/>
          <c:order val="4"/>
          <c:tx>
            <c:strRef>
              <c:f>'Pagos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7267156.2699999996</c:v>
                </c:pt>
              </c:numCache>
            </c:numRef>
          </c:val>
        </c:ser>
        <c:ser>
          <c:idx val="5"/>
          <c:order val="5"/>
          <c:tx>
            <c:strRef>
              <c:f>'Pagos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136785324.27000001</c:v>
                </c:pt>
              </c:numCache>
            </c:numRef>
          </c:val>
        </c:ser>
        <c:ser>
          <c:idx val="6"/>
          <c:order val="6"/>
          <c:tx>
            <c:strRef>
              <c:f>'Pagos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19239051.079999998</c:v>
                </c:pt>
              </c:numCache>
            </c:numRef>
          </c:val>
        </c:ser>
        <c:ser>
          <c:idx val="7"/>
          <c:order val="7"/>
          <c:tx>
            <c:strRef>
              <c:f>'Pagos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Enero 2015</c:v>
                </c:pt>
              </c:strCache>
            </c:strRef>
          </c:cat>
          <c:val>
            <c:numRef>
              <c:f>'Pagos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109936374.17</c:v>
                </c:pt>
              </c:numCache>
            </c:numRef>
          </c:val>
        </c:ser>
        <c:dLbls>
          <c:showLegendKey val="0"/>
          <c:showVal val="0"/>
          <c:showCatName val="0"/>
          <c:showSerName val="0"/>
          <c:showPercent val="0"/>
          <c:showBubbleSize val="0"/>
        </c:dLbls>
        <c:gapWidth val="75"/>
        <c:shape val="cylinder"/>
        <c:axId val="370493544"/>
        <c:axId val="370493936"/>
        <c:axId val="0"/>
      </c:bar3DChart>
      <c:catAx>
        <c:axId val="37049354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0493936"/>
        <c:crosses val="autoZero"/>
        <c:auto val="1"/>
        <c:lblAlgn val="ctr"/>
        <c:lblOffset val="100"/>
        <c:noMultiLvlLbl val="0"/>
      </c:catAx>
      <c:valAx>
        <c:axId val="37049393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70493544"/>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a:effectLst/>
            </a:endParaRPr>
          </a:p>
          <a:p>
            <a:pPr>
              <a:defRPr sz="1800" b="1">
                <a:solidFill>
                  <a:sysClr val="windowText" lastClr="000000"/>
                </a:solidFill>
              </a:defRPr>
            </a:pPr>
            <a:r>
              <a:rPr lang="es-DO" sz="1800" b="1">
                <a:effectLst/>
              </a:rPr>
              <a:t>Período: 2007 - Enero 2015</a:t>
            </a:r>
            <a:endParaRPr lang="es-ES">
              <a:effectLst/>
            </a:endParaRPr>
          </a:p>
        </c:rich>
      </c:tx>
      <c:layout>
        <c:manualLayout>
          <c:xMode val="edge"/>
          <c:yMode val="edge"/>
          <c:x val="0.28899910039121818"/>
          <c:y val="2.71989832279349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382951944548222"/>
          <c:y val="0.10211711055625732"/>
          <c:w val="0.83381016881243164"/>
          <c:h val="0.74770375276990841"/>
        </c:manualLayout>
      </c:layout>
      <c:barChart>
        <c:barDir val="bar"/>
        <c:grouping val="clustered"/>
        <c:varyColors val="0"/>
        <c:ser>
          <c:idx val="0"/>
          <c:order val="0"/>
          <c:tx>
            <c:strRef>
              <c:f>' 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2"/>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2"/>
              </a:solidFill>
              <a:ln>
                <a:noFill/>
              </a:ln>
              <a:effectLst>
                <a:glow rad="139700">
                  <a:schemeClr val="accent1">
                    <a:alpha val="49000"/>
                  </a:schemeClr>
                </a:glow>
                <a:outerShdw sx="1000" sy="1000" algn="ctr" rotWithShape="0">
                  <a:schemeClr val="bg1"/>
                </a:outerShdw>
                <a:softEdge rad="0"/>
              </a:effectLst>
            </c:spPr>
          </c:dPt>
          <c:cat>
            <c:strRef>
              <c:f>' 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 Pago Entidades'!$K$4:$K$16</c:f>
              <c:numCache>
                <c:formatCode>_(* #,##0.00_);_(* \(#,##0.00\);_(* "-"??_);_(@_)</c:formatCode>
                <c:ptCount val="13"/>
                <c:pt idx="0">
                  <c:v>52440211874.649994</c:v>
                </c:pt>
                <c:pt idx="1">
                  <c:v>38466426791.709999</c:v>
                </c:pt>
                <c:pt idx="2">
                  <c:v>31545632216.849998</c:v>
                </c:pt>
                <c:pt idx="3">
                  <c:v>30468969321.490002</c:v>
                </c:pt>
                <c:pt idx="4">
                  <c:v>22249490136.41</c:v>
                </c:pt>
                <c:pt idx="5">
                  <c:v>8076819700.29</c:v>
                </c:pt>
                <c:pt idx="6">
                  <c:v>1447564562.1299994</c:v>
                </c:pt>
                <c:pt idx="7">
                  <c:v>1376443823.9199989</c:v>
                </c:pt>
                <c:pt idx="8">
                  <c:v>1303193790.3799989</c:v>
                </c:pt>
                <c:pt idx="9">
                  <c:v>1234028421.5499995</c:v>
                </c:pt>
                <c:pt idx="10">
                  <c:v>674107113.93999946</c:v>
                </c:pt>
                <c:pt idx="11">
                  <c:v>116692988.65000001</c:v>
                </c:pt>
                <c:pt idx="12">
                  <c:v>63617457.140000001</c:v>
                </c:pt>
              </c:numCache>
            </c:numRef>
          </c:val>
        </c:ser>
        <c:dLbls>
          <c:showLegendKey val="0"/>
          <c:showVal val="0"/>
          <c:showCatName val="0"/>
          <c:showSerName val="0"/>
          <c:showPercent val="0"/>
          <c:showBubbleSize val="0"/>
        </c:dLbls>
        <c:gapWidth val="68"/>
        <c:overlap val="1"/>
        <c:axId val="370494720"/>
        <c:axId val="370495112"/>
      </c:barChart>
      <c:catAx>
        <c:axId val="370494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0495112"/>
        <c:crosses val="autoZero"/>
        <c:auto val="1"/>
        <c:lblAlgn val="ctr"/>
        <c:lblOffset val="100"/>
        <c:noMultiLvlLbl val="0"/>
      </c:catAx>
      <c:valAx>
        <c:axId val="370495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0494720"/>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3155369</c:v>
                </c:pt>
              </c:numCache>
            </c:numRef>
          </c:val>
        </c:ser>
        <c:ser>
          <c:idx val="1"/>
          <c:order val="1"/>
          <c:tx>
            <c:strRef>
              <c:f>'Afil.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3001981</c:v>
                </c:pt>
              </c:numCache>
            </c:numRef>
          </c:val>
        </c:ser>
        <c:ser>
          <c:idx val="2"/>
          <c:order val="2"/>
          <c:tx>
            <c:strRef>
              <c:f>'Afil.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30435</c:v>
                </c:pt>
              </c:numCache>
            </c:numRef>
          </c:val>
        </c:ser>
        <c:dLbls>
          <c:showLegendKey val="0"/>
          <c:showVal val="0"/>
          <c:showCatName val="0"/>
          <c:showSerName val="0"/>
          <c:showPercent val="0"/>
          <c:showBubbleSize val="0"/>
        </c:dLbls>
        <c:gapWidth val="7"/>
        <c:overlap val="1"/>
        <c:axId val="300402096"/>
        <c:axId val="300402488"/>
      </c:barChart>
      <c:lineChart>
        <c:grouping val="standard"/>
        <c:varyColors val="0"/>
        <c:ser>
          <c:idx val="3"/>
          <c:order val="3"/>
          <c:tx>
            <c:strRef>
              <c:f>'Afil.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0.50993513834110271</c:v>
                </c:pt>
              </c:numCache>
            </c:numRef>
          </c:val>
          <c:smooth val="0"/>
        </c:ser>
        <c:ser>
          <c:idx val="4"/>
          <c:order val="4"/>
          <c:tx>
            <c:strRef>
              <c:f>'Afil.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0.4851463003320251</c:v>
                </c:pt>
              </c:numCache>
            </c:numRef>
          </c:val>
          <c:smooth val="0"/>
        </c:ser>
        <c:ser>
          <c:idx val="5"/>
          <c:order val="5"/>
          <c:tx>
            <c:strRef>
              <c:f>'Afil.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 2015</c:v>
                </c:pt>
              </c:strCache>
            </c:strRef>
          </c:cat>
          <c:val>
            <c:numRef>
              <c:f>'Afil.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4.9185613268722169E-3</c:v>
                </c:pt>
              </c:numCache>
            </c:numRef>
          </c:val>
          <c:smooth val="0"/>
        </c:ser>
        <c:dLbls>
          <c:showLegendKey val="0"/>
          <c:showVal val="0"/>
          <c:showCatName val="0"/>
          <c:showSerName val="0"/>
          <c:showPercent val="0"/>
          <c:showBubbleSize val="0"/>
        </c:dLbls>
        <c:marker val="1"/>
        <c:smooth val="0"/>
        <c:axId val="300403272"/>
        <c:axId val="300402880"/>
      </c:lineChart>
      <c:catAx>
        <c:axId val="300402096"/>
        <c:scaling>
          <c:orientation val="minMax"/>
        </c:scaling>
        <c:delete val="0"/>
        <c:axPos val="b"/>
        <c:numFmt formatCode="General" sourceLinked="0"/>
        <c:majorTickMark val="none"/>
        <c:minorTickMark val="none"/>
        <c:tickLblPos val="nextTo"/>
        <c:txPr>
          <a:bodyPr/>
          <a:lstStyle/>
          <a:p>
            <a:pPr>
              <a:defRPr sz="1200"/>
            </a:pPr>
            <a:endParaRPr lang="es-ES"/>
          </a:p>
        </c:txPr>
        <c:crossAx val="300402488"/>
        <c:crosses val="autoZero"/>
        <c:auto val="1"/>
        <c:lblAlgn val="ctr"/>
        <c:lblOffset val="100"/>
        <c:noMultiLvlLbl val="0"/>
      </c:catAx>
      <c:valAx>
        <c:axId val="30040248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00402096"/>
        <c:crosses val="autoZero"/>
        <c:crossBetween val="between"/>
        <c:dispUnits>
          <c:builtInUnit val="thousands"/>
          <c:dispUnitsLbl/>
        </c:dispUnits>
      </c:valAx>
      <c:valAx>
        <c:axId val="300402880"/>
        <c:scaling>
          <c:orientation val="minMax"/>
          <c:max val="2"/>
        </c:scaling>
        <c:delete val="0"/>
        <c:axPos val="r"/>
        <c:numFmt formatCode="_(* #,##0.00_);_(* \(#,##0.00\);_(* &quot;-&quot;??_);_(@_)" sourceLinked="1"/>
        <c:majorTickMark val="out"/>
        <c:minorTickMark val="none"/>
        <c:tickLblPos val="nextTo"/>
        <c:crossAx val="300403272"/>
        <c:crosses val="max"/>
        <c:crossBetween val="between"/>
      </c:valAx>
      <c:catAx>
        <c:axId val="300403272"/>
        <c:scaling>
          <c:orientation val="minMax"/>
        </c:scaling>
        <c:delete val="1"/>
        <c:axPos val="b"/>
        <c:numFmt formatCode="General" sourceLinked="1"/>
        <c:majorTickMark val="out"/>
        <c:minorTickMark val="none"/>
        <c:tickLblPos val="nextTo"/>
        <c:crossAx val="300402880"/>
        <c:crosses val="autoZero"/>
        <c:auto val="1"/>
        <c:lblAlgn val="ctr"/>
        <c:lblOffset val="100"/>
        <c:noMultiLvlLbl val="0"/>
      </c:catAx>
    </c:plotArea>
    <c:legend>
      <c:legendPos val="t"/>
      <c:layout>
        <c:manualLayout>
          <c:xMode val="edge"/>
          <c:yMode val="edge"/>
          <c:x val="0.18105442986951242"/>
          <c:y val="7.5240342332526716E-2"/>
          <c:w val="0.62028948521639216"/>
          <c:h val="3.891383367687265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c:rich>
      </c:tx>
      <c:layout>
        <c:manualLayout>
          <c:xMode val="edge"/>
          <c:yMode val="edge"/>
          <c:x val="0.31646910824994939"/>
          <c:y val="3.3356069067064488E-2"/>
        </c:manualLayout>
      </c:layout>
      <c:overlay val="0"/>
    </c:title>
    <c:autoTitleDeleted val="0"/>
    <c:plotArea>
      <c:layout>
        <c:manualLayout>
          <c:layoutTarget val="inner"/>
          <c:xMode val="edge"/>
          <c:yMode val="edge"/>
          <c:x val="0.10137451302440921"/>
          <c:y val="0.12478440738141106"/>
          <c:w val="0.81080168393478003"/>
          <c:h val="0.71762249062197125"/>
        </c:manualLayout>
      </c:layout>
      <c:lineChart>
        <c:grouping val="standard"/>
        <c:varyColors val="0"/>
        <c:ser>
          <c:idx val="0"/>
          <c:order val="0"/>
          <c:tx>
            <c:strRef>
              <c:f>'Patrim. fp anual'!$B$3</c:f>
              <c:strCache>
                <c:ptCount val="1"/>
                <c:pt idx="0">
                  <c:v>Patrimonio Fondos de Pensiones </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5628762526109803E-2"/>
                  <c:y val="0.10122913567963272"/>
                </c:manualLayout>
              </c:layout>
              <c:spPr/>
              <c:txPr>
                <a:bodyPr/>
                <a:lstStyle/>
                <a:p>
                  <a:pPr>
                    <a:defRPr sz="12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7669471423E-2"/>
                  <c:y val="7.73927474086920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4606433986651669E-2"/>
                  <c:y val="4.8751168017779123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1.5490196413251119E-2"/>
                  <c:y val="4.0657466447585881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87583261838552E-3"/>
                  <c:y val="2.795200818271529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'Patrim. fp anual'!$A$4:$A$14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'Patrim. fp anual'!$B$4:$B$14</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310482.22769000003</c:v>
                </c:pt>
              </c:numCache>
            </c:numRef>
          </c:val>
          <c:smooth val="0"/>
        </c:ser>
        <c:dLbls>
          <c:showLegendKey val="0"/>
          <c:showVal val="0"/>
          <c:showCatName val="0"/>
          <c:showSerName val="0"/>
          <c:showPercent val="0"/>
          <c:showBubbleSize val="0"/>
        </c:dLbls>
        <c:marker val="1"/>
        <c:smooth val="0"/>
        <c:axId val="370495896"/>
        <c:axId val="370496288"/>
      </c:lineChart>
      <c:lineChart>
        <c:grouping val="standard"/>
        <c:varyColors val="0"/>
        <c:ser>
          <c:idx val="1"/>
          <c:order val="1"/>
          <c:tx>
            <c:strRef>
              <c:f>'Patrim.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4.8144040939752795E-2"/>
                  <c:y val="-3.76744976639320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767340815105825E-2"/>
                  <c:y val="-5.00250867987624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979697700721432E-2"/>
                  <c:y val="-4.49437171668837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62525978301E-2"/>
                  <c:y val="-5.498194940916736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5226212559268515E-2"/>
                  <c:y val="-4.27142999046295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083903674226134E-2"/>
                  <c:y val="-3.76744976639322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46704383566E-2"/>
                  <c:y val="-6.82741517849243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9976649054334441E-2"/>
                  <c:y val="-8.1106317704105618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1048970914160961E-2"/>
                  <c:y val="-4.6727580372250423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9466119117491652E-2"/>
                  <c:y val="-5.38828699143874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3.3045752348269057E-2"/>
                  <c:y val="-5.5904016365430589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2718954739434975E-2"/>
                  <c:y val="-4.828074140650824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'Patrim. fp anual'!$A$4:$A$14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'Patrim. fp anual'!$E$4:$E$14</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0.10957363763942361</c:v>
                </c:pt>
                <c:pt idx="10">
                  <c:v>0.1114345409820303</c:v>
                </c:pt>
              </c:numCache>
            </c:numRef>
          </c:val>
          <c:smooth val="0"/>
        </c:ser>
        <c:dLbls>
          <c:showLegendKey val="0"/>
          <c:showVal val="0"/>
          <c:showCatName val="0"/>
          <c:showSerName val="0"/>
          <c:showPercent val="0"/>
          <c:showBubbleSize val="0"/>
        </c:dLbls>
        <c:marker val="1"/>
        <c:smooth val="0"/>
        <c:axId val="370496680"/>
        <c:axId val="370497072"/>
      </c:lineChart>
      <c:catAx>
        <c:axId val="370495896"/>
        <c:scaling>
          <c:orientation val="minMax"/>
        </c:scaling>
        <c:delete val="0"/>
        <c:axPos val="b"/>
        <c:numFmt formatCode="General" sourceLinked="1"/>
        <c:majorTickMark val="none"/>
        <c:minorTickMark val="none"/>
        <c:tickLblPos val="nextTo"/>
        <c:txPr>
          <a:bodyPr/>
          <a:lstStyle/>
          <a:p>
            <a:pPr>
              <a:defRPr sz="1200"/>
            </a:pPr>
            <a:endParaRPr lang="es-ES"/>
          </a:p>
        </c:txPr>
        <c:crossAx val="370496288"/>
        <c:crosses val="autoZero"/>
        <c:auto val="1"/>
        <c:lblAlgn val="ctr"/>
        <c:lblOffset val="100"/>
        <c:noMultiLvlLbl val="0"/>
      </c:catAx>
      <c:valAx>
        <c:axId val="370496288"/>
        <c:scaling>
          <c:orientation val="minMax"/>
        </c:scaling>
        <c:delete val="0"/>
        <c:axPos val="l"/>
        <c:numFmt formatCode="_(* #,##0.00_);_(* \(#,##0.00\);_(* &quot;-&quot;??_);_(@_)" sourceLinked="1"/>
        <c:majorTickMark val="none"/>
        <c:minorTickMark val="none"/>
        <c:tickLblPos val="nextTo"/>
        <c:crossAx val="370495896"/>
        <c:crosses val="autoZero"/>
        <c:crossBetween val="between"/>
      </c:valAx>
      <c:catAx>
        <c:axId val="370496680"/>
        <c:scaling>
          <c:orientation val="minMax"/>
        </c:scaling>
        <c:delete val="1"/>
        <c:axPos val="b"/>
        <c:numFmt formatCode="General" sourceLinked="1"/>
        <c:majorTickMark val="out"/>
        <c:minorTickMark val="none"/>
        <c:tickLblPos val="nextTo"/>
        <c:crossAx val="370497072"/>
        <c:crosses val="autoZero"/>
        <c:auto val="1"/>
        <c:lblAlgn val="ctr"/>
        <c:lblOffset val="100"/>
        <c:noMultiLvlLbl val="0"/>
      </c:catAx>
      <c:valAx>
        <c:axId val="370497072"/>
        <c:scaling>
          <c:orientation val="minMax"/>
        </c:scaling>
        <c:delete val="0"/>
        <c:axPos val="r"/>
        <c:numFmt formatCode="0.00%" sourceLinked="1"/>
        <c:majorTickMark val="out"/>
        <c:minorTickMark val="none"/>
        <c:tickLblPos val="nextTo"/>
        <c:crossAx val="370496680"/>
        <c:crosses val="max"/>
        <c:crossBetween val="between"/>
      </c:valAx>
    </c:plotArea>
    <c:legend>
      <c:legendPos val="b"/>
      <c:layout>
        <c:manualLayout>
          <c:xMode val="edge"/>
          <c:yMode val="edge"/>
          <c:x val="0.32005877917711328"/>
          <c:y val="9.928733980601355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Composición de la Cartera Total de Inversión de los Fondos de Pensiones por Tipo de Emisor</a:t>
            </a:r>
          </a:p>
        </c:rich>
      </c:tx>
      <c:overlay val="0"/>
    </c:title>
    <c:autoTitleDeleted val="0"/>
    <c:view3D>
      <c:rotX val="60"/>
      <c:rotY val="210"/>
      <c:rAngAx val="0"/>
      <c:perspective val="0"/>
    </c:view3D>
    <c:floor>
      <c:thickness val="0"/>
    </c:floor>
    <c:sideWall>
      <c:thickness val="0"/>
    </c:sideWall>
    <c:backWall>
      <c:thickness val="0"/>
    </c:backWall>
    <c:plotArea>
      <c:layout>
        <c:manualLayout>
          <c:layoutTarget val="inner"/>
          <c:xMode val="edge"/>
          <c:yMode val="edge"/>
          <c:x val="0.13152025418499064"/>
          <c:y val="0.23750644567620696"/>
          <c:w val="0.63793036771050371"/>
          <c:h val="0.56490100952021116"/>
        </c:manualLayout>
      </c:layout>
      <c:pie3DChart>
        <c:varyColors val="1"/>
        <c:ser>
          <c:idx val="0"/>
          <c:order val="0"/>
          <c:tx>
            <c:strRef>
              <c:f>'Cartera de inv fp'!$B$3</c:f>
              <c:strCache>
                <c:ptCount val="1"/>
                <c:pt idx="0">
                  <c:v>Inversión </c:v>
                </c:pt>
              </c:strCache>
            </c:strRef>
          </c:tx>
          <c:explosion val="25"/>
          <c:dLbls>
            <c:dLbl>
              <c:idx val="0"/>
              <c:layout>
                <c:manualLayout>
                  <c:x val="-1.8005295258093638E-2"/>
                  <c:y val="-1.5823151981219075E-2"/>
                </c:manualLayout>
              </c:layout>
              <c:tx>
                <c:rich>
                  <a:bodyPr/>
                  <a:lstStyle/>
                  <a:p>
                    <a:r>
                      <a:rPr lang="en-US" sz="1050" b="1"/>
                      <a:t>Banco Central de la República Dominicana RD$135,479,396,486.03 </a:t>
                    </a:r>
                  </a:p>
                  <a:p>
                    <a:r>
                      <a:rPr lang="en-US" sz="1050" b="1"/>
                      <a:t>48%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6004706896083219E-2"/>
                  <c:y val="-7.9115759906095377E-3"/>
                </c:manualLayout>
              </c:layout>
              <c:tx>
                <c:rich>
                  <a:bodyPr/>
                  <a:lstStyle/>
                  <a:p>
                    <a:r>
                      <a:rPr lang="en-US" sz="1050" b="1"/>
                      <a:t>Asociación de Ahorros y Préstamos RD$8,070,986,387.12 </a:t>
                    </a:r>
                  </a:p>
                  <a:p>
                    <a:r>
                      <a:rPr lang="en-US" sz="1050" b="1"/>
                      <a:t>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tx>
                <c:rich>
                  <a:bodyPr/>
                  <a:lstStyle/>
                  <a:p>
                    <a:r>
                      <a:rPr lang="en-US" sz="1050" b="1"/>
                      <a:t>Bancos Múltiples </a:t>
                    </a:r>
                  </a:p>
                  <a:p>
                    <a:r>
                      <a:rPr lang="en-US" sz="1050" b="1"/>
                      <a:t>RD$80,281,162,177.85</a:t>
                    </a:r>
                  </a:p>
                  <a:p>
                    <a:r>
                      <a:rPr lang="en-US" sz="1050" b="1"/>
                      <a:t> 29%</a:t>
                    </a:r>
                    <a:endParaRPr lang="en-US"/>
                  </a:p>
                </c:rich>
              </c:tx>
              <c:dLblPos val="outEnd"/>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3.300970797317164E-2"/>
                  <c:y val="-9.2961017889661865E-2"/>
                </c:manualLayout>
              </c:layout>
              <c:tx>
                <c:rich>
                  <a:bodyPr/>
                  <a:lstStyle/>
                  <a:p>
                    <a:r>
                      <a:rPr lang="en-US" sz="1050" b="1"/>
                      <a:t>Bancos de Ahorro y Crédito RD$1,106,434,663.67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3.6010511752865904E-2"/>
                  <c:y val="5.9336819929571398E-3"/>
                </c:manualLayout>
              </c:layout>
              <c:tx>
                <c:rich>
                  <a:bodyPr/>
                  <a:lstStyle/>
                  <a:p>
                    <a:r>
                      <a:rPr lang="en-US" sz="1050" b="1"/>
                      <a:t>Banco Nacional de la Vivienda (BNV) RD$881,120,643.50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300374558974635E-2"/>
                  <c:y val="9.0983123892009479E-2"/>
                </c:manualLayout>
              </c:layout>
              <c:tx>
                <c:rich>
                  <a:bodyPr/>
                  <a:lstStyle/>
                  <a:p>
                    <a:r>
                      <a:rPr lang="en-US" sz="1050" b="1"/>
                      <a:t>Empresas Privadas </a:t>
                    </a:r>
                  </a:p>
                  <a:p>
                    <a:r>
                      <a:rPr lang="en-US" sz="1050" b="1"/>
                      <a:t>RD$4,355,582,984.98 </a:t>
                    </a:r>
                  </a:p>
                  <a:p>
                    <a:r>
                      <a:rPr lang="en-US" sz="1050" b="1"/>
                      <a:t>2%</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0014709050260793E-3"/>
                  <c:y val="4.7469455943656973E-2"/>
                </c:manualLayout>
              </c:layout>
              <c:tx>
                <c:rich>
                  <a:bodyPr/>
                  <a:lstStyle/>
                  <a:p>
                    <a:r>
                      <a:rPr lang="en-US" sz="1050" b="1"/>
                      <a:t>Cartera Ministerio de Hacienda RD$50,748,656,194.58 </a:t>
                    </a:r>
                  </a:p>
                  <a:p>
                    <a:r>
                      <a:rPr lang="en-US" sz="1050" b="1"/>
                      <a:t>18%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2.5007354525130029E-2"/>
                  <c:y val="2.769051596713332E-2"/>
                </c:manualLayout>
              </c:layout>
              <c:tx>
                <c:rich>
                  <a:bodyPr/>
                  <a:lstStyle/>
                  <a:p>
                    <a:r>
                      <a:rPr lang="en-US" sz="1050" b="1"/>
                      <a:t>Organismos Multilarerales </a:t>
                    </a:r>
                  </a:p>
                  <a:p>
                    <a:r>
                      <a:rPr lang="en-US" sz="1050" b="1"/>
                      <a:t>RD$343,007,303.40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05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'Cartera de inv fp'!$B$4:$B$11</c:f>
              <c:numCache>
                <c:formatCode>"RD$"#,##0.00</c:formatCode>
                <c:ptCount val="8"/>
                <c:pt idx="0">
                  <c:v>135479396486.03</c:v>
                </c:pt>
                <c:pt idx="1">
                  <c:v>8070986387.1199999</c:v>
                </c:pt>
                <c:pt idx="2">
                  <c:v>80281162177.850006</c:v>
                </c:pt>
                <c:pt idx="3">
                  <c:v>1106434663.6700001</c:v>
                </c:pt>
                <c:pt idx="4">
                  <c:v>881120643.5</c:v>
                </c:pt>
                <c:pt idx="5">
                  <c:v>4355582984.9799995</c:v>
                </c:pt>
                <c:pt idx="6">
                  <c:v>50748656194.580002</c:v>
                </c:pt>
                <c:pt idx="7">
                  <c:v>343007303.39999998</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Vejez, Discapacidad y Sobrevivencia (SVDS)</a:t>
            </a:r>
          </a:p>
          <a:p>
            <a:pPr>
              <a:defRPr sz="1400"/>
            </a:pPr>
            <a:r>
              <a:rPr lang="es-DO" sz="1400"/>
              <a:t>Composición de la Cartera total de Inversiones de los Fondos de Pensiones por Instrumentos</a:t>
            </a:r>
          </a:p>
        </c:rich>
      </c:tx>
      <c:overlay val="0"/>
    </c:title>
    <c:autoTitleDeleted val="0"/>
    <c:view3D>
      <c:rotX val="60"/>
      <c:rotY val="70"/>
      <c:rAngAx val="0"/>
      <c:perspective val="0"/>
    </c:view3D>
    <c:floor>
      <c:thickness val="0"/>
    </c:floor>
    <c:sideWall>
      <c:thickness val="0"/>
    </c:sideWall>
    <c:backWall>
      <c:thickness val="0"/>
    </c:backWall>
    <c:plotArea>
      <c:layout>
        <c:manualLayout>
          <c:layoutTarget val="inner"/>
          <c:xMode val="edge"/>
          <c:yMode val="edge"/>
          <c:x val="0.10312873669163918"/>
          <c:y val="0.32574451389452608"/>
          <c:w val="0.65831110394156689"/>
          <c:h val="0.5805842826347738"/>
        </c:manualLayout>
      </c:layout>
      <c:pie3DChart>
        <c:varyColors val="1"/>
        <c:ser>
          <c:idx val="0"/>
          <c:order val="0"/>
          <c:tx>
            <c:strRef>
              <c:f>'Comp. Cartera'!$B$3</c:f>
              <c:strCache>
                <c:ptCount val="1"/>
                <c:pt idx="0">
                  <c:v>Inversión </c:v>
                </c:pt>
              </c:strCache>
            </c:strRef>
          </c:tx>
          <c:explosion val="25"/>
          <c:dLbls>
            <c:dLbl>
              <c:idx val="0"/>
              <c:tx>
                <c:rich>
                  <a:bodyPr/>
                  <a:lstStyle/>
                  <a:p>
                    <a:r>
                      <a:rPr lang="en-US" sz="1200" b="1"/>
                      <a:t>Bonos del Gobierno Central  50,748,656,194.58 </a:t>
                    </a:r>
                  </a:p>
                  <a:p>
                    <a:r>
                      <a:rPr lang="en-US" sz="1200" b="1"/>
                      <a:t> 18%</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4.0849281553329106E-2"/>
                  <c:y val="-1.3475660903211841E-2"/>
                </c:manualLayout>
              </c:layout>
              <c:tx>
                <c:rich>
                  <a:bodyPr/>
                  <a:lstStyle/>
                  <a:p>
                    <a:r>
                      <a:rPr lang="en-US" sz="1200" b="1"/>
                      <a:t>Nota de Renta Fija  </a:t>
                    </a:r>
                  </a:p>
                  <a:p>
                    <a:r>
                      <a:rPr lang="en-US" sz="1200" b="1"/>
                      <a:t>18,080,285,358.29</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5.8854856381262158E-2"/>
                  <c:y val="3.4633402783414959E-2"/>
                </c:manualLayout>
              </c:layout>
              <c:tx>
                <c:rich>
                  <a:bodyPr/>
                  <a:lstStyle/>
                  <a:p>
                    <a:r>
                      <a:rPr lang="en-US" sz="1200" b="1"/>
                      <a:t>Letras Hipotecarias  </a:t>
                    </a:r>
                  </a:p>
                  <a:p>
                    <a:r>
                      <a:rPr lang="en-US" sz="1200" b="1"/>
                      <a:t>1,306,581,082.50  </a:t>
                    </a:r>
                  </a:p>
                  <a:p>
                    <a:r>
                      <a:rPr lang="en-US" sz="1200" b="1"/>
                      <a:t>0.46%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1.4882299840993355E-2"/>
                  <c:y val="1.3444273074113158E-2"/>
                </c:manualLayout>
              </c:layout>
              <c:tx>
                <c:rich>
                  <a:bodyPr/>
                  <a:lstStyle/>
                  <a:p>
                    <a:r>
                      <a:rPr lang="en-US" sz="1200" b="1"/>
                      <a:t>Certificados de Ventanillas   116,092,530,045.24 </a:t>
                    </a:r>
                  </a:p>
                  <a:p>
                    <a:r>
                      <a:rPr lang="en-US" sz="1200" b="1"/>
                      <a:t>41.27%</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4.6302095187292037E-2"/>
                  <c:y val="-7.3860071614759493E-2"/>
                </c:manualLayout>
              </c:layou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5806534004912526E-3"/>
                  <c:y val="-8.7926509186351712E-2"/>
                </c:manualLayout>
              </c:layout>
              <c:tx>
                <c:rich>
                  <a:bodyPr/>
                  <a:lstStyle/>
                  <a:p>
                    <a:r>
                      <a:rPr lang="en-US" sz="1200" b="1"/>
                      <a:t>Bonos Subordinados </a:t>
                    </a:r>
                  </a:p>
                  <a:p>
                    <a:r>
                      <a:rPr lang="en-US" sz="1200" b="1"/>
                      <a:t> 11,050,979,212.11</a:t>
                    </a:r>
                  </a:p>
                  <a:p>
                    <a:r>
                      <a:rPr lang="en-US" sz="1200" b="1"/>
                      <a:t>4%</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5013401044944246E-2"/>
                  <c:y val="-7.3731994840851078E-2"/>
                </c:manualLayout>
              </c:layout>
              <c:tx>
                <c:rich>
                  <a:bodyPr/>
                  <a:lstStyle/>
                  <a:p>
                    <a:r>
                      <a:rPr lang="en-US" sz="1200" b="1"/>
                      <a:t>Bonos Corporativos  </a:t>
                    </a:r>
                  </a:p>
                  <a:p>
                    <a:r>
                      <a:rPr lang="en-US" sz="1200" b="1"/>
                      <a:t>16,090,829,192.37</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6.3703852505565567E-2"/>
                  <c:y val="-2.28045205689495E-2"/>
                </c:manualLayout>
              </c:layout>
              <c:tx>
                <c:rich>
                  <a:bodyPr/>
                  <a:lstStyle/>
                  <a:p>
                    <a:r>
                      <a:rPr lang="en-US" sz="1200" b="1"/>
                      <a:t>Bonos Ordinarios  </a:t>
                    </a:r>
                  </a:p>
                  <a:p>
                    <a:r>
                      <a:rPr lang="en-US" sz="1200" b="1"/>
                      <a:t>343,007,303.40 </a:t>
                    </a:r>
                  </a:p>
                  <a:p>
                    <a:r>
                      <a:rPr lang="en-US" sz="1200" b="1"/>
                      <a:t>0.12%</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8"/>
              <c:layout>
                <c:manualLayout>
                  <c:x val="5.4103088746191207E-2"/>
                  <c:y val="8.7966375337103483E-2"/>
                </c:manualLayout>
              </c:layout>
              <c:tx>
                <c:rich>
                  <a:bodyPr/>
                  <a:lstStyle/>
                  <a:p>
                    <a:r>
                      <a:rPr lang="en-US" sz="1200" b="1"/>
                      <a:t>Otras Inversiones  </a:t>
                    </a:r>
                  </a:p>
                  <a:p>
                    <a:r>
                      <a:rPr lang="en-US" sz="1200" b="1"/>
                      <a:t>881,120,643.75  </a:t>
                    </a:r>
                  </a:p>
                  <a:p>
                    <a:r>
                      <a:rPr lang="en-US" sz="1200" b="1"/>
                      <a:t>0.31%</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200" b="1"/>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'Comp. Cartera'!$A$4:$A$12</c:f>
              <c:strCache>
                <c:ptCount val="9"/>
                <c:pt idx="0">
                  <c:v>Bonos del Gobierno Central</c:v>
                </c:pt>
                <c:pt idx="1">
                  <c:v>Nota de Renta Fija </c:v>
                </c:pt>
                <c:pt idx="2">
                  <c:v>Letras Hipotecarias </c:v>
                </c:pt>
                <c:pt idx="3">
                  <c:v>Certificados de Ventanillas </c:v>
                </c:pt>
                <c:pt idx="4">
                  <c:v>Certificados de Depósitos</c:v>
                </c:pt>
                <c:pt idx="5">
                  <c:v>Bonos Subordinados</c:v>
                </c:pt>
                <c:pt idx="6">
                  <c:v>Bonos Corporativos</c:v>
                </c:pt>
                <c:pt idx="7">
                  <c:v>Bonos Ordinarios</c:v>
                </c:pt>
                <c:pt idx="8">
                  <c:v>Otras Inversiones</c:v>
                </c:pt>
              </c:strCache>
            </c:strRef>
          </c:cat>
          <c:val>
            <c:numRef>
              <c:f>'Comp. Cartera'!$B$4:$B$12</c:f>
              <c:numCache>
                <c:formatCode>_(* #,##0.00_);_(* \(#,##0.00\);_(* "-"??_);_(@_)</c:formatCode>
                <c:ptCount val="9"/>
                <c:pt idx="0">
                  <c:v>50748656194.580002</c:v>
                </c:pt>
                <c:pt idx="1">
                  <c:v>18080285358.290001</c:v>
                </c:pt>
                <c:pt idx="2">
                  <c:v>1306581082.5</c:v>
                </c:pt>
                <c:pt idx="3">
                  <c:v>116092530045.24001</c:v>
                </c:pt>
                <c:pt idx="4">
                  <c:v>66672357809.140015</c:v>
                </c:pt>
                <c:pt idx="5">
                  <c:v>11050979212.110001</c:v>
                </c:pt>
                <c:pt idx="6">
                  <c:v>16090829192.370001</c:v>
                </c:pt>
                <c:pt idx="7">
                  <c:v>343007303.39999998</c:v>
                </c:pt>
                <c:pt idx="8">
                  <c:v>881120643.75</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a:solidFill>
        <a:schemeClr val="bg1"/>
      </a:solidFill>
    </a:ln>
  </c:spPr>
  <c:printSettings>
    <c:headerFooter/>
    <c:pageMargins b="0.75" l="0.7" r="0.7" t="0.75"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7942831304938243"/>
          <c:w val="0.91689508603091285"/>
          <c:h val="0.51539071502166756"/>
        </c:manualLayout>
      </c:layout>
      <c:lineChart>
        <c:grouping val="standard"/>
        <c:varyColors val="0"/>
        <c:ser>
          <c:idx val="0"/>
          <c:order val="0"/>
          <c:tx>
            <c:strRef>
              <c:f>'Rent.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'Rent. nom. de los FP'!$A$7:$A$57</c:f>
              <c:numCache>
                <c:formatCode>mmm\-yy</c:formatCode>
                <c:ptCount val="24"/>
                <c:pt idx="0">
                  <c:v>38322</c:v>
                </c:pt>
                <c:pt idx="1">
                  <c:v>38504</c:v>
                </c:pt>
                <c:pt idx="2">
                  <c:v>38687</c:v>
                </c:pt>
                <c:pt idx="3">
                  <c:v>39052</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41821</c:v>
                </c:pt>
                <c:pt idx="18">
                  <c:v>41852</c:v>
                </c:pt>
                <c:pt idx="19">
                  <c:v>41883</c:v>
                </c:pt>
                <c:pt idx="20">
                  <c:v>41913</c:v>
                </c:pt>
                <c:pt idx="21">
                  <c:v>41944</c:v>
                </c:pt>
                <c:pt idx="22">
                  <c:v>41974</c:v>
                </c:pt>
                <c:pt idx="23">
                  <c:v>42005</c:v>
                </c:pt>
              </c:numCache>
            </c:numRef>
          </c:cat>
          <c:val>
            <c:numRef>
              <c:f>'Rent. nom. de los FP'!$B$7:$B$57</c:f>
              <c:numCache>
                <c:formatCode>0.00%</c:formatCode>
                <c:ptCount val="24"/>
                <c:pt idx="0">
                  <c:v>0.22989999999999999</c:v>
                </c:pt>
                <c:pt idx="1">
                  <c:v>0.19919999999999999</c:v>
                </c:pt>
                <c:pt idx="2">
                  <c:v>0.1709</c:v>
                </c:pt>
                <c:pt idx="3">
                  <c:v>0.1147</c:v>
                </c:pt>
                <c:pt idx="4">
                  <c:v>8.6699999999999999E-2</c:v>
                </c:pt>
                <c:pt idx="5">
                  <c:v>0.1208</c:v>
                </c:pt>
                <c:pt idx="6">
                  <c:v>0.15529999999999999</c:v>
                </c:pt>
                <c:pt idx="7">
                  <c:v>0.1404</c:v>
                </c:pt>
                <c:pt idx="8">
                  <c:v>0.11609999999999999</c:v>
                </c:pt>
                <c:pt idx="9">
                  <c:v>0.108409960162953</c:v>
                </c:pt>
                <c:pt idx="10">
                  <c:v>0.113957126516463</c:v>
                </c:pt>
                <c:pt idx="11">
                  <c:v>0.12479999999999999</c:v>
                </c:pt>
                <c:pt idx="12">
                  <c:v>0.13100000000000001</c:v>
                </c:pt>
                <c:pt idx="13">
                  <c:v>0.14269999999999999</c:v>
                </c:pt>
                <c:pt idx="14">
                  <c:v>0.15329999999999999</c:v>
                </c:pt>
                <c:pt idx="15">
                  <c:v>0.132289709655253</c:v>
                </c:pt>
                <c:pt idx="16">
                  <c:v>0.116663916655663</c:v>
                </c:pt>
                <c:pt idx="17">
                  <c:v>0.116796791263615</c:v>
                </c:pt>
                <c:pt idx="18">
                  <c:v>0.1173</c:v>
                </c:pt>
                <c:pt idx="19">
                  <c:v>0.122677017308136</c:v>
                </c:pt>
                <c:pt idx="20">
                  <c:v>0.123037759368956</c:v>
                </c:pt>
                <c:pt idx="21">
                  <c:v>0.1196</c:v>
                </c:pt>
                <c:pt idx="22">
                  <c:v>0.1202</c:v>
                </c:pt>
                <c:pt idx="23">
                  <c:v>0.12089999999999999</c:v>
                </c:pt>
              </c:numCache>
            </c:numRef>
          </c:val>
          <c:smooth val="0"/>
        </c:ser>
        <c:ser>
          <c:idx val="1"/>
          <c:order val="1"/>
          <c:tx>
            <c:strRef>
              <c:f>'Rent.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'Rent. nom. de los FP'!$A$7:$A$57</c:f>
              <c:numCache>
                <c:formatCode>mmm\-yy</c:formatCode>
                <c:ptCount val="24"/>
                <c:pt idx="0">
                  <c:v>38322</c:v>
                </c:pt>
                <c:pt idx="1">
                  <c:v>38504</c:v>
                </c:pt>
                <c:pt idx="2">
                  <c:v>38687</c:v>
                </c:pt>
                <c:pt idx="3">
                  <c:v>39052</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41821</c:v>
                </c:pt>
                <c:pt idx="18">
                  <c:v>41852</c:v>
                </c:pt>
                <c:pt idx="19">
                  <c:v>41883</c:v>
                </c:pt>
                <c:pt idx="20">
                  <c:v>41913</c:v>
                </c:pt>
                <c:pt idx="21">
                  <c:v>41944</c:v>
                </c:pt>
                <c:pt idx="22">
                  <c:v>41974</c:v>
                </c:pt>
                <c:pt idx="23">
                  <c:v>42005</c:v>
                </c:pt>
              </c:numCache>
            </c:numRef>
          </c:cat>
          <c:val>
            <c:numRef>
              <c:f>'Rent. nom. de los FP'!$C$7:$C$57</c:f>
              <c:numCache>
                <c:formatCode>0.00%</c:formatCode>
                <c:ptCount val="24"/>
                <c:pt idx="0">
                  <c:v>0.2384</c:v>
                </c:pt>
                <c:pt idx="1">
                  <c:v>0.2041</c:v>
                </c:pt>
                <c:pt idx="2">
                  <c:v>0.1696</c:v>
                </c:pt>
                <c:pt idx="3">
                  <c:v>0.1148</c:v>
                </c:pt>
                <c:pt idx="4">
                  <c:v>9.06E-2</c:v>
                </c:pt>
                <c:pt idx="5">
                  <c:v>0.13009999999999999</c:v>
                </c:pt>
                <c:pt idx="6">
                  <c:v>0.161</c:v>
                </c:pt>
                <c:pt idx="7">
                  <c:v>0.14330000000000001</c:v>
                </c:pt>
                <c:pt idx="8">
                  <c:v>0.1183</c:v>
                </c:pt>
                <c:pt idx="9">
                  <c:v>0.11057333531076501</c:v>
                </c:pt>
                <c:pt idx="10">
                  <c:v>0.115288967128472</c:v>
                </c:pt>
                <c:pt idx="11">
                  <c:v>0.12659999999999999</c:v>
                </c:pt>
                <c:pt idx="12">
                  <c:v>0.1343</c:v>
                </c:pt>
                <c:pt idx="13">
                  <c:v>0.1454</c:v>
                </c:pt>
                <c:pt idx="14">
                  <c:v>0.15759999999999999</c:v>
                </c:pt>
                <c:pt idx="15">
                  <c:v>0.133732017269869</c:v>
                </c:pt>
                <c:pt idx="16">
                  <c:v>0.117645839774349</c:v>
                </c:pt>
                <c:pt idx="17">
                  <c:v>0.118568283938031</c:v>
                </c:pt>
                <c:pt idx="18">
                  <c:v>0.1198</c:v>
                </c:pt>
                <c:pt idx="19">
                  <c:v>0.124578929225971</c:v>
                </c:pt>
                <c:pt idx="20">
                  <c:v>0.125103490001607</c:v>
                </c:pt>
                <c:pt idx="21">
                  <c:v>0.12239999999999999</c:v>
                </c:pt>
                <c:pt idx="22">
                  <c:v>0.12479999999999999</c:v>
                </c:pt>
                <c:pt idx="23">
                  <c:v>0.125</c:v>
                </c:pt>
              </c:numCache>
            </c:numRef>
          </c:val>
          <c:smooth val="0"/>
        </c:ser>
        <c:dLbls>
          <c:showLegendKey val="0"/>
          <c:showVal val="0"/>
          <c:showCatName val="0"/>
          <c:showSerName val="0"/>
          <c:showPercent val="0"/>
          <c:showBubbleSize val="0"/>
        </c:dLbls>
        <c:marker val="1"/>
        <c:smooth val="0"/>
        <c:axId val="370499816"/>
        <c:axId val="370500208"/>
      </c:lineChart>
      <c:catAx>
        <c:axId val="370499816"/>
        <c:scaling>
          <c:orientation val="minMax"/>
        </c:scaling>
        <c:delete val="0"/>
        <c:axPos val="b"/>
        <c:numFmt formatCode="mmm\-yy" sourceLinked="1"/>
        <c:majorTickMark val="none"/>
        <c:minorTickMark val="none"/>
        <c:tickLblPos val="nextTo"/>
        <c:txPr>
          <a:bodyPr rot="-2700000" vert="horz"/>
          <a:lstStyle/>
          <a:p>
            <a:pPr>
              <a:defRPr lang="en-US" sz="1200"/>
            </a:pPr>
            <a:endParaRPr lang="es-ES"/>
          </a:p>
        </c:txPr>
        <c:crossAx val="370500208"/>
        <c:crosses val="autoZero"/>
        <c:auto val="0"/>
        <c:lblAlgn val="ctr"/>
        <c:lblOffset val="100"/>
        <c:noMultiLvlLbl val="0"/>
      </c:catAx>
      <c:valAx>
        <c:axId val="370500208"/>
        <c:scaling>
          <c:orientation val="minMax"/>
        </c:scaling>
        <c:delete val="1"/>
        <c:axPos val="l"/>
        <c:numFmt formatCode="0.00%" sourceLinked="1"/>
        <c:majorTickMark val="out"/>
        <c:minorTickMark val="none"/>
        <c:tickLblPos val="nextTo"/>
        <c:crossAx val="370499816"/>
        <c:crosses val="autoZero"/>
        <c:crossBetween val="between"/>
      </c:valAx>
    </c:plotArea>
    <c:legend>
      <c:legendPos val="b"/>
      <c:layout>
        <c:manualLayout>
          <c:xMode val="edge"/>
          <c:yMode val="edge"/>
          <c:x val="0.22240764889746323"/>
          <c:y val="0.13675795484266015"/>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6484816176177541E-2"/>
          <c:y val="0.13303353117466118"/>
          <c:w val="0.93003534478884886"/>
          <c:h val="0.74003135871751935"/>
        </c:manualLayout>
      </c:layout>
      <c:lineChart>
        <c:grouping val="standard"/>
        <c:varyColors val="0"/>
        <c:ser>
          <c:idx val="1"/>
          <c:order val="0"/>
          <c:tx>
            <c:strRef>
              <c:f>'Rentab.Real'!$B$4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4113592013489725E-2"/>
                  <c:y val="-2.65339110172712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6540283369769626E-2"/>
                  <c:y val="-2.755905739633020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11690280814135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42005</c:v>
                </c:pt>
              </c:numCache>
            </c:numRef>
          </c:cat>
          <c:val>
            <c:numRef>
              <c:f>'Rentab.Real'!$B$5:$B$17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0.12089999999999999</c:v>
                </c:pt>
              </c:numCache>
            </c:numRef>
          </c:val>
          <c:smooth val="0"/>
        </c:ser>
        <c:ser>
          <c:idx val="2"/>
          <c:order val="1"/>
          <c:tx>
            <c:strRef>
              <c:f>'Rentab.Real'!$D$4</c:f>
              <c:strCache>
                <c:ptCount val="1"/>
                <c:pt idx="0">
                  <c:v>Rentabilidad Real</c:v>
                </c:pt>
              </c:strCache>
            </c:strRef>
          </c:tx>
          <c:dLbls>
            <c:dLbl>
              <c:idx val="0"/>
              <c:layout>
                <c:manualLayout>
                  <c:x val="-2.1011057667734288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014168488481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42005</c:v>
                </c:pt>
              </c:numCache>
            </c:numRef>
          </c:cat>
          <c:val>
            <c:numRef>
              <c:f>'Rentab.Real'!$D$5:$D$17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0.10929999999999999</c:v>
                </c:pt>
              </c:numCache>
            </c:numRef>
          </c:val>
          <c:smooth val="0"/>
        </c:ser>
        <c:ser>
          <c:idx val="0"/>
          <c:order val="2"/>
          <c:tx>
            <c:strRef>
              <c:f>'Rentab.Real'!$C$4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80410289103801E-2"/>
                  <c:y val="4.186203758742084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145043184077519E-2"/>
                  <c:y val="1.380160250732728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2.081784914736291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42005</c:v>
                </c:pt>
              </c:numCache>
            </c:numRef>
          </c:cat>
          <c:val>
            <c:numRef>
              <c:f>'Rentab.Real'!$C$5:$C$17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1.1599999999999999E-2</c:v>
                </c:pt>
              </c:numCache>
            </c:numRef>
          </c:val>
          <c:smooth val="0"/>
        </c:ser>
        <c:dLbls>
          <c:showLegendKey val="0"/>
          <c:showVal val="0"/>
          <c:showCatName val="0"/>
          <c:showSerName val="0"/>
          <c:showPercent val="0"/>
          <c:showBubbleSize val="0"/>
        </c:dLbls>
        <c:marker val="1"/>
        <c:smooth val="0"/>
        <c:axId val="370499032"/>
        <c:axId val="370498640"/>
      </c:lineChart>
      <c:catAx>
        <c:axId val="370499032"/>
        <c:scaling>
          <c:orientation val="minMax"/>
        </c:scaling>
        <c:delete val="0"/>
        <c:axPos val="b"/>
        <c:numFmt formatCode="mmm\-yy" sourceLinked="1"/>
        <c:majorTickMark val="none"/>
        <c:minorTickMark val="none"/>
        <c:tickLblPos val="nextTo"/>
        <c:txPr>
          <a:bodyPr/>
          <a:lstStyle/>
          <a:p>
            <a:pPr>
              <a:defRPr lang="en-US" sz="1400"/>
            </a:pPr>
            <a:endParaRPr lang="es-ES"/>
          </a:p>
        </c:txPr>
        <c:crossAx val="370498640"/>
        <c:crosses val="autoZero"/>
        <c:auto val="0"/>
        <c:lblAlgn val="ctr"/>
        <c:lblOffset val="100"/>
        <c:noMultiLvlLbl val="0"/>
      </c:catAx>
      <c:valAx>
        <c:axId val="370498640"/>
        <c:scaling>
          <c:orientation val="minMax"/>
        </c:scaling>
        <c:delete val="1"/>
        <c:axPos val="l"/>
        <c:numFmt formatCode="0.00%" sourceLinked="1"/>
        <c:majorTickMark val="out"/>
        <c:minorTickMark val="none"/>
        <c:tickLblPos val="nextTo"/>
        <c:crossAx val="370499032"/>
        <c:crosses val="autoZero"/>
        <c:crossBetween val="between"/>
      </c:valAx>
    </c:plotArea>
    <c:legend>
      <c:legendPos val="b"/>
      <c:layout>
        <c:manualLayout>
          <c:xMode val="edge"/>
          <c:yMode val="edge"/>
          <c:x val="0.1122800987716516"/>
          <c:y val="0.10792331146028351"/>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endParaRPr lang="es-ES" sz="20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345815788157259E-2"/>
          <c:y val="0.2238593441102848"/>
          <c:w val="0.87327020012535417"/>
          <c:h val="0.62542871128027422"/>
        </c:manualLayout>
      </c:layout>
      <c:bar3DChart>
        <c:barDir val="col"/>
        <c:grouping val="clustered"/>
        <c:varyColors val="0"/>
        <c:ser>
          <c:idx val="0"/>
          <c:order val="0"/>
          <c:tx>
            <c:strRef>
              <c:f>'Pagos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ARL A'!$A$5:$A$15</c:f>
              <c:strCache>
                <c:ptCount val="11"/>
                <c:pt idx="0">
                  <c:v>Feb.2005</c:v>
                </c:pt>
                <c:pt idx="1">
                  <c:v>2006</c:v>
                </c:pt>
                <c:pt idx="2">
                  <c:v>2007</c:v>
                </c:pt>
                <c:pt idx="3">
                  <c:v>2008</c:v>
                </c:pt>
                <c:pt idx="4">
                  <c:v>2009</c:v>
                </c:pt>
                <c:pt idx="5">
                  <c:v>2010</c:v>
                </c:pt>
                <c:pt idx="6">
                  <c:v>2011</c:v>
                </c:pt>
                <c:pt idx="7">
                  <c:v>2012</c:v>
                </c:pt>
                <c:pt idx="8">
                  <c:v>2013</c:v>
                </c:pt>
                <c:pt idx="9">
                  <c:v>2014</c:v>
                </c:pt>
                <c:pt idx="10">
                  <c:v>Ene.15</c:v>
                </c:pt>
              </c:strCache>
            </c:strRef>
          </c:cat>
          <c:val>
            <c:numRef>
              <c:f>'Pagos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267983569.22999999</c:v>
                </c:pt>
              </c:numCache>
            </c:numRef>
          </c:val>
        </c:ser>
        <c:ser>
          <c:idx val="1"/>
          <c:order val="1"/>
          <c:tx>
            <c:strRef>
              <c:f>'Pagos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ARL A'!$A$5:$A$15</c:f>
              <c:strCache>
                <c:ptCount val="11"/>
                <c:pt idx="0">
                  <c:v>Feb.2005</c:v>
                </c:pt>
                <c:pt idx="1">
                  <c:v>2006</c:v>
                </c:pt>
                <c:pt idx="2">
                  <c:v>2007</c:v>
                </c:pt>
                <c:pt idx="3">
                  <c:v>2008</c:v>
                </c:pt>
                <c:pt idx="4">
                  <c:v>2009</c:v>
                </c:pt>
                <c:pt idx="5">
                  <c:v>2010</c:v>
                </c:pt>
                <c:pt idx="6">
                  <c:v>2011</c:v>
                </c:pt>
                <c:pt idx="7">
                  <c:v>2012</c:v>
                </c:pt>
                <c:pt idx="8">
                  <c:v>2013</c:v>
                </c:pt>
                <c:pt idx="9">
                  <c:v>2014</c:v>
                </c:pt>
                <c:pt idx="10">
                  <c:v>Ene.15</c:v>
                </c:pt>
              </c:strCache>
            </c:strRef>
          </c:cat>
          <c:val>
            <c:numRef>
              <c:f>'Pagos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11225916.75</c:v>
                </c:pt>
              </c:numCache>
            </c:numRef>
          </c:val>
        </c:ser>
        <c:ser>
          <c:idx val="2"/>
          <c:order val="2"/>
          <c:tx>
            <c:strRef>
              <c:f>'Pagos  ARL A'!$F$4</c:f>
              <c:strCache>
                <c:ptCount val="1"/>
                <c:pt idx="0">
                  <c:v>FSS (SRL)</c:v>
                </c:pt>
              </c:strCache>
            </c:strRef>
          </c:tx>
          <c:spPr>
            <a:solidFill>
              <a:schemeClr val="accent3">
                <a:lumMod val="75000"/>
              </a:schemeClr>
            </a:solidFill>
          </c:spPr>
          <c:invertIfNegative val="0"/>
          <c:dLbls>
            <c:dLbl>
              <c:idx val="6"/>
              <c:layout>
                <c:manualLayout>
                  <c:x val="4.4139104561802525E-3"/>
                  <c:y val="-3.7079364986678208E-2"/>
                </c:manualLayout>
              </c:layout>
              <c:spPr/>
              <c:txPr>
                <a:bodyPr rot="-5400000" vert="horz"/>
                <a:lstStyle/>
                <a:p>
                  <a:pPr>
                    <a:defRPr lang="en-US"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tx>
                <c:rich>
                  <a:bodyPr rot="-5400000" vert="horz"/>
                  <a:lstStyle/>
                  <a:p>
                    <a:pPr>
                      <a:defRPr lang="en-US" sz="1400" b="1"/>
                    </a:pPr>
                    <a:r>
                      <a:rPr lang="en-US"/>
                      <a:t>/</a:t>
                    </a:r>
                  </a:p>
                </c:rich>
              </c:tx>
              <c:sp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  ARL A'!$A$5:$A$15</c:f>
              <c:strCache>
                <c:ptCount val="11"/>
                <c:pt idx="0">
                  <c:v>Feb.2005</c:v>
                </c:pt>
                <c:pt idx="1">
                  <c:v>2006</c:v>
                </c:pt>
                <c:pt idx="2">
                  <c:v>2007</c:v>
                </c:pt>
                <c:pt idx="3">
                  <c:v>2008</c:v>
                </c:pt>
                <c:pt idx="4">
                  <c:v>2009</c:v>
                </c:pt>
                <c:pt idx="5">
                  <c:v>2010</c:v>
                </c:pt>
                <c:pt idx="6">
                  <c:v>2011</c:v>
                </c:pt>
                <c:pt idx="7">
                  <c:v>2012</c:v>
                </c:pt>
                <c:pt idx="8">
                  <c:v>2013</c:v>
                </c:pt>
                <c:pt idx="9">
                  <c:v>2014</c:v>
                </c:pt>
                <c:pt idx="10">
                  <c:v>Ene.15</c:v>
                </c:pt>
              </c:strCache>
            </c:strRef>
          </c:cat>
          <c:val>
            <c:numRef>
              <c:f>'Pagos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1546249.03</c:v>
                </c:pt>
              </c:numCache>
            </c:numRef>
          </c:val>
        </c:ser>
        <c:dLbls>
          <c:showLegendKey val="0"/>
          <c:showVal val="0"/>
          <c:showCatName val="0"/>
          <c:showSerName val="0"/>
          <c:showPercent val="0"/>
          <c:showBubbleSize val="0"/>
        </c:dLbls>
        <c:gapWidth val="75"/>
        <c:shape val="cylinder"/>
        <c:axId val="370500600"/>
        <c:axId val="370500992"/>
        <c:axId val="0"/>
      </c:bar3DChart>
      <c:catAx>
        <c:axId val="3705006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0500992"/>
        <c:crosses val="autoZero"/>
        <c:auto val="1"/>
        <c:lblAlgn val="ctr"/>
        <c:lblOffset val="100"/>
        <c:noMultiLvlLbl val="0"/>
      </c:catAx>
      <c:valAx>
        <c:axId val="37050099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7050060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46619555845891"/>
          <c:y val="8.4540987429515949E-2"/>
          <c:w val="0.47318052478099792"/>
          <c:h val="3.591422913291073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Dispersión</a:t>
            </a:r>
            <a:r>
              <a:rPr lang="es-ES" baseline="0"/>
              <a:t> Mensual por Cuentas al Seguro de Riesgos Laborales</a:t>
            </a:r>
            <a:endParaRPr lang="es-ES"/>
          </a:p>
        </c:rich>
      </c:tx>
      <c:layout>
        <c:manualLayout>
          <c:xMode val="edge"/>
          <c:yMode val="edge"/>
          <c:x val="0.23883016014566472"/>
          <c:y val="2.581624040733555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8902888423097381E-2"/>
          <c:y val="0.23778180357540704"/>
          <c:w val="0.90107183824244197"/>
          <c:h val="0.61470989050661617"/>
        </c:manualLayout>
      </c:layout>
      <c:bar3DChart>
        <c:barDir val="col"/>
        <c:grouping val="clustered"/>
        <c:varyColors val="0"/>
        <c:ser>
          <c:idx val="0"/>
          <c:order val="0"/>
          <c:tx>
            <c:strRef>
              <c:f>'Pagos_ARL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'Pagos_ARL M'!$A$5:$A$17</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'Pagos_ARL M'!$B$5:$B$17</c:f>
              <c:numCache>
                <c:formatCode>_(* #,##0.00_);_(* \(#,##0.00\);_(* "-"??_);_(@_)</c:formatCode>
                <c:ptCount val="13"/>
                <c:pt idx="0">
                  <c:v>234573171.84</c:v>
                </c:pt>
                <c:pt idx="1">
                  <c:v>232651592.21000001</c:v>
                </c:pt>
                <c:pt idx="2">
                  <c:v>239434115.91</c:v>
                </c:pt>
                <c:pt idx="3">
                  <c:v>255854609.08000001</c:v>
                </c:pt>
                <c:pt idx="4">
                  <c:v>246457707.78999999</c:v>
                </c:pt>
                <c:pt idx="5">
                  <c:v>248201728.63</c:v>
                </c:pt>
                <c:pt idx="6">
                  <c:v>261292751.96000001</c:v>
                </c:pt>
                <c:pt idx="7">
                  <c:v>245391197.81999999</c:v>
                </c:pt>
                <c:pt idx="8">
                  <c:v>261220667.27000001</c:v>
                </c:pt>
                <c:pt idx="9">
                  <c:v>258895516.99000001</c:v>
                </c:pt>
                <c:pt idx="10">
                  <c:v>260633723.61000001</c:v>
                </c:pt>
                <c:pt idx="11">
                  <c:v>260482080.38999999</c:v>
                </c:pt>
                <c:pt idx="12">
                  <c:v>267983569.22999999</c:v>
                </c:pt>
              </c:numCache>
            </c:numRef>
          </c:val>
        </c:ser>
        <c:ser>
          <c:idx val="1"/>
          <c:order val="1"/>
          <c:tx>
            <c:strRef>
              <c:f>'Pagos_ARL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'Pagos_ARL M'!$A$5:$A$17</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'Pagos_ARL M'!$D$5:$D$17</c:f>
              <c:numCache>
                <c:formatCode>_(* #,##0.00_);_(* \(#,##0.00\);_(* "-"??_);_(@_)</c:formatCode>
                <c:ptCount val="13"/>
                <c:pt idx="0">
                  <c:v>10307327.189999999</c:v>
                </c:pt>
                <c:pt idx="1">
                  <c:v>10306691.65</c:v>
                </c:pt>
                <c:pt idx="2">
                  <c:v>10665164.949999999</c:v>
                </c:pt>
                <c:pt idx="3">
                  <c:v>10742172.02</c:v>
                </c:pt>
                <c:pt idx="4">
                  <c:v>10778791.35</c:v>
                </c:pt>
                <c:pt idx="5">
                  <c:v>11065464.439999999</c:v>
                </c:pt>
                <c:pt idx="6">
                  <c:v>11037504.050000001</c:v>
                </c:pt>
                <c:pt idx="7">
                  <c:v>10992035.460000001</c:v>
                </c:pt>
                <c:pt idx="8">
                  <c:v>11145078.220000001</c:v>
                </c:pt>
                <c:pt idx="9">
                  <c:v>11376463.4</c:v>
                </c:pt>
                <c:pt idx="10">
                  <c:v>11231487.220000001</c:v>
                </c:pt>
                <c:pt idx="11">
                  <c:v>11805929.15</c:v>
                </c:pt>
                <c:pt idx="12">
                  <c:v>11225916.75</c:v>
                </c:pt>
              </c:numCache>
            </c:numRef>
          </c:val>
        </c:ser>
        <c:ser>
          <c:idx val="2"/>
          <c:order val="2"/>
          <c:tx>
            <c:strRef>
              <c:f>'Pagos_ARL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'Pagos_ARL M'!$A$5:$A$17</c:f>
              <c:strCache>
                <c:ptCount val="13"/>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strCache>
            </c:strRef>
          </c:cat>
          <c:val>
            <c:numRef>
              <c:f>'Pagos_ARL M'!$F$5:$F$17</c:f>
              <c:numCache>
                <c:formatCode>_(* #,##0.00_);_(* \(#,##0.00\);_(* "-"??_);_(@_)</c:formatCode>
                <c:ptCount val="13"/>
                <c:pt idx="0">
                  <c:v>1098705.31</c:v>
                </c:pt>
                <c:pt idx="1">
                  <c:v>1128213.57</c:v>
                </c:pt>
                <c:pt idx="2">
                  <c:v>1917680.21</c:v>
                </c:pt>
                <c:pt idx="3">
                  <c:v>2515935.12</c:v>
                </c:pt>
                <c:pt idx="4">
                  <c:v>1461525.92</c:v>
                </c:pt>
                <c:pt idx="5">
                  <c:v>1918393.14</c:v>
                </c:pt>
                <c:pt idx="6">
                  <c:v>2834010.08</c:v>
                </c:pt>
                <c:pt idx="7">
                  <c:v>1279675.43</c:v>
                </c:pt>
                <c:pt idx="8">
                  <c:v>2278124.62</c:v>
                </c:pt>
                <c:pt idx="9">
                  <c:v>1920347.88</c:v>
                </c:pt>
                <c:pt idx="10">
                  <c:v>1417224.83</c:v>
                </c:pt>
                <c:pt idx="11">
                  <c:v>1311902.99</c:v>
                </c:pt>
                <c:pt idx="12">
                  <c:v>1546249.03</c:v>
                </c:pt>
              </c:numCache>
            </c:numRef>
          </c:val>
        </c:ser>
        <c:dLbls>
          <c:showLegendKey val="0"/>
          <c:showVal val="0"/>
          <c:showCatName val="0"/>
          <c:showSerName val="0"/>
          <c:showPercent val="0"/>
          <c:showBubbleSize val="0"/>
        </c:dLbls>
        <c:gapWidth val="75"/>
        <c:shape val="cylinder"/>
        <c:axId val="370501776"/>
        <c:axId val="370502168"/>
        <c:axId val="0"/>
      </c:bar3DChart>
      <c:catAx>
        <c:axId val="370501776"/>
        <c:scaling>
          <c:orientation val="minMax"/>
        </c:scaling>
        <c:delete val="0"/>
        <c:axPos val="b"/>
        <c:numFmt formatCode="mmm\-yy" sourceLinked="0"/>
        <c:majorTickMark val="none"/>
        <c:minorTickMark val="none"/>
        <c:tickLblPos val="nextTo"/>
        <c:txPr>
          <a:bodyPr/>
          <a:lstStyle/>
          <a:p>
            <a:pPr>
              <a:defRPr lang="en-US"/>
            </a:pPr>
            <a:endParaRPr lang="es-ES"/>
          </a:p>
        </c:txPr>
        <c:crossAx val="370502168"/>
        <c:crosses val="autoZero"/>
        <c:auto val="1"/>
        <c:lblAlgn val="ctr"/>
        <c:lblOffset val="100"/>
        <c:noMultiLvlLbl val="1"/>
      </c:catAx>
      <c:valAx>
        <c:axId val="37050216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70501776"/>
        <c:crosses val="autoZero"/>
        <c:crossBetween val="between"/>
        <c:dispUnits>
          <c:builtInUnit val="millions"/>
          <c:dispUnitsLbl>
            <c:layout>
              <c:manualLayout>
                <c:xMode val="edge"/>
                <c:yMode val="edge"/>
                <c:x val="1.8518518518518517E-2"/>
                <c:y val="0.44608881694418856"/>
              </c:manualLayout>
            </c:layout>
            <c:txPr>
              <a:bodyPr/>
              <a:lstStyle/>
              <a:p>
                <a:pPr>
                  <a:defRPr lang="en-US" b="1"/>
                </a:pPr>
                <a:endParaRPr lang="es-ES"/>
              </a:p>
            </c:txPr>
          </c:dispUnitsLbl>
        </c:dispUnits>
      </c:valAx>
      <c:spPr>
        <a:noFill/>
        <a:ln w="25400">
          <a:noFill/>
        </a:ln>
      </c:spPr>
    </c:plotArea>
    <c:legend>
      <c:legendPos val="b"/>
      <c:layout>
        <c:manualLayout>
          <c:xMode val="edge"/>
          <c:yMode val="edge"/>
          <c:x val="0.30937346980384889"/>
          <c:y val="9.9161399069477005E-2"/>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ES" sz="3200"/>
              <a:t>Niños Afiliados</a:t>
            </a:r>
            <a:r>
              <a:rPr lang="es-ES" sz="3200" baseline="0"/>
              <a:t> en las Estancias Infantiles del RC</a:t>
            </a:r>
            <a:endParaRPr lang="es-ES" sz="3200"/>
          </a:p>
        </c:rich>
      </c:tx>
      <c:layout>
        <c:manualLayout>
          <c:xMode val="edge"/>
          <c:yMode val="edge"/>
          <c:x val="0.29383056569797456"/>
          <c:y val="3.7110670866587182E-2"/>
        </c:manualLayout>
      </c:layout>
      <c:overlay val="0"/>
    </c:title>
    <c:autoTitleDeleted val="0"/>
    <c:plotArea>
      <c:layout>
        <c:manualLayout>
          <c:layoutTarget val="inner"/>
          <c:xMode val="edge"/>
          <c:yMode val="edge"/>
          <c:x val="4.3274061115902353E-2"/>
          <c:y val="0.16925309539085273"/>
          <c:w val="0.92515558290447575"/>
          <c:h val="0.72318718266212823"/>
        </c:manualLayout>
      </c:layout>
      <c:barChart>
        <c:barDir val="col"/>
        <c:grouping val="clustered"/>
        <c:varyColors val="0"/>
        <c:ser>
          <c:idx val="0"/>
          <c:order val="0"/>
          <c:tx>
            <c:strRef>
              <c:f>Afil.EI!$B$3</c:f>
              <c:strCache>
                <c:ptCount val="1"/>
                <c:pt idx="0">
                  <c:v>Niños Beneficiarios</c:v>
                </c:pt>
              </c:strCache>
            </c:strRef>
          </c:tx>
          <c:spPr>
            <a:solidFill>
              <a:schemeClr val="accent3">
                <a:lumMod val="75000"/>
              </a:schemeClr>
            </a:solidFill>
          </c:spPr>
          <c:invertIfNegative val="0"/>
          <c:dLbls>
            <c:spPr>
              <a:noFill/>
              <a:ln>
                <a:noFill/>
              </a:ln>
              <a:effectLst/>
            </c:spPr>
            <c:txPr>
              <a:bodyPr/>
              <a:lstStyle/>
              <a:p>
                <a:pPr>
                  <a:defRPr sz="28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Afil.EI!$A$4:$A$35</c:f>
              <c:strCache>
                <c:ptCount val="10"/>
                <c:pt idx="0">
                  <c:v>May.09</c:v>
                </c:pt>
                <c:pt idx="1">
                  <c:v>Dic.09</c:v>
                </c:pt>
                <c:pt idx="2">
                  <c:v>May.10</c:v>
                </c:pt>
                <c:pt idx="3">
                  <c:v>Dic.10</c:v>
                </c:pt>
                <c:pt idx="4">
                  <c:v>May.11</c:v>
                </c:pt>
                <c:pt idx="5">
                  <c:v>Dic.11</c:v>
                </c:pt>
                <c:pt idx="6">
                  <c:v>Dic.12</c:v>
                </c:pt>
                <c:pt idx="7">
                  <c:v>Dic.13</c:v>
                </c:pt>
                <c:pt idx="8">
                  <c:v>Dic.14</c:v>
                </c:pt>
                <c:pt idx="9">
                  <c:v>Ene.15</c:v>
                </c:pt>
              </c:strCache>
            </c:strRef>
          </c:cat>
          <c:val>
            <c:numRef>
              <c:f>Afil.EI!$B$4:$B$35</c:f>
              <c:numCache>
                <c:formatCode>#,##0</c:formatCode>
                <c:ptCount val="10"/>
                <c:pt idx="0">
                  <c:v>601</c:v>
                </c:pt>
                <c:pt idx="1">
                  <c:v>1814</c:v>
                </c:pt>
                <c:pt idx="2">
                  <c:v>2352</c:v>
                </c:pt>
                <c:pt idx="3">
                  <c:v>4131</c:v>
                </c:pt>
                <c:pt idx="4">
                  <c:v>4164</c:v>
                </c:pt>
                <c:pt idx="5">
                  <c:v>4901</c:v>
                </c:pt>
                <c:pt idx="6">
                  <c:v>5894</c:v>
                </c:pt>
                <c:pt idx="7">
                  <c:v>6516</c:v>
                </c:pt>
                <c:pt idx="8">
                  <c:v>7878</c:v>
                </c:pt>
                <c:pt idx="9">
                  <c:v>7408</c:v>
                </c:pt>
              </c:numCache>
            </c:numRef>
          </c:val>
        </c:ser>
        <c:ser>
          <c:idx val="1"/>
          <c:order val="1"/>
          <c:tx>
            <c:strRef>
              <c:f>Afil.EI!$D$3</c:f>
              <c:strCache>
                <c:ptCount val="1"/>
                <c:pt idx="0">
                  <c:v>  Estancias habilitadas</c:v>
                </c:pt>
              </c:strCache>
            </c:strRef>
          </c:tx>
          <c:spPr>
            <a:solidFill>
              <a:schemeClr val="accent6">
                <a:lumMod val="50000"/>
              </a:schemeClr>
            </a:solidFill>
          </c:spPr>
          <c:invertIfNegative val="0"/>
          <c:dLbls>
            <c:dLbl>
              <c:idx val="9"/>
              <c:layout>
                <c:manualLayout>
                  <c:x val="-3.4542314335059437E-3"/>
                  <c:y val="-1.03159264664515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4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Afil.EI!$A$4:$A$35</c:f>
              <c:strCache>
                <c:ptCount val="10"/>
                <c:pt idx="0">
                  <c:v>May.09</c:v>
                </c:pt>
                <c:pt idx="1">
                  <c:v>Dic.09</c:v>
                </c:pt>
                <c:pt idx="2">
                  <c:v>May.10</c:v>
                </c:pt>
                <c:pt idx="3">
                  <c:v>Dic.10</c:v>
                </c:pt>
                <c:pt idx="4">
                  <c:v>May.11</c:v>
                </c:pt>
                <c:pt idx="5">
                  <c:v>Dic.11</c:v>
                </c:pt>
                <c:pt idx="6">
                  <c:v>Dic.12</c:v>
                </c:pt>
                <c:pt idx="7">
                  <c:v>Dic.13</c:v>
                </c:pt>
                <c:pt idx="8">
                  <c:v>Dic.14</c:v>
                </c:pt>
                <c:pt idx="9">
                  <c:v>Ene.15</c:v>
                </c:pt>
              </c:strCache>
            </c:strRef>
          </c:cat>
          <c:val>
            <c:numRef>
              <c:f>Afil.EI!$D$4:$D$35</c:f>
            </c:numRef>
          </c:val>
        </c:ser>
        <c:dLbls>
          <c:showLegendKey val="0"/>
          <c:showVal val="0"/>
          <c:showCatName val="0"/>
          <c:showSerName val="0"/>
          <c:showPercent val="0"/>
          <c:showBubbleSize val="0"/>
        </c:dLbls>
        <c:gapWidth val="51"/>
        <c:overlap val="87"/>
        <c:axId val="370502952"/>
        <c:axId val="370503344"/>
      </c:barChart>
      <c:lineChart>
        <c:grouping val="standard"/>
        <c:varyColors val="0"/>
        <c:ser>
          <c:idx val="2"/>
          <c:order val="2"/>
          <c:tx>
            <c:strRef>
              <c:f>Afil.EI!$E$3</c:f>
              <c:strCache>
                <c:ptCount val="1"/>
                <c:pt idx="0">
                  <c:v>Promedio de niños por Estancia</c:v>
                </c:pt>
              </c:strCache>
            </c:strRef>
          </c:tx>
          <c:spPr>
            <a:ln w="57150">
              <a:prstDash val="dash"/>
            </a:ln>
          </c:spPr>
          <c:marker>
            <c:symbol val="circle"/>
            <c:size val="22"/>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4400" b="1">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Afil.EI!$A$4:$A$35</c:f>
              <c:strCache>
                <c:ptCount val="10"/>
                <c:pt idx="0">
                  <c:v>May.09</c:v>
                </c:pt>
                <c:pt idx="1">
                  <c:v>Dic.09</c:v>
                </c:pt>
                <c:pt idx="2">
                  <c:v>May.10</c:v>
                </c:pt>
                <c:pt idx="3">
                  <c:v>Dic.10</c:v>
                </c:pt>
                <c:pt idx="4">
                  <c:v>May.11</c:v>
                </c:pt>
                <c:pt idx="5">
                  <c:v>Dic.11</c:v>
                </c:pt>
                <c:pt idx="6">
                  <c:v>Dic.12</c:v>
                </c:pt>
                <c:pt idx="7">
                  <c:v>Dic.13</c:v>
                </c:pt>
                <c:pt idx="8">
                  <c:v>Dic.14</c:v>
                </c:pt>
                <c:pt idx="9">
                  <c:v>Ene.15</c:v>
                </c:pt>
              </c:strCache>
            </c:strRef>
          </c:cat>
          <c:val>
            <c:numRef>
              <c:f>Afil.EI!$E$4:$E$35</c:f>
            </c:numRef>
          </c:val>
          <c:smooth val="1"/>
        </c:ser>
        <c:dLbls>
          <c:showLegendKey val="0"/>
          <c:showVal val="0"/>
          <c:showCatName val="0"/>
          <c:showSerName val="0"/>
          <c:showPercent val="0"/>
          <c:showBubbleSize val="0"/>
        </c:dLbls>
        <c:marker val="1"/>
        <c:smooth val="0"/>
        <c:axId val="370504128"/>
        <c:axId val="370503736"/>
      </c:lineChart>
      <c:catAx>
        <c:axId val="370502952"/>
        <c:scaling>
          <c:orientation val="minMax"/>
        </c:scaling>
        <c:delete val="0"/>
        <c:axPos val="b"/>
        <c:numFmt formatCode="General" sourceLinked="1"/>
        <c:majorTickMark val="out"/>
        <c:minorTickMark val="none"/>
        <c:tickLblPos val="nextTo"/>
        <c:txPr>
          <a:bodyPr/>
          <a:lstStyle/>
          <a:p>
            <a:pPr>
              <a:defRPr sz="2400"/>
            </a:pPr>
            <a:endParaRPr lang="es-ES"/>
          </a:p>
        </c:txPr>
        <c:crossAx val="370503344"/>
        <c:crosses val="autoZero"/>
        <c:auto val="1"/>
        <c:lblAlgn val="ctr"/>
        <c:lblOffset val="100"/>
        <c:noMultiLvlLbl val="0"/>
      </c:catAx>
      <c:valAx>
        <c:axId val="370503344"/>
        <c:scaling>
          <c:orientation val="minMax"/>
        </c:scaling>
        <c:delete val="0"/>
        <c:axPos val="l"/>
        <c:numFmt formatCode="#,##0" sourceLinked="1"/>
        <c:majorTickMark val="out"/>
        <c:minorTickMark val="none"/>
        <c:tickLblPos val="nextTo"/>
        <c:crossAx val="370502952"/>
        <c:crosses val="autoZero"/>
        <c:crossBetween val="between"/>
      </c:valAx>
      <c:valAx>
        <c:axId val="370503736"/>
        <c:scaling>
          <c:orientation val="minMax"/>
          <c:max val="100"/>
        </c:scaling>
        <c:delete val="0"/>
        <c:axPos val="r"/>
        <c:numFmt formatCode="#,##0" sourceLinked="1"/>
        <c:majorTickMark val="out"/>
        <c:minorTickMark val="none"/>
        <c:tickLblPos val="nextTo"/>
        <c:txPr>
          <a:bodyPr/>
          <a:lstStyle/>
          <a:p>
            <a:pPr>
              <a:defRPr sz="1050"/>
            </a:pPr>
            <a:endParaRPr lang="es-ES"/>
          </a:p>
        </c:txPr>
        <c:crossAx val="370504128"/>
        <c:crosses val="max"/>
        <c:crossBetween val="between"/>
      </c:valAx>
      <c:catAx>
        <c:axId val="370504128"/>
        <c:scaling>
          <c:orientation val="minMax"/>
        </c:scaling>
        <c:delete val="1"/>
        <c:axPos val="b"/>
        <c:numFmt formatCode="General" sourceLinked="1"/>
        <c:majorTickMark val="out"/>
        <c:minorTickMark val="none"/>
        <c:tickLblPos val="nextTo"/>
        <c:crossAx val="370503736"/>
        <c:crosses val="autoZero"/>
        <c:auto val="1"/>
        <c:lblAlgn val="ctr"/>
        <c:lblOffset val="100"/>
        <c:noMultiLvlLbl val="0"/>
      </c:catAx>
    </c:plotArea>
    <c:legend>
      <c:legendPos val="r"/>
      <c:layout>
        <c:manualLayout>
          <c:xMode val="edge"/>
          <c:yMode val="edge"/>
          <c:x val="0.12315381185876483"/>
          <c:y val="8.4819297749223227E-2"/>
          <c:w val="0.73834057685178089"/>
          <c:h val="3.8042987765500962E-2"/>
        </c:manualLayout>
      </c:layout>
      <c:overlay val="0"/>
      <c:txPr>
        <a:bodyPr/>
        <a:lstStyle/>
        <a:p>
          <a:pPr>
            <a:defRPr sz="2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Estancias Infantiles (EI) del Régimen Contributivo (RC)</a:t>
            </a:r>
          </a:p>
          <a:p>
            <a:pPr>
              <a:defRPr sz="1400"/>
            </a:pPr>
            <a:r>
              <a:rPr lang="es-DO" sz="1400"/>
              <a:t>Pagos a las Estancias Infantiles </a:t>
            </a:r>
          </a:p>
        </c:rich>
      </c:tx>
      <c:layout>
        <c:manualLayout>
          <c:xMode val="edge"/>
          <c:yMode val="edge"/>
          <c:x val="0.33022685140966002"/>
          <c:y val="3.627956382271495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255662657658191E-2"/>
          <c:y val="0.15382232755632941"/>
          <c:w val="0.89272314764914917"/>
          <c:h val="0.71787609499162608"/>
        </c:manualLayout>
      </c:layout>
      <c:bar3DChart>
        <c:barDir val="col"/>
        <c:grouping val="clustered"/>
        <c:varyColors val="0"/>
        <c:ser>
          <c:idx val="1"/>
          <c:order val="0"/>
          <c:tx>
            <c:strRef>
              <c:f>'Afil. a EI'!$B$3</c:f>
              <c:strCache>
                <c:ptCount val="1"/>
                <c:pt idx="0">
                  <c:v>Pagos AEISS</c:v>
                </c:pt>
              </c:strCache>
            </c:strRef>
          </c:tx>
          <c:spPr>
            <a:solidFill>
              <a:schemeClr val="accent3">
                <a:lumMod val="75000"/>
              </a:schemeClr>
            </a:solidFill>
          </c:spPr>
          <c:invertIfNegative val="0"/>
          <c:dLbls>
            <c:dLbl>
              <c:idx val="0"/>
              <c:layout>
                <c:manualLayout>
                  <c:x val="1.2114015460154509E-2"/>
                  <c:y val="-2.152353079305463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8013742359585E-2"/>
                  <c:y val="-3.1089544478856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8013742359585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90025766924222E-2"/>
                  <c:y val="-2.86980410574061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14015460154533E-2"/>
                  <c:y val="-3.5872551321757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14015460154533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400204801780443E-2"/>
                  <c:y val="-2.27678584767446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a EI'!$A$4:$A$10</c:f>
              <c:strCache>
                <c:ptCount val="7"/>
                <c:pt idx="0">
                  <c:v>2009</c:v>
                </c:pt>
                <c:pt idx="1">
                  <c:v>2010</c:v>
                </c:pt>
                <c:pt idx="2">
                  <c:v>2011</c:v>
                </c:pt>
                <c:pt idx="3">
                  <c:v>2012</c:v>
                </c:pt>
                <c:pt idx="4">
                  <c:v>2013</c:v>
                </c:pt>
                <c:pt idx="5">
                  <c:v>2014</c:v>
                </c:pt>
                <c:pt idx="6">
                  <c:v>Ene.2015</c:v>
                </c:pt>
              </c:strCache>
            </c:strRef>
          </c:cat>
          <c:val>
            <c:numRef>
              <c:f>'Afil. a EI'!$B$4:$B$10</c:f>
              <c:numCache>
                <c:formatCode>#,##0.0</c:formatCode>
                <c:ptCount val="7"/>
                <c:pt idx="0">
                  <c:v>16656000</c:v>
                </c:pt>
                <c:pt idx="1">
                  <c:v>68030000</c:v>
                </c:pt>
                <c:pt idx="2">
                  <c:v>168385579.84999999</c:v>
                </c:pt>
                <c:pt idx="3">
                  <c:v>182376500</c:v>
                </c:pt>
                <c:pt idx="4">
                  <c:v>141194000</c:v>
                </c:pt>
                <c:pt idx="5">
                  <c:v>262429320</c:v>
                </c:pt>
                <c:pt idx="6">
                  <c:v>14816000</c:v>
                </c:pt>
              </c:numCache>
            </c:numRef>
          </c:val>
        </c:ser>
        <c:dLbls>
          <c:showLegendKey val="0"/>
          <c:showVal val="0"/>
          <c:showCatName val="0"/>
          <c:showSerName val="0"/>
          <c:showPercent val="0"/>
          <c:showBubbleSize val="0"/>
        </c:dLbls>
        <c:gapWidth val="51"/>
        <c:shape val="cylinder"/>
        <c:axId val="370504912"/>
        <c:axId val="373404136"/>
        <c:axId val="0"/>
      </c:bar3DChart>
      <c:catAx>
        <c:axId val="370504912"/>
        <c:scaling>
          <c:orientation val="minMax"/>
        </c:scaling>
        <c:delete val="0"/>
        <c:axPos val="b"/>
        <c:numFmt formatCode="General" sourceLinked="1"/>
        <c:majorTickMark val="out"/>
        <c:minorTickMark val="none"/>
        <c:tickLblPos val="nextTo"/>
        <c:txPr>
          <a:bodyPr/>
          <a:lstStyle/>
          <a:p>
            <a:pPr>
              <a:defRPr sz="1600"/>
            </a:pPr>
            <a:endParaRPr lang="es-ES"/>
          </a:p>
        </c:txPr>
        <c:crossAx val="373404136"/>
        <c:crosses val="autoZero"/>
        <c:auto val="1"/>
        <c:lblAlgn val="ctr"/>
        <c:lblOffset val="100"/>
        <c:noMultiLvlLbl val="0"/>
      </c:catAx>
      <c:valAx>
        <c:axId val="373404136"/>
        <c:scaling>
          <c:orientation val="minMax"/>
        </c:scaling>
        <c:delete val="0"/>
        <c:axPos val="l"/>
        <c:numFmt formatCode="#,##0.0" sourceLinked="1"/>
        <c:majorTickMark val="out"/>
        <c:minorTickMark val="none"/>
        <c:tickLblPos val="nextTo"/>
        <c:crossAx val="3705049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'Benef. subsid'!$A$4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'Benef. subsid'!$B$3:$H$3</c:f>
              <c:numCache>
                <c:formatCode>General</c:formatCode>
                <c:ptCount val="7"/>
                <c:pt idx="0">
                  <c:v>2008</c:v>
                </c:pt>
                <c:pt idx="1">
                  <c:v>2009</c:v>
                </c:pt>
                <c:pt idx="2">
                  <c:v>2010</c:v>
                </c:pt>
                <c:pt idx="3">
                  <c:v>2011</c:v>
                </c:pt>
                <c:pt idx="4">
                  <c:v>2012</c:v>
                </c:pt>
                <c:pt idx="5">
                  <c:v>2013</c:v>
                </c:pt>
                <c:pt idx="6">
                  <c:v>2014</c:v>
                </c:pt>
              </c:numCache>
            </c:numRef>
          </c:cat>
          <c:val>
            <c:numRef>
              <c:f>'Benef. subsid'!$B$4:$H$4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'Benef. subsid'!$A$5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'Benef. subsid'!$B$3:$H$3</c:f>
              <c:numCache>
                <c:formatCode>General</c:formatCode>
                <c:ptCount val="7"/>
                <c:pt idx="0">
                  <c:v>2008</c:v>
                </c:pt>
                <c:pt idx="1">
                  <c:v>2009</c:v>
                </c:pt>
                <c:pt idx="2">
                  <c:v>2010</c:v>
                </c:pt>
                <c:pt idx="3">
                  <c:v>2011</c:v>
                </c:pt>
                <c:pt idx="4">
                  <c:v>2012</c:v>
                </c:pt>
                <c:pt idx="5">
                  <c:v>2013</c:v>
                </c:pt>
                <c:pt idx="6">
                  <c:v>2014</c:v>
                </c:pt>
              </c:numCache>
            </c:numRef>
          </c:cat>
          <c:val>
            <c:numRef>
              <c:f>'Benef. subsid'!$B$5:$H$5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'Benef. subsid'!$A$6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'Benef. subsid'!$B$3:$H$3</c:f>
              <c:numCache>
                <c:formatCode>General</c:formatCode>
                <c:ptCount val="7"/>
                <c:pt idx="0">
                  <c:v>2008</c:v>
                </c:pt>
                <c:pt idx="1">
                  <c:v>2009</c:v>
                </c:pt>
                <c:pt idx="2">
                  <c:v>2010</c:v>
                </c:pt>
                <c:pt idx="3">
                  <c:v>2011</c:v>
                </c:pt>
                <c:pt idx="4">
                  <c:v>2012</c:v>
                </c:pt>
                <c:pt idx="5">
                  <c:v>2013</c:v>
                </c:pt>
                <c:pt idx="6">
                  <c:v>2014</c:v>
                </c:pt>
              </c:numCache>
            </c:numRef>
          </c:cat>
          <c:val>
            <c:numRef>
              <c:f>'Benef. subsid'!$B$6:$H$6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373404920"/>
        <c:axId val="373405312"/>
        <c:axId val="0"/>
      </c:bar3DChart>
      <c:catAx>
        <c:axId val="373404920"/>
        <c:scaling>
          <c:orientation val="minMax"/>
        </c:scaling>
        <c:delete val="0"/>
        <c:axPos val="b"/>
        <c:numFmt formatCode="General" sourceLinked="1"/>
        <c:majorTickMark val="none"/>
        <c:minorTickMark val="none"/>
        <c:tickLblPos val="nextTo"/>
        <c:txPr>
          <a:bodyPr/>
          <a:lstStyle/>
          <a:p>
            <a:pPr>
              <a:defRPr sz="1200"/>
            </a:pPr>
            <a:endParaRPr lang="es-ES"/>
          </a:p>
        </c:txPr>
        <c:crossAx val="373405312"/>
        <c:crosses val="autoZero"/>
        <c:auto val="1"/>
        <c:lblAlgn val="ctr"/>
        <c:lblOffset val="100"/>
        <c:noMultiLvlLbl val="0"/>
      </c:catAx>
      <c:valAx>
        <c:axId val="373405312"/>
        <c:scaling>
          <c:orientation val="minMax"/>
        </c:scaling>
        <c:delete val="1"/>
        <c:axPos val="l"/>
        <c:numFmt formatCode="_(* #,##0_);_(* \(#,##0\);_(* &quot;-&quot;_);_(@_)" sourceLinked="1"/>
        <c:majorTickMark val="out"/>
        <c:minorTickMark val="none"/>
        <c:tickLblPos val="nextTo"/>
        <c:crossAx val="373404920"/>
        <c:crosses val="autoZero"/>
        <c:crossBetween val="between"/>
      </c:valAx>
      <c:spPr>
        <a:noFill/>
        <a:ln w="25400">
          <a:noFill/>
        </a:ln>
      </c:spPr>
    </c:plotArea>
    <c:legend>
      <c:legendPos val="t"/>
      <c:layout>
        <c:manualLayout>
          <c:xMode val="edge"/>
          <c:yMode val="edge"/>
          <c:x val="0.15090648943266416"/>
          <c:y val="0.12478890533925956"/>
          <c:w val="0.67802039168180905"/>
          <c:h val="4.74663063284544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2699757156"/>
          <c:y val="2.730114188574697E-2"/>
        </c:manualLayout>
      </c:layout>
      <c:overlay val="0"/>
    </c:title>
    <c:autoTitleDeleted val="0"/>
    <c:plotArea>
      <c:layout>
        <c:manualLayout>
          <c:layoutTarget val="inner"/>
          <c:xMode val="edge"/>
          <c:yMode val="edge"/>
          <c:x val="4.1801020601127635E-2"/>
          <c:y val="0.14498066975730145"/>
          <c:w val="0.91854556552632594"/>
          <c:h val="0.7535340312524933"/>
        </c:manualLayout>
      </c:layout>
      <c:barChart>
        <c:barDir val="col"/>
        <c:grouping val="clustered"/>
        <c:varyColors val="0"/>
        <c:ser>
          <c:idx val="0"/>
          <c:order val="0"/>
          <c:tx>
            <c:strRef>
              <c:f>'Cob.Afil.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'!$B$4:$B$16</c:f>
              <c:numCache>
                <c:formatCode>#,##0</c:formatCode>
                <c:ptCount val="11"/>
                <c:pt idx="2">
                  <c:v>1599467</c:v>
                </c:pt>
                <c:pt idx="3">
                  <c:v>1729671</c:v>
                </c:pt>
                <c:pt idx="4">
                  <c:v>2096232</c:v>
                </c:pt>
                <c:pt idx="5">
                  <c:v>2417992</c:v>
                </c:pt>
                <c:pt idx="6">
                  <c:v>2586943</c:v>
                </c:pt>
                <c:pt idx="7">
                  <c:v>2747735</c:v>
                </c:pt>
                <c:pt idx="8">
                  <c:v>2965326</c:v>
                </c:pt>
                <c:pt idx="9">
                  <c:v>3224947</c:v>
                </c:pt>
                <c:pt idx="10">
                  <c:v>3237880</c:v>
                </c:pt>
              </c:numCache>
            </c:numRef>
          </c:val>
        </c:ser>
        <c:ser>
          <c:idx val="1"/>
          <c:order val="1"/>
          <c:tx>
            <c:strRef>
              <c:f>'Cob.Afil.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'!$C$4:$C$16</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3015646</c:v>
                </c:pt>
              </c:numCache>
            </c:numRef>
          </c:val>
        </c:ser>
        <c:ser>
          <c:idx val="2"/>
          <c:order val="2"/>
          <c:tx>
            <c:strRef>
              <c:f>'Cob.Afil.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'!$D$4:$D$16</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30485</c:v>
                </c:pt>
              </c:numCache>
            </c:numRef>
          </c:val>
        </c:ser>
        <c:dLbls>
          <c:showLegendKey val="0"/>
          <c:showVal val="0"/>
          <c:showCatName val="0"/>
          <c:showSerName val="0"/>
          <c:showPercent val="0"/>
          <c:showBubbleSize val="0"/>
        </c:dLbls>
        <c:gapWidth val="7"/>
        <c:overlap val="1"/>
        <c:axId val="300404056"/>
        <c:axId val="300404448"/>
      </c:barChart>
      <c:lineChart>
        <c:grouping val="standard"/>
        <c:varyColors val="0"/>
        <c:ser>
          <c:idx val="3"/>
          <c:order val="3"/>
          <c:tx>
            <c:strRef>
              <c:f>'Cob.Afil.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'!$F$4:$F$16</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0.51525689563560595</c:v>
                </c:pt>
              </c:numCache>
            </c:numRef>
          </c:val>
          <c:smooth val="0"/>
        </c:ser>
        <c:ser>
          <c:idx val="4"/>
          <c:order val="4"/>
          <c:tx>
            <c:strRef>
              <c:f>'Cob.Afil.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'!$G$4:$G$16</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0.47989190343556049</c:v>
                </c:pt>
              </c:numCache>
            </c:numRef>
          </c:val>
          <c:smooth val="0"/>
        </c:ser>
        <c:ser>
          <c:idx val="5"/>
          <c:order val="5"/>
          <c:tx>
            <c:strRef>
              <c:f>'Cob.Afil.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Ene.2015</c:v>
                </c:pt>
              </c:strCache>
            </c:strRef>
          </c:cat>
          <c:val>
            <c:numRef>
              <c:f>'Cob.Afil. SFS '!$H$4:$H$16</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4.8512009288335109E-3</c:v>
                </c:pt>
              </c:numCache>
            </c:numRef>
          </c:val>
          <c:smooth val="0"/>
        </c:ser>
        <c:dLbls>
          <c:showLegendKey val="0"/>
          <c:showVal val="0"/>
          <c:showCatName val="0"/>
          <c:showSerName val="0"/>
          <c:showPercent val="0"/>
          <c:showBubbleSize val="0"/>
        </c:dLbls>
        <c:marker val="1"/>
        <c:smooth val="0"/>
        <c:axId val="300405232"/>
        <c:axId val="300404840"/>
      </c:lineChart>
      <c:catAx>
        <c:axId val="300404056"/>
        <c:scaling>
          <c:orientation val="minMax"/>
        </c:scaling>
        <c:delete val="0"/>
        <c:axPos val="b"/>
        <c:numFmt formatCode="General" sourceLinked="0"/>
        <c:majorTickMark val="none"/>
        <c:minorTickMark val="none"/>
        <c:tickLblPos val="nextTo"/>
        <c:txPr>
          <a:bodyPr/>
          <a:lstStyle/>
          <a:p>
            <a:pPr>
              <a:defRPr sz="1200"/>
            </a:pPr>
            <a:endParaRPr lang="es-ES"/>
          </a:p>
        </c:txPr>
        <c:crossAx val="300404448"/>
        <c:crosses val="autoZero"/>
        <c:auto val="1"/>
        <c:lblAlgn val="ctr"/>
        <c:lblOffset val="100"/>
        <c:noMultiLvlLbl val="0"/>
      </c:catAx>
      <c:valAx>
        <c:axId val="300404448"/>
        <c:scaling>
          <c:orientation val="minMax"/>
        </c:scaling>
        <c:delete val="0"/>
        <c:axPos val="l"/>
        <c:numFmt formatCode="#,##0" sourceLinked="1"/>
        <c:majorTickMark val="none"/>
        <c:minorTickMark val="none"/>
        <c:tickLblPos val="nextTo"/>
        <c:txPr>
          <a:bodyPr/>
          <a:lstStyle/>
          <a:p>
            <a:pPr>
              <a:defRPr sz="1200"/>
            </a:pPr>
            <a:endParaRPr lang="es-ES"/>
          </a:p>
        </c:txPr>
        <c:crossAx val="300404056"/>
        <c:crosses val="autoZero"/>
        <c:crossBetween val="between"/>
        <c:dispUnits>
          <c:builtInUnit val="thousands"/>
          <c:dispUnitsLbl/>
        </c:dispUnits>
      </c:valAx>
      <c:valAx>
        <c:axId val="300404840"/>
        <c:scaling>
          <c:orientation val="minMax"/>
          <c:max val="2"/>
        </c:scaling>
        <c:delete val="0"/>
        <c:axPos val="r"/>
        <c:numFmt formatCode="0.00%" sourceLinked="1"/>
        <c:majorTickMark val="out"/>
        <c:minorTickMark val="none"/>
        <c:tickLblPos val="nextTo"/>
        <c:crossAx val="300405232"/>
        <c:crosses val="max"/>
        <c:crossBetween val="between"/>
      </c:valAx>
      <c:catAx>
        <c:axId val="300405232"/>
        <c:scaling>
          <c:orientation val="minMax"/>
        </c:scaling>
        <c:delete val="1"/>
        <c:axPos val="b"/>
        <c:numFmt formatCode="General" sourceLinked="1"/>
        <c:majorTickMark val="out"/>
        <c:minorTickMark val="none"/>
        <c:tickLblPos val="nextTo"/>
        <c:crossAx val="300404840"/>
        <c:crosses val="autoZero"/>
        <c:auto val="1"/>
        <c:lblAlgn val="ctr"/>
        <c:lblOffset val="100"/>
        <c:noMultiLvlLbl val="0"/>
      </c:catAx>
    </c:plotArea>
    <c:legend>
      <c:legendPos val="t"/>
      <c:layout>
        <c:manualLayout>
          <c:xMode val="edge"/>
          <c:yMode val="edge"/>
          <c:x val="0.23272211605146165"/>
          <c:y val="8.3176340502427046E-2"/>
          <c:w val="0.58102540864394259"/>
          <c:h val="3.78209577847723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 Monto subsid '!$A$5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Monto subsid '!$B$4:$H$4</c:f>
              <c:numCache>
                <c:formatCode>General</c:formatCode>
                <c:ptCount val="7"/>
                <c:pt idx="0">
                  <c:v>2008</c:v>
                </c:pt>
                <c:pt idx="1">
                  <c:v>2009</c:v>
                </c:pt>
                <c:pt idx="2">
                  <c:v>2010</c:v>
                </c:pt>
                <c:pt idx="3">
                  <c:v>2011</c:v>
                </c:pt>
                <c:pt idx="4">
                  <c:v>2012</c:v>
                </c:pt>
                <c:pt idx="5">
                  <c:v>2013</c:v>
                </c:pt>
                <c:pt idx="6">
                  <c:v>2014</c:v>
                </c:pt>
              </c:numCache>
            </c:numRef>
          </c:cat>
          <c:val>
            <c:numRef>
              <c:f>' Monto subsid '!$B$5:$H$5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 Monto subsid '!$A$6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Monto subsid '!$B$4:$H$4</c:f>
              <c:numCache>
                <c:formatCode>General</c:formatCode>
                <c:ptCount val="7"/>
                <c:pt idx="0">
                  <c:v>2008</c:v>
                </c:pt>
                <c:pt idx="1">
                  <c:v>2009</c:v>
                </c:pt>
                <c:pt idx="2">
                  <c:v>2010</c:v>
                </c:pt>
                <c:pt idx="3">
                  <c:v>2011</c:v>
                </c:pt>
                <c:pt idx="4">
                  <c:v>2012</c:v>
                </c:pt>
                <c:pt idx="5">
                  <c:v>2013</c:v>
                </c:pt>
                <c:pt idx="6">
                  <c:v>2014</c:v>
                </c:pt>
              </c:numCache>
            </c:numRef>
          </c:cat>
          <c:val>
            <c:numRef>
              <c:f>' Monto subsid '!$B$6:$H$6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 Monto subsid '!$A$7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Monto subsid '!$B$4:$H$4</c:f>
              <c:numCache>
                <c:formatCode>General</c:formatCode>
                <c:ptCount val="7"/>
                <c:pt idx="0">
                  <c:v>2008</c:v>
                </c:pt>
                <c:pt idx="1">
                  <c:v>2009</c:v>
                </c:pt>
                <c:pt idx="2">
                  <c:v>2010</c:v>
                </c:pt>
                <c:pt idx="3">
                  <c:v>2011</c:v>
                </c:pt>
                <c:pt idx="4">
                  <c:v>2012</c:v>
                </c:pt>
                <c:pt idx="5">
                  <c:v>2013</c:v>
                </c:pt>
                <c:pt idx="6">
                  <c:v>2014</c:v>
                </c:pt>
              </c:numCache>
            </c:numRef>
          </c:cat>
          <c:val>
            <c:numRef>
              <c:f>' Monto subsid '!$B$7:$H$7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373406096"/>
        <c:axId val="373406488"/>
        <c:axId val="0"/>
      </c:bar3DChart>
      <c:catAx>
        <c:axId val="373406096"/>
        <c:scaling>
          <c:orientation val="minMax"/>
        </c:scaling>
        <c:delete val="0"/>
        <c:axPos val="b"/>
        <c:numFmt formatCode="General" sourceLinked="1"/>
        <c:majorTickMark val="none"/>
        <c:minorTickMark val="none"/>
        <c:tickLblPos val="nextTo"/>
        <c:txPr>
          <a:bodyPr/>
          <a:lstStyle/>
          <a:p>
            <a:pPr>
              <a:defRPr sz="1600"/>
            </a:pPr>
            <a:endParaRPr lang="es-ES"/>
          </a:p>
        </c:txPr>
        <c:crossAx val="373406488"/>
        <c:crosses val="autoZero"/>
        <c:auto val="1"/>
        <c:lblAlgn val="ctr"/>
        <c:lblOffset val="100"/>
        <c:noMultiLvlLbl val="0"/>
      </c:catAx>
      <c:valAx>
        <c:axId val="373406488"/>
        <c:scaling>
          <c:orientation val="minMax"/>
        </c:scaling>
        <c:delete val="1"/>
        <c:axPos val="l"/>
        <c:numFmt formatCode="_(* #,##0.00_);_(* \(#,##0.00\);_(* &quot;-&quot;_);_(@_)" sourceLinked="1"/>
        <c:majorTickMark val="out"/>
        <c:minorTickMark val="none"/>
        <c:tickLblPos val="nextTo"/>
        <c:crossAx val="373406096"/>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39122702271442389"/>
          <c:y val="1.4541136367725548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2.9631253834548694E-2"/>
          <c:y val="0.14685889615910688"/>
          <c:w val="0.94133567166738485"/>
          <c:h val="0.70875085259475046"/>
        </c:manualLayout>
      </c:layout>
      <c:bar3DChart>
        <c:barDir val="col"/>
        <c:grouping val="clustered"/>
        <c:varyColors val="0"/>
        <c:ser>
          <c:idx val="0"/>
          <c:order val="0"/>
          <c:tx>
            <c:strRef>
              <c:f>'Pensiones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113907892875E-3"/>
                  <c:y val="-2.1717148903197111E-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'Pensiones por año'!$B$5:$B$17</c:f>
              <c:numCache>
                <c:formatCode>#,##0</c:formatCode>
                <c:ptCount val="13"/>
                <c:pt idx="0">
                  <c:v>24</c:v>
                </c:pt>
                <c:pt idx="1">
                  <c:v>63</c:v>
                </c:pt>
                <c:pt idx="2">
                  <c:v>181</c:v>
                </c:pt>
                <c:pt idx="3">
                  <c:v>278</c:v>
                </c:pt>
                <c:pt idx="4">
                  <c:v>252</c:v>
                </c:pt>
                <c:pt idx="5">
                  <c:v>362</c:v>
                </c:pt>
                <c:pt idx="6">
                  <c:v>581</c:v>
                </c:pt>
                <c:pt idx="7">
                  <c:v>415</c:v>
                </c:pt>
                <c:pt idx="8">
                  <c:v>506</c:v>
                </c:pt>
                <c:pt idx="9">
                  <c:v>603</c:v>
                </c:pt>
                <c:pt idx="10">
                  <c:v>659</c:v>
                </c:pt>
                <c:pt idx="11">
                  <c:v>722</c:v>
                </c:pt>
                <c:pt idx="12">
                  <c:v>67</c:v>
                </c:pt>
              </c:numCache>
            </c:numRef>
          </c:val>
        </c:ser>
        <c:ser>
          <c:idx val="1"/>
          <c:order val="1"/>
          <c:tx>
            <c:strRef>
              <c:f>'Pensiones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'Pensiones por año'!$C$5:$C$17</c:f>
            </c:numRef>
          </c:val>
        </c:ser>
        <c:ser>
          <c:idx val="2"/>
          <c:order val="2"/>
          <c:tx>
            <c:strRef>
              <c:f>'Pensiones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Ene.2015</c:v>
                </c:pt>
              </c:strCache>
            </c:strRef>
          </c:cat>
          <c:val>
            <c:numRef>
              <c:f>'Pensiones por año'!$D$5:$D$17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63</c:v>
                </c:pt>
              </c:numCache>
            </c:numRef>
          </c:val>
        </c:ser>
        <c:dLbls>
          <c:showLegendKey val="0"/>
          <c:showVal val="0"/>
          <c:showCatName val="0"/>
          <c:showSerName val="0"/>
          <c:showPercent val="0"/>
          <c:showBubbleSize val="0"/>
        </c:dLbls>
        <c:gapWidth val="49"/>
        <c:shape val="cylinder"/>
        <c:axId val="373407664"/>
        <c:axId val="373408056"/>
        <c:axId val="0"/>
      </c:bar3DChart>
      <c:catAx>
        <c:axId val="373407664"/>
        <c:scaling>
          <c:orientation val="minMax"/>
        </c:scaling>
        <c:delete val="0"/>
        <c:axPos val="b"/>
        <c:numFmt formatCode="General" sourceLinked="0"/>
        <c:majorTickMark val="out"/>
        <c:minorTickMark val="none"/>
        <c:tickLblPos val="nextTo"/>
        <c:txPr>
          <a:bodyPr/>
          <a:lstStyle/>
          <a:p>
            <a:pPr>
              <a:defRPr sz="1400"/>
            </a:pPr>
            <a:endParaRPr lang="es-ES"/>
          </a:p>
        </c:txPr>
        <c:crossAx val="373408056"/>
        <c:crosses val="autoZero"/>
        <c:auto val="1"/>
        <c:lblAlgn val="ctr"/>
        <c:lblOffset val="100"/>
        <c:noMultiLvlLbl val="0"/>
      </c:catAx>
      <c:valAx>
        <c:axId val="373408056"/>
        <c:scaling>
          <c:orientation val="minMax"/>
        </c:scaling>
        <c:delete val="0"/>
        <c:axPos val="l"/>
        <c:numFmt formatCode="#,##0" sourceLinked="1"/>
        <c:majorTickMark val="out"/>
        <c:minorTickMark val="none"/>
        <c:tickLblPos val="nextTo"/>
        <c:txPr>
          <a:bodyPr/>
          <a:lstStyle/>
          <a:p>
            <a:pPr>
              <a:defRPr sz="1600"/>
            </a:pPr>
            <a:endParaRPr lang="es-ES"/>
          </a:p>
        </c:txPr>
        <c:crossAx val="373407664"/>
        <c:crosses val="autoZero"/>
        <c:crossBetween val="between"/>
      </c:valAx>
    </c:plotArea>
    <c:legend>
      <c:legendPos val="r"/>
      <c:layout>
        <c:manualLayout>
          <c:xMode val="edge"/>
          <c:yMode val="edge"/>
          <c:x val="0.2066690692298245"/>
          <c:y val="7.2638128527943033E-2"/>
          <c:w val="0.55579210353556563"/>
          <c:h val="6.379338828105449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'Pens.Disc. AFP'!$B$4:$B$11</c:f>
              <c:numCache>
                <c:formatCode>_(* #,##0.00_);_(* \(#,##0.00\);_(* "-"??_);_(@_)</c:formatCode>
                <c:ptCount val="8"/>
                <c:pt idx="0">
                  <c:v>4186.6899999999996</c:v>
                </c:pt>
                <c:pt idx="1">
                  <c:v>4494.8100000000004</c:v>
                </c:pt>
                <c:pt idx="2">
                  <c:v>3266.47</c:v>
                </c:pt>
                <c:pt idx="3">
                  <c:v>2698.25</c:v>
                </c:pt>
                <c:pt idx="4">
                  <c:v>4227.2299999999996</c:v>
                </c:pt>
                <c:pt idx="5">
                  <c:v>9823.9699999999993</c:v>
                </c:pt>
                <c:pt idx="6">
                  <c:v>10273.94</c:v>
                </c:pt>
                <c:pt idx="7">
                  <c:v>6012.07</c:v>
                </c:pt>
              </c:numCache>
            </c:numRef>
          </c:val>
        </c:ser>
        <c:ser>
          <c:idx val="1"/>
          <c:order val="1"/>
          <c:tx>
            <c:strRef>
              <c:f>'Pens.Disc.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'Pens.Disc. AFP'!$C$4:$C$11</c:f>
              <c:numCache>
                <c:formatCode>_(* #,##0.00_);_(* \(#,##0.00\);_(* "-"??_);_(@_)</c:formatCode>
                <c:ptCount val="8"/>
                <c:pt idx="0">
                  <c:v>9430.93</c:v>
                </c:pt>
                <c:pt idx="1">
                  <c:v>10710.98</c:v>
                </c:pt>
                <c:pt idx="2">
                  <c:v>7116.28</c:v>
                </c:pt>
                <c:pt idx="3">
                  <c:v>6491.18</c:v>
                </c:pt>
                <c:pt idx="4">
                  <c:v>8924.9699999999993</c:v>
                </c:pt>
                <c:pt idx="5">
                  <c:v>29796.13</c:v>
                </c:pt>
                <c:pt idx="6">
                  <c:v>22987.9</c:v>
                </c:pt>
                <c:pt idx="7">
                  <c:v>15548.67</c:v>
                </c:pt>
              </c:numCache>
            </c:numRef>
          </c:val>
        </c:ser>
        <c:ser>
          <c:idx val="2"/>
          <c:order val="2"/>
          <c:tx>
            <c:strRef>
              <c:f>'Pens.Disc.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9789184692928E-2"/>
                  <c:y val="-2.122744437782778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'Pens.Disc. AFP'!$D$4:$D$11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4"/>
        <c:shape val="cylinder"/>
        <c:axId val="373408840"/>
        <c:axId val="373409232"/>
        <c:axId val="0"/>
      </c:bar3DChart>
      <c:catAx>
        <c:axId val="373408840"/>
        <c:scaling>
          <c:orientation val="minMax"/>
        </c:scaling>
        <c:delete val="0"/>
        <c:axPos val="b"/>
        <c:numFmt formatCode="General" sourceLinked="0"/>
        <c:majorTickMark val="out"/>
        <c:minorTickMark val="none"/>
        <c:tickLblPos val="nextTo"/>
        <c:txPr>
          <a:bodyPr/>
          <a:lstStyle/>
          <a:p>
            <a:pPr>
              <a:defRPr sz="1400"/>
            </a:pPr>
            <a:endParaRPr lang="es-ES"/>
          </a:p>
        </c:txPr>
        <c:crossAx val="373409232"/>
        <c:crosses val="autoZero"/>
        <c:auto val="1"/>
        <c:lblAlgn val="ctr"/>
        <c:lblOffset val="100"/>
        <c:noMultiLvlLbl val="0"/>
      </c:catAx>
      <c:valAx>
        <c:axId val="373409232"/>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73408840"/>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'Pensiones Sob.Disc'!$B$4:$B$11</c:f>
              <c:numCache>
                <c:formatCode>_(* #,##0.00_);_(* \(#,##0.00\);_(* "-"??_);_(@_)</c:formatCode>
                <c:ptCount val="8"/>
                <c:pt idx="0">
                  <c:v>11745.45</c:v>
                </c:pt>
                <c:pt idx="1">
                  <c:v>12398.28</c:v>
                </c:pt>
                <c:pt idx="2">
                  <c:v>8886.64</c:v>
                </c:pt>
                <c:pt idx="3">
                  <c:v>9065.8799999999992</c:v>
                </c:pt>
                <c:pt idx="4">
                  <c:v>10781.39</c:v>
                </c:pt>
                <c:pt idx="5">
                  <c:v>29465.35</c:v>
                </c:pt>
                <c:pt idx="6">
                  <c:v>11103.35</c:v>
                </c:pt>
                <c:pt idx="7">
                  <c:v>9215.2800000000007</c:v>
                </c:pt>
              </c:numCache>
            </c:numRef>
          </c:val>
        </c:ser>
        <c:ser>
          <c:idx val="1"/>
          <c:order val="1"/>
          <c:tx>
            <c:strRef>
              <c:f>'Pensiones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'Pensiones Sob.Disc'!$C$4:$C$11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0"/>
        <c:shape val="cylinder"/>
        <c:axId val="373410016"/>
        <c:axId val="373410408"/>
        <c:axId val="0"/>
      </c:bar3DChart>
      <c:catAx>
        <c:axId val="373410016"/>
        <c:scaling>
          <c:orientation val="minMax"/>
        </c:scaling>
        <c:delete val="0"/>
        <c:axPos val="b"/>
        <c:numFmt formatCode="General" sourceLinked="0"/>
        <c:majorTickMark val="out"/>
        <c:minorTickMark val="none"/>
        <c:tickLblPos val="nextTo"/>
        <c:txPr>
          <a:bodyPr/>
          <a:lstStyle/>
          <a:p>
            <a:pPr>
              <a:defRPr sz="900"/>
            </a:pPr>
            <a:endParaRPr lang="es-ES"/>
          </a:p>
        </c:txPr>
        <c:crossAx val="373410408"/>
        <c:crosses val="autoZero"/>
        <c:auto val="1"/>
        <c:lblAlgn val="ctr"/>
        <c:lblOffset val="100"/>
        <c:noMultiLvlLbl val="0"/>
      </c:catAx>
      <c:valAx>
        <c:axId val="373410408"/>
        <c:scaling>
          <c:orientation val="minMax"/>
        </c:scaling>
        <c:delete val="0"/>
        <c:axPos val="l"/>
        <c:numFmt formatCode="_(* #,##0.00_);_(* \(#,##0.00\);_(* &quot;-&quot;??_);_(@_)" sourceLinked="1"/>
        <c:majorTickMark val="out"/>
        <c:minorTickMark val="none"/>
        <c:tickLblPos val="nextTo"/>
        <c:crossAx val="373410016"/>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0008271557571677"/>
          <c:y val="1.8364779101170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188582468631343E-4"/>
          <c:y val="0.22583092943315555"/>
          <c:w val="0.99077006331713757"/>
          <c:h val="0.62062812967197001"/>
        </c:manualLayout>
      </c:layout>
      <c:bar3DChart>
        <c:barDir val="col"/>
        <c:grouping val="clustered"/>
        <c:varyColors val="0"/>
        <c:ser>
          <c:idx val="0"/>
          <c:order val="0"/>
          <c:tx>
            <c:strRef>
              <c:f>'NA.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9223990153043733E-3"/>
                  <c:y val="-6.988822653030431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0.98709964412811391</c:v>
                </c:pt>
              </c:numCache>
            </c:numRef>
          </c:val>
        </c:ser>
        <c:ser>
          <c:idx val="1"/>
          <c:order val="1"/>
          <c:tx>
            <c:strRef>
              <c:f>'NA.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Ene.15</c:v>
                </c:pt>
              </c:strCache>
            </c:strRef>
          </c:cat>
          <c:val>
            <c:numRef>
              <c:f>'NA.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1.2900355871886121E-2</c:v>
                </c:pt>
              </c:numCache>
            </c:numRef>
          </c:val>
        </c:ser>
        <c:dLbls>
          <c:showLegendKey val="0"/>
          <c:showVal val="0"/>
          <c:showCatName val="0"/>
          <c:showSerName val="0"/>
          <c:showPercent val="0"/>
          <c:showBubbleSize val="0"/>
        </c:dLbls>
        <c:gapWidth val="33"/>
        <c:gapDepth val="109"/>
        <c:shape val="cylinder"/>
        <c:axId val="373411192"/>
        <c:axId val="373411584"/>
        <c:axId val="0"/>
      </c:bar3DChart>
      <c:catAx>
        <c:axId val="373411192"/>
        <c:scaling>
          <c:orientation val="minMax"/>
        </c:scaling>
        <c:delete val="0"/>
        <c:axPos val="b"/>
        <c:numFmt formatCode="General" sourceLinked="1"/>
        <c:majorTickMark val="none"/>
        <c:minorTickMark val="none"/>
        <c:tickLblPos val="nextTo"/>
        <c:txPr>
          <a:bodyPr/>
          <a:lstStyle/>
          <a:p>
            <a:pPr>
              <a:defRPr sz="1400"/>
            </a:pPr>
            <a:endParaRPr lang="es-ES"/>
          </a:p>
        </c:txPr>
        <c:crossAx val="373411584"/>
        <c:crosses val="autoZero"/>
        <c:auto val="1"/>
        <c:lblAlgn val="ctr"/>
        <c:lblOffset val="100"/>
        <c:noMultiLvlLbl val="0"/>
      </c:catAx>
      <c:valAx>
        <c:axId val="373411584"/>
        <c:scaling>
          <c:orientation val="minMax"/>
        </c:scaling>
        <c:delete val="1"/>
        <c:axPos val="l"/>
        <c:numFmt formatCode="0.0%" sourceLinked="1"/>
        <c:majorTickMark val="out"/>
        <c:minorTickMark val="none"/>
        <c:tickLblPos val="nextTo"/>
        <c:crossAx val="373411192"/>
        <c:crosses val="autoZero"/>
        <c:crossBetween val="between"/>
      </c:valAx>
      <c:spPr>
        <a:noFill/>
        <a:ln w="25400">
          <a:noFill/>
        </a:ln>
      </c:spPr>
    </c:plotArea>
    <c:legend>
      <c:legendPos val="t"/>
      <c:layout>
        <c:manualLayout>
          <c:xMode val="edge"/>
          <c:yMode val="edge"/>
          <c:x val="0.19760498686130842"/>
          <c:y val="7.4547446473266499E-2"/>
          <c:w val="0.55645139285037359"/>
          <c:h val="6.6130015044296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305375676835878"/>
          <c:y val="0.14105988227552951"/>
          <c:w val="0.82502448709896026"/>
          <c:h val="0.79621821752266531"/>
        </c:manualLayout>
      </c:layout>
      <c:bar3DChart>
        <c:barDir val="bar"/>
        <c:grouping val="stacked"/>
        <c:varyColors val="0"/>
        <c:ser>
          <c:idx val="0"/>
          <c:order val="0"/>
          <c:tx>
            <c:strRef>
              <c:f>'NA.Cant. accid x región'!$B$3</c:f>
              <c:strCache>
                <c:ptCount val="1"/>
                <c:pt idx="0">
                  <c:v>Región 0</c:v>
                </c:pt>
              </c:strCache>
            </c:strRef>
          </c:tx>
          <c:spPr>
            <a:solidFill>
              <a:schemeClr val="bg2">
                <a:lumMod val="50000"/>
              </a:schemeClr>
            </a:solidFill>
          </c:spPr>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713</c:v>
                </c:pt>
              </c:numCache>
            </c:numRef>
          </c:val>
        </c:ser>
        <c:ser>
          <c:idx val="1"/>
          <c:order val="1"/>
          <c:tx>
            <c:strRef>
              <c:f>'NA.Cant. accid x región'!$C$3</c:f>
              <c:strCache>
                <c:ptCount val="1"/>
                <c:pt idx="0">
                  <c:v>Región I</c:v>
                </c:pt>
              </c:strCache>
            </c:strRef>
          </c:tx>
          <c:spPr>
            <a:solidFill>
              <a:schemeClr val="accent2"/>
            </a:solidFill>
          </c:spPr>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96</c:v>
                </c:pt>
              </c:numCache>
            </c:numRef>
          </c:val>
        </c:ser>
        <c:ser>
          <c:idx val="2"/>
          <c:order val="2"/>
          <c:tx>
            <c:strRef>
              <c:f>'NA.Cant. accid x región'!$D$3</c:f>
              <c:strCache>
                <c:ptCount val="1"/>
                <c:pt idx="0">
                  <c:v>Región II</c:v>
                </c:pt>
              </c:strCache>
            </c:strRef>
          </c:tx>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595</c:v>
                </c:pt>
              </c:numCache>
            </c:numRef>
          </c:val>
        </c:ser>
        <c:ser>
          <c:idx val="3"/>
          <c:order val="3"/>
          <c:tx>
            <c:strRef>
              <c:f>'NA.Cant. accid x región'!$E$3</c:f>
              <c:strCache>
                <c:ptCount val="1"/>
                <c:pt idx="0">
                  <c:v>Región III</c:v>
                </c:pt>
              </c:strCache>
            </c:strRef>
          </c:tx>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67</c:v>
                </c:pt>
              </c:numCache>
            </c:numRef>
          </c:val>
        </c:ser>
        <c:ser>
          <c:idx val="4"/>
          <c:order val="4"/>
          <c:tx>
            <c:strRef>
              <c:f>'NA.Cant. accid x región'!$F$3</c:f>
              <c:strCache>
                <c:ptCount val="1"/>
                <c:pt idx="0">
                  <c:v>Región IV</c:v>
                </c:pt>
              </c:strCache>
            </c:strRef>
          </c:tx>
          <c:spPr>
            <a:solidFill>
              <a:srgbClr val="FFC000"/>
            </a:solidFill>
          </c:spPr>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15</c:v>
                </c:pt>
              </c:numCache>
            </c:numRef>
          </c:val>
        </c:ser>
        <c:ser>
          <c:idx val="5"/>
          <c:order val="5"/>
          <c:tx>
            <c:strRef>
              <c:f>'NA.Cant. accid x región'!$G$3</c:f>
              <c:strCache>
                <c:ptCount val="1"/>
                <c:pt idx="0">
                  <c:v>Región V</c:v>
                </c:pt>
              </c:strCache>
            </c:strRef>
          </c:tx>
          <c:spPr>
            <a:solidFill>
              <a:schemeClr val="accent5"/>
            </a:solidFill>
          </c:spPr>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509</c:v>
                </c:pt>
              </c:numCache>
            </c:numRef>
          </c:val>
        </c:ser>
        <c:ser>
          <c:idx val="6"/>
          <c:order val="6"/>
          <c:tx>
            <c:strRef>
              <c:f>'NA.Cant. accid x región'!$H$3</c:f>
              <c:strCache>
                <c:ptCount val="1"/>
                <c:pt idx="0">
                  <c:v>Región VI</c:v>
                </c:pt>
              </c:strCache>
            </c:strRef>
          </c:tx>
          <c:spPr>
            <a:solidFill>
              <a:srgbClr val="00FF99"/>
            </a:solidFill>
          </c:spPr>
          <c:invertIfNegative val="0"/>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39</c:v>
                </c:pt>
              </c:numCache>
            </c:numRef>
          </c:val>
        </c:ser>
        <c:ser>
          <c:idx val="7"/>
          <c:order val="7"/>
          <c:tx>
            <c:strRef>
              <c:f>'NA.Cant.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214</c:v>
                </c:pt>
              </c:numCache>
            </c:numRef>
          </c:val>
        </c:ser>
        <c:ser>
          <c:idx val="8"/>
          <c:order val="8"/>
          <c:tx>
            <c:strRef>
              <c:f>'NA.Cant. accid x región'!$J$3</c:f>
              <c:strCache>
                <c:ptCount val="1"/>
                <c:pt idx="0">
                  <c:v>Región VIII</c:v>
                </c:pt>
              </c:strCache>
            </c:strRef>
          </c:tx>
          <c:invertIfNegative val="0"/>
          <c:dLbls>
            <c:dLbl>
              <c:idx val="0"/>
              <c:layout>
                <c:manualLayout>
                  <c:x val="2.6733416316933871E-2"/>
                  <c:y val="6.7004540263373288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997049994503072E-2"/>
                  <c:y val="7.0107314208895724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3.2489364419685404E-2"/>
                  <c:y val="-1.7700274628529877E-3"/>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7266136266932093E-2"/>
                  <c:y val="-2.8014489656503416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65956767082691381"/>
                  <c:y val="-7.3400590127222595E-2"/>
                </c:manualLayout>
              </c:layout>
              <c:tx>
                <c:rich>
                  <a:bodyPr/>
                  <a:lstStyle/>
                  <a:p>
                    <a:r>
                      <a:rPr lang="en-US" sz="1600"/>
                      <a:t> 2,248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7245821983798526"/>
                  <c:y val="5.955142217869003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73412368"/>
        <c:axId val="373412760"/>
        <c:axId val="0"/>
      </c:bar3DChart>
      <c:catAx>
        <c:axId val="373412368"/>
        <c:scaling>
          <c:orientation val="minMax"/>
        </c:scaling>
        <c:delete val="0"/>
        <c:axPos val="l"/>
        <c:numFmt formatCode="General" sourceLinked="1"/>
        <c:majorTickMark val="none"/>
        <c:minorTickMark val="none"/>
        <c:tickLblPos val="nextTo"/>
        <c:txPr>
          <a:bodyPr/>
          <a:lstStyle/>
          <a:p>
            <a:pPr>
              <a:defRPr sz="1600"/>
            </a:pPr>
            <a:endParaRPr lang="es-ES"/>
          </a:p>
        </c:txPr>
        <c:crossAx val="373412760"/>
        <c:crosses val="autoZero"/>
        <c:auto val="1"/>
        <c:lblAlgn val="ctr"/>
        <c:lblOffset val="100"/>
        <c:noMultiLvlLbl val="0"/>
      </c:catAx>
      <c:valAx>
        <c:axId val="373412760"/>
        <c:scaling>
          <c:orientation val="minMax"/>
        </c:scaling>
        <c:delete val="1"/>
        <c:axPos val="b"/>
        <c:numFmt formatCode="_(* #,##0_);_(* \(#,##0\);_(* &quot;-&quot;??_);_(@_)" sourceLinked="1"/>
        <c:majorTickMark val="out"/>
        <c:minorTickMark val="none"/>
        <c:tickLblPos val="nextTo"/>
        <c:crossAx val="373412368"/>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a:p>
            <a:pPr>
              <a:defRPr/>
            </a:pPr>
            <a:r>
              <a:rPr lang="es-DO" sz="1800" b="1">
                <a:effectLst/>
              </a:rPr>
              <a:t>Período: 2005 - Enero 2015</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 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 NA.Cant. accid x Prov.'!$N$4:$N$35</c:f>
              <c:numCache>
                <c:formatCode>_(* #,##0_);_(* \(#,##0\);_(* "-"??_);_(@_)</c:formatCode>
                <c:ptCount val="32"/>
                <c:pt idx="0">
                  <c:v>17800</c:v>
                </c:pt>
                <c:pt idx="1">
                  <c:v>831</c:v>
                </c:pt>
                <c:pt idx="2">
                  <c:v>250</c:v>
                </c:pt>
                <c:pt idx="3">
                  <c:v>1521</c:v>
                </c:pt>
                <c:pt idx="4">
                  <c:v>586</c:v>
                </c:pt>
                <c:pt idx="5">
                  <c:v>59537</c:v>
                </c:pt>
                <c:pt idx="6">
                  <c:v>2213</c:v>
                </c:pt>
                <c:pt idx="7">
                  <c:v>215</c:v>
                </c:pt>
                <c:pt idx="8">
                  <c:v>357</c:v>
                </c:pt>
                <c:pt idx="9">
                  <c:v>2284</c:v>
                </c:pt>
                <c:pt idx="10">
                  <c:v>951</c:v>
                </c:pt>
                <c:pt idx="11">
                  <c:v>255</c:v>
                </c:pt>
                <c:pt idx="12">
                  <c:v>10435</c:v>
                </c:pt>
                <c:pt idx="13">
                  <c:v>3717</c:v>
                </c:pt>
                <c:pt idx="14">
                  <c:v>1166</c:v>
                </c:pt>
                <c:pt idx="15">
                  <c:v>2104</c:v>
                </c:pt>
                <c:pt idx="16">
                  <c:v>456</c:v>
                </c:pt>
                <c:pt idx="17">
                  <c:v>869</c:v>
                </c:pt>
                <c:pt idx="18">
                  <c:v>690</c:v>
                </c:pt>
                <c:pt idx="19">
                  <c:v>1261</c:v>
                </c:pt>
                <c:pt idx="20">
                  <c:v>6663</c:v>
                </c:pt>
                <c:pt idx="21">
                  <c:v>637</c:v>
                </c:pt>
                <c:pt idx="22">
                  <c:v>611</c:v>
                </c:pt>
                <c:pt idx="23">
                  <c:v>4927</c:v>
                </c:pt>
                <c:pt idx="24">
                  <c:v>11</c:v>
                </c:pt>
                <c:pt idx="25">
                  <c:v>1138</c:v>
                </c:pt>
                <c:pt idx="26">
                  <c:v>4758</c:v>
                </c:pt>
                <c:pt idx="27">
                  <c:v>1052</c:v>
                </c:pt>
                <c:pt idx="28">
                  <c:v>34023</c:v>
                </c:pt>
                <c:pt idx="29">
                  <c:v>740</c:v>
                </c:pt>
                <c:pt idx="30">
                  <c:v>7859</c:v>
                </c:pt>
                <c:pt idx="31">
                  <c:v>2209</c:v>
                </c:pt>
              </c:numCache>
            </c:numRef>
          </c:val>
        </c:ser>
        <c:dLbls>
          <c:showLegendKey val="0"/>
          <c:showVal val="0"/>
          <c:showCatName val="0"/>
          <c:showSerName val="0"/>
          <c:showPercent val="0"/>
          <c:showBubbleSize val="0"/>
        </c:dLbls>
        <c:gapWidth val="14"/>
        <c:shape val="cylinder"/>
        <c:axId val="373413936"/>
        <c:axId val="373414328"/>
        <c:axId val="0"/>
      </c:bar3DChart>
      <c:catAx>
        <c:axId val="373413936"/>
        <c:scaling>
          <c:orientation val="minMax"/>
        </c:scaling>
        <c:delete val="0"/>
        <c:axPos val="b"/>
        <c:numFmt formatCode="General" sourceLinked="1"/>
        <c:majorTickMark val="none"/>
        <c:minorTickMark val="none"/>
        <c:tickLblPos val="nextTo"/>
        <c:crossAx val="373414328"/>
        <c:crosses val="autoZero"/>
        <c:auto val="1"/>
        <c:lblAlgn val="ctr"/>
        <c:lblOffset val="100"/>
        <c:noMultiLvlLbl val="0"/>
      </c:catAx>
      <c:valAx>
        <c:axId val="373414328"/>
        <c:scaling>
          <c:orientation val="minMax"/>
        </c:scaling>
        <c:delete val="1"/>
        <c:axPos val="l"/>
        <c:numFmt formatCode="_(* #,##0_);_(* \(#,##0\);_(* &quot;-&quot;??_);_(@_)" sourceLinked="1"/>
        <c:majorTickMark val="out"/>
        <c:minorTickMark val="none"/>
        <c:tickLblPos val="nextTo"/>
        <c:crossAx val="37341393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2328972840589E-4"/>
          <c:y val="0.23221728893874299"/>
          <c:w val="0.9859363815899691"/>
          <c:h val="0.63812149422948194"/>
        </c:manualLayout>
      </c:layout>
      <c:bar3DChart>
        <c:barDir val="col"/>
        <c:grouping val="clustered"/>
        <c:varyColors val="0"/>
        <c:ser>
          <c:idx val="0"/>
          <c:order val="0"/>
          <c:tx>
            <c:strRef>
              <c:f>' 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a:lstStyle/>
                <a:p>
                  <a:pPr>
                    <a:defRPr sz="1200" b="1">
                      <a:solidFill>
                        <a:srgbClr val="0000FF"/>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0.1396797153024911</c:v>
                </c:pt>
              </c:numCache>
            </c:numRef>
          </c:val>
        </c:ser>
        <c:ser>
          <c:idx val="1"/>
          <c:order val="1"/>
          <c:tx>
            <c:strRef>
              <c:f>' 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a:lstStyle/>
                <a:p>
                  <a:pPr>
                    <a:defRPr sz="14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0.86032028469750887</c:v>
                </c:pt>
              </c:numCache>
            </c:numRef>
          </c:val>
        </c:ser>
        <c:ser>
          <c:idx val="2"/>
          <c:order val="2"/>
          <c:tx>
            <c:strRef>
              <c:f>' 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a:lstStyle/>
                <a:p>
                  <a:pPr>
                    <a:defRPr sz="1400" b="1">
                      <a:solidFill>
                        <a:schemeClr val="accent6">
                          <a:lumMod val="75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 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0</c:v>
                </c:pt>
              </c:numCache>
            </c:numRef>
          </c:val>
        </c:ser>
        <c:dLbls>
          <c:showLegendKey val="0"/>
          <c:showVal val="0"/>
          <c:showCatName val="0"/>
          <c:showSerName val="0"/>
          <c:showPercent val="0"/>
          <c:showBubbleSize val="0"/>
        </c:dLbls>
        <c:gapWidth val="75"/>
        <c:shape val="cylinder"/>
        <c:axId val="373414720"/>
        <c:axId val="373415112"/>
        <c:axId val="0"/>
      </c:bar3DChart>
      <c:catAx>
        <c:axId val="373414720"/>
        <c:scaling>
          <c:orientation val="minMax"/>
        </c:scaling>
        <c:delete val="0"/>
        <c:axPos val="b"/>
        <c:numFmt formatCode="General" sourceLinked="1"/>
        <c:majorTickMark val="none"/>
        <c:minorTickMark val="none"/>
        <c:tickLblPos val="nextTo"/>
        <c:txPr>
          <a:bodyPr/>
          <a:lstStyle/>
          <a:p>
            <a:pPr>
              <a:defRPr sz="1200"/>
            </a:pPr>
            <a:endParaRPr lang="es-ES"/>
          </a:p>
        </c:txPr>
        <c:crossAx val="373415112"/>
        <c:crosses val="autoZero"/>
        <c:auto val="1"/>
        <c:lblAlgn val="ctr"/>
        <c:lblOffset val="100"/>
        <c:noMultiLvlLbl val="0"/>
      </c:catAx>
      <c:valAx>
        <c:axId val="373415112"/>
        <c:scaling>
          <c:orientation val="minMax"/>
        </c:scaling>
        <c:delete val="1"/>
        <c:axPos val="l"/>
        <c:numFmt formatCode="0.0%" sourceLinked="1"/>
        <c:majorTickMark val="out"/>
        <c:minorTickMark val="none"/>
        <c:tickLblPos val="nextTo"/>
        <c:crossAx val="373414720"/>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348</c:v>
                </c:pt>
              </c:numCache>
            </c:numRef>
          </c:val>
        </c:ser>
        <c:ser>
          <c:idx val="1"/>
          <c:order val="1"/>
          <c:tx>
            <c:strRef>
              <c:f>'NA.Cant.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1900</c:v>
                </c:pt>
              </c:numCache>
            </c:numRef>
          </c:val>
        </c:ser>
        <c:dLbls>
          <c:showLegendKey val="0"/>
          <c:showVal val="0"/>
          <c:showCatName val="0"/>
          <c:showSerName val="0"/>
          <c:showPercent val="0"/>
          <c:showBubbleSize val="0"/>
        </c:dLbls>
        <c:gapWidth val="37"/>
        <c:shape val="cylinder"/>
        <c:axId val="373415896"/>
        <c:axId val="373416288"/>
        <c:axId val="0"/>
      </c:bar3DChart>
      <c:catAx>
        <c:axId val="373415896"/>
        <c:scaling>
          <c:orientation val="minMax"/>
        </c:scaling>
        <c:delete val="0"/>
        <c:axPos val="b"/>
        <c:numFmt formatCode="General" sourceLinked="1"/>
        <c:majorTickMark val="none"/>
        <c:minorTickMark val="none"/>
        <c:tickLblPos val="nextTo"/>
        <c:txPr>
          <a:bodyPr/>
          <a:lstStyle/>
          <a:p>
            <a:pPr>
              <a:defRPr sz="1100"/>
            </a:pPr>
            <a:endParaRPr lang="es-ES"/>
          </a:p>
        </c:txPr>
        <c:crossAx val="373416288"/>
        <c:crosses val="autoZero"/>
        <c:auto val="1"/>
        <c:lblAlgn val="ctr"/>
        <c:lblOffset val="100"/>
        <c:noMultiLvlLbl val="0"/>
      </c:catAx>
      <c:valAx>
        <c:axId val="373416288"/>
        <c:scaling>
          <c:orientation val="minMax"/>
        </c:scaling>
        <c:delete val="1"/>
        <c:axPos val="l"/>
        <c:numFmt formatCode="_(* #,##0_);_(* \(#,##0\);_(* &quot;-&quot;??_);_(@_)" sourceLinked="1"/>
        <c:majorTickMark val="out"/>
        <c:minorTickMark val="none"/>
        <c:tickLblPos val="nextTo"/>
        <c:crossAx val="373415896"/>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740885665060473"/>
          <c:h val="0.62616526550887475"/>
        </c:manualLayout>
      </c:layout>
      <c:bar3DChart>
        <c:barDir val="col"/>
        <c:grouping val="clustered"/>
        <c:varyColors val="0"/>
        <c:ser>
          <c:idx val="0"/>
          <c:order val="0"/>
          <c:tx>
            <c:strRef>
              <c:f>'Accid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0.26912811387900354</c:v>
                </c:pt>
              </c:numCache>
            </c:numRef>
          </c:val>
        </c:ser>
        <c:ser>
          <c:idx val="1"/>
          <c:order val="1"/>
          <c:tx>
            <c:strRef>
              <c:f>'Accid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0.73087188612099641</c:v>
                </c:pt>
              </c:numCache>
            </c:numRef>
          </c:val>
        </c:ser>
        <c:dLbls>
          <c:showLegendKey val="0"/>
          <c:showVal val="0"/>
          <c:showCatName val="0"/>
          <c:showSerName val="0"/>
          <c:showPercent val="0"/>
          <c:showBubbleSize val="0"/>
        </c:dLbls>
        <c:gapWidth val="56"/>
        <c:shape val="cylinder"/>
        <c:axId val="373417072"/>
        <c:axId val="373417464"/>
        <c:axId val="0"/>
      </c:bar3DChart>
      <c:catAx>
        <c:axId val="373417072"/>
        <c:scaling>
          <c:orientation val="minMax"/>
        </c:scaling>
        <c:delete val="0"/>
        <c:axPos val="b"/>
        <c:numFmt formatCode="General" sourceLinked="1"/>
        <c:majorTickMark val="none"/>
        <c:minorTickMark val="none"/>
        <c:tickLblPos val="nextTo"/>
        <c:txPr>
          <a:bodyPr/>
          <a:lstStyle/>
          <a:p>
            <a:pPr>
              <a:defRPr sz="1200"/>
            </a:pPr>
            <a:endParaRPr lang="es-ES"/>
          </a:p>
        </c:txPr>
        <c:crossAx val="373417464"/>
        <c:crosses val="autoZero"/>
        <c:auto val="1"/>
        <c:lblAlgn val="ctr"/>
        <c:lblOffset val="100"/>
        <c:noMultiLvlLbl val="0"/>
      </c:catAx>
      <c:valAx>
        <c:axId val="373417464"/>
        <c:scaling>
          <c:orientation val="minMax"/>
        </c:scaling>
        <c:delete val="1"/>
        <c:axPos val="l"/>
        <c:numFmt formatCode="0.0%" sourceLinked="1"/>
        <c:majorTickMark val="out"/>
        <c:minorTickMark val="none"/>
        <c:tickLblPos val="nextTo"/>
        <c:crossAx val="373417072"/>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Afiliación  al Seguro Familiar de Salud por  Sexo </a:t>
            </a:r>
          </a:p>
        </c:rich>
      </c:tx>
      <c:layout>
        <c:manualLayout>
          <c:xMode val="edge"/>
          <c:yMode val="edge"/>
          <c:x val="0.37748691313582833"/>
          <c:y val="4.937347415500571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2.0774314876999427E-3"/>
          <c:y val="0.12134709685668472"/>
          <c:w val="0.98476550242353378"/>
          <c:h val="0.78982623496050175"/>
        </c:manualLayout>
      </c:layout>
      <c:bar3DChart>
        <c:barDir val="col"/>
        <c:grouping val="standard"/>
        <c:varyColors val="0"/>
        <c:ser>
          <c:idx val="0"/>
          <c:order val="0"/>
          <c:tx>
            <c:strRef>
              <c:f>'Afil.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 x sexo'!$A$6:$A$16</c:f>
              <c:strCache>
                <c:ptCount val="9"/>
                <c:pt idx="0">
                  <c:v>Dic. 2007</c:v>
                </c:pt>
                <c:pt idx="1">
                  <c:v>Dic. 2008</c:v>
                </c:pt>
                <c:pt idx="2">
                  <c:v>Dic. 2009</c:v>
                </c:pt>
                <c:pt idx="3">
                  <c:v>Dic. 2010</c:v>
                </c:pt>
                <c:pt idx="4">
                  <c:v>Dic. 2011</c:v>
                </c:pt>
                <c:pt idx="5">
                  <c:v>Dic. 2012</c:v>
                </c:pt>
                <c:pt idx="6">
                  <c:v>Dic. 2013</c:v>
                </c:pt>
                <c:pt idx="7">
                  <c:v>Dic. 2014</c:v>
                </c:pt>
                <c:pt idx="8">
                  <c:v>Ene.2015</c:v>
                </c:pt>
              </c:strCache>
            </c:strRef>
          </c:cat>
          <c:val>
            <c:numRef>
              <c:f>'Afil. SFS x sexo'!$F$6:$F$16</c:f>
              <c:numCache>
                <c:formatCode>#,##0</c:formatCode>
                <c:ptCount val="9"/>
                <c:pt idx="0">
                  <c:v>1272336</c:v>
                </c:pt>
                <c:pt idx="1">
                  <c:v>1435840</c:v>
                </c:pt>
                <c:pt idx="2">
                  <c:v>1694508</c:v>
                </c:pt>
                <c:pt idx="3">
                  <c:v>2114818</c:v>
                </c:pt>
                <c:pt idx="4">
                  <c:v>2178632</c:v>
                </c:pt>
                <c:pt idx="5">
                  <c:v>2392114</c:v>
                </c:pt>
                <c:pt idx="6">
                  <c:v>2705829</c:v>
                </c:pt>
                <c:pt idx="7">
                  <c:v>2978843</c:v>
                </c:pt>
                <c:pt idx="8">
                  <c:v>2978247</c:v>
                </c:pt>
              </c:numCache>
            </c:numRef>
          </c:val>
        </c:ser>
        <c:ser>
          <c:idx val="1"/>
          <c:order val="1"/>
          <c:tx>
            <c:strRef>
              <c:f>'Afil. SFS x sexo'!$G$5</c:f>
              <c:strCache>
                <c:ptCount val="1"/>
                <c:pt idx="0">
                  <c:v>Mujeres</c:v>
                </c:pt>
              </c:strCache>
            </c:strRef>
          </c:tx>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 x sexo'!$A$6:$A$16</c:f>
              <c:strCache>
                <c:ptCount val="9"/>
                <c:pt idx="0">
                  <c:v>Dic. 2007</c:v>
                </c:pt>
                <c:pt idx="1">
                  <c:v>Dic. 2008</c:v>
                </c:pt>
                <c:pt idx="2">
                  <c:v>Dic. 2009</c:v>
                </c:pt>
                <c:pt idx="3">
                  <c:v>Dic. 2010</c:v>
                </c:pt>
                <c:pt idx="4">
                  <c:v>Dic. 2011</c:v>
                </c:pt>
                <c:pt idx="5">
                  <c:v>Dic. 2012</c:v>
                </c:pt>
                <c:pt idx="6">
                  <c:v>Dic. 2013</c:v>
                </c:pt>
                <c:pt idx="7">
                  <c:v>Dic. 2014</c:v>
                </c:pt>
                <c:pt idx="8">
                  <c:v>Ene.2015</c:v>
                </c:pt>
              </c:strCache>
            </c:strRef>
          </c:cat>
          <c:val>
            <c:numRef>
              <c:f>'Afil. SFS x sexo'!$G$6:$G$16</c:f>
              <c:numCache>
                <c:formatCode>#,##0</c:formatCode>
                <c:ptCount val="9"/>
                <c:pt idx="0">
                  <c:v>1286781</c:v>
                </c:pt>
                <c:pt idx="1">
                  <c:v>1481062</c:v>
                </c:pt>
                <c:pt idx="2">
                  <c:v>1798016</c:v>
                </c:pt>
                <c:pt idx="3">
                  <c:v>2263051</c:v>
                </c:pt>
                <c:pt idx="4">
                  <c:v>2342218</c:v>
                </c:pt>
                <c:pt idx="5">
                  <c:v>2599648</c:v>
                </c:pt>
                <c:pt idx="6">
                  <c:v>2946900</c:v>
                </c:pt>
                <c:pt idx="7">
                  <c:v>3178402</c:v>
                </c:pt>
                <c:pt idx="8">
                  <c:v>3178103</c:v>
                </c:pt>
              </c:numCache>
            </c:numRef>
          </c:val>
        </c:ser>
        <c:ser>
          <c:idx val="2"/>
          <c:order val="2"/>
          <c:tx>
            <c:strRef>
              <c:f>'Afil.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'Afil. SFS x sexo'!$A$6:$A$16</c:f>
              <c:strCache>
                <c:ptCount val="9"/>
                <c:pt idx="0">
                  <c:v>Dic. 2007</c:v>
                </c:pt>
                <c:pt idx="1">
                  <c:v>Dic. 2008</c:v>
                </c:pt>
                <c:pt idx="2">
                  <c:v>Dic. 2009</c:v>
                </c:pt>
                <c:pt idx="3">
                  <c:v>Dic. 2010</c:v>
                </c:pt>
                <c:pt idx="4">
                  <c:v>Dic. 2011</c:v>
                </c:pt>
                <c:pt idx="5">
                  <c:v>Dic. 2012</c:v>
                </c:pt>
                <c:pt idx="6">
                  <c:v>Dic. 2013</c:v>
                </c:pt>
                <c:pt idx="7">
                  <c:v>Dic. 2014</c:v>
                </c:pt>
                <c:pt idx="8">
                  <c:v>Ene.2015</c:v>
                </c:pt>
              </c:strCache>
            </c:strRef>
          </c:cat>
          <c:val>
            <c:numRef>
              <c:f>'Afil. SFS x sexo'!$H$6:$H$16</c:f>
              <c:numCache>
                <c:formatCode>#,##0</c:formatCode>
                <c:ptCount val="9"/>
                <c:pt idx="0">
                  <c:v>2559117</c:v>
                </c:pt>
                <c:pt idx="1">
                  <c:v>2916902</c:v>
                </c:pt>
                <c:pt idx="2">
                  <c:v>3492524</c:v>
                </c:pt>
                <c:pt idx="3">
                  <c:v>4377869</c:v>
                </c:pt>
                <c:pt idx="4">
                  <c:v>4520850</c:v>
                </c:pt>
                <c:pt idx="5">
                  <c:v>4991762</c:v>
                </c:pt>
                <c:pt idx="6">
                  <c:v>5652729</c:v>
                </c:pt>
                <c:pt idx="7">
                  <c:v>6157245</c:v>
                </c:pt>
                <c:pt idx="8">
                  <c:v>6156350</c:v>
                </c:pt>
              </c:numCache>
            </c:numRef>
          </c:val>
        </c:ser>
        <c:dLbls>
          <c:showLegendKey val="0"/>
          <c:showVal val="0"/>
          <c:showCatName val="0"/>
          <c:showSerName val="0"/>
          <c:showPercent val="0"/>
          <c:showBubbleSize val="0"/>
        </c:dLbls>
        <c:gapWidth val="75"/>
        <c:shape val="box"/>
        <c:axId val="308804808"/>
        <c:axId val="308805200"/>
        <c:axId val="298072472"/>
      </c:bar3DChart>
      <c:catAx>
        <c:axId val="308804808"/>
        <c:scaling>
          <c:orientation val="minMax"/>
        </c:scaling>
        <c:delete val="0"/>
        <c:axPos val="b"/>
        <c:numFmt formatCode="General" sourceLinked="0"/>
        <c:majorTickMark val="none"/>
        <c:minorTickMark val="none"/>
        <c:tickLblPos val="nextTo"/>
        <c:txPr>
          <a:bodyPr/>
          <a:lstStyle/>
          <a:p>
            <a:pPr>
              <a:defRPr sz="1200"/>
            </a:pPr>
            <a:endParaRPr lang="es-ES"/>
          </a:p>
        </c:txPr>
        <c:crossAx val="308805200"/>
        <c:crosses val="autoZero"/>
        <c:auto val="1"/>
        <c:lblAlgn val="ctr"/>
        <c:lblOffset val="100"/>
        <c:noMultiLvlLbl val="0"/>
      </c:catAx>
      <c:valAx>
        <c:axId val="308805200"/>
        <c:scaling>
          <c:orientation val="minMax"/>
        </c:scaling>
        <c:delete val="1"/>
        <c:axPos val="l"/>
        <c:numFmt formatCode="#,##0" sourceLinked="1"/>
        <c:majorTickMark val="none"/>
        <c:minorTickMark val="none"/>
        <c:tickLblPos val="nextTo"/>
        <c:crossAx val="308804808"/>
        <c:crosses val="autoZero"/>
        <c:crossBetween val="between"/>
      </c:valAx>
      <c:serAx>
        <c:axId val="298072472"/>
        <c:scaling>
          <c:orientation val="minMax"/>
        </c:scaling>
        <c:delete val="1"/>
        <c:axPos val="b"/>
        <c:majorTickMark val="out"/>
        <c:minorTickMark val="none"/>
        <c:tickLblPos val="nextTo"/>
        <c:crossAx val="308805200"/>
        <c:crosses val="autoZero"/>
      </c:serAx>
    </c:plotArea>
    <c:legend>
      <c:legendPos val="t"/>
      <c:layout>
        <c:manualLayout>
          <c:xMode val="edge"/>
          <c:yMode val="edge"/>
          <c:x val="0.43737495539111193"/>
          <c:y val="0.10968459831622632"/>
          <c:w val="0.14449642869897991"/>
          <c:h val="3.1433041329334353E-2"/>
        </c:manualLayout>
      </c:layout>
      <c:overlay val="0"/>
      <c:txPr>
        <a:bodyPr/>
        <a:lstStyle/>
        <a:p>
          <a:pPr>
            <a:defRPr sz="14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15</c:v>
                </c:pt>
              </c:numCache>
            </c:numRef>
          </c:val>
        </c:ser>
        <c:ser>
          <c:idx val="1"/>
          <c:order val="1"/>
          <c:tx>
            <c:strRef>
              <c:f>'Accid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809</c:v>
                </c:pt>
              </c:numCache>
            </c:numRef>
          </c:val>
        </c:ser>
        <c:ser>
          <c:idx val="2"/>
          <c:order val="2"/>
          <c:tx>
            <c:strRef>
              <c:f>'Accid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676</c:v>
                </c:pt>
              </c:numCache>
            </c:numRef>
          </c:val>
        </c:ser>
        <c:ser>
          <c:idx val="3"/>
          <c:order val="3"/>
          <c:tx>
            <c:strRef>
              <c:f>'Accid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411</c:v>
                </c:pt>
              </c:numCache>
            </c:numRef>
          </c:val>
        </c:ser>
        <c:ser>
          <c:idx val="4"/>
          <c:order val="4"/>
          <c:tx>
            <c:strRef>
              <c:f>'Accid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239</c:v>
                </c:pt>
              </c:numCache>
            </c:numRef>
          </c:val>
        </c:ser>
        <c:ser>
          <c:idx val="5"/>
          <c:order val="5"/>
          <c:tx>
            <c:strRef>
              <c:f>'Accid x rango de edad'!$G$3</c:f>
              <c:strCache>
                <c:ptCount val="1"/>
                <c:pt idx="0">
                  <c:v>Mayor de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Ene.2015</c:v>
                </c:pt>
              </c:strCache>
            </c:strRef>
          </c:cat>
          <c:val>
            <c:numRef>
              <c:f>'Accid x rango de edad'!$G$4:$G$14</c:f>
              <c:numCache>
                <c:formatCode>_(* #,##0_);_(* \(#,##0\);_(* "-"??_);_(@_)</c:formatCode>
                <c:ptCount val="11"/>
                <c:pt idx="0">
                  <c:v>275</c:v>
                </c:pt>
                <c:pt idx="1">
                  <c:v>371</c:v>
                </c:pt>
                <c:pt idx="2">
                  <c:v>571</c:v>
                </c:pt>
                <c:pt idx="3">
                  <c:v>1053</c:v>
                </c:pt>
                <c:pt idx="4">
                  <c:v>1181</c:v>
                </c:pt>
                <c:pt idx="5">
                  <c:v>1289</c:v>
                </c:pt>
                <c:pt idx="6">
                  <c:v>1609</c:v>
                </c:pt>
                <c:pt idx="7">
                  <c:v>1845</c:v>
                </c:pt>
                <c:pt idx="8">
                  <c:v>1840</c:v>
                </c:pt>
                <c:pt idx="9">
                  <c:v>2377</c:v>
                </c:pt>
                <c:pt idx="10">
                  <c:v>98</c:v>
                </c:pt>
              </c:numCache>
            </c:numRef>
          </c:val>
        </c:ser>
        <c:dLbls>
          <c:showLegendKey val="0"/>
          <c:showVal val="0"/>
          <c:showCatName val="0"/>
          <c:showSerName val="0"/>
          <c:showPercent val="0"/>
          <c:showBubbleSize val="0"/>
        </c:dLbls>
        <c:gapWidth val="19"/>
        <c:overlap val="100"/>
        <c:axId val="373418248"/>
        <c:axId val="373418640"/>
      </c:barChart>
      <c:catAx>
        <c:axId val="373418248"/>
        <c:scaling>
          <c:orientation val="minMax"/>
        </c:scaling>
        <c:delete val="0"/>
        <c:axPos val="l"/>
        <c:numFmt formatCode="General" sourceLinked="1"/>
        <c:majorTickMark val="none"/>
        <c:minorTickMark val="none"/>
        <c:tickLblPos val="nextTo"/>
        <c:crossAx val="373418640"/>
        <c:crosses val="autoZero"/>
        <c:auto val="1"/>
        <c:lblAlgn val="ctr"/>
        <c:lblOffset val="100"/>
        <c:noMultiLvlLbl val="0"/>
      </c:catAx>
      <c:valAx>
        <c:axId val="373418640"/>
        <c:scaling>
          <c:orientation val="minMax"/>
        </c:scaling>
        <c:delete val="1"/>
        <c:axPos val="b"/>
        <c:numFmt formatCode="_(* #,##0_);_(* \(#,##0\);_(* &quot;-&quot;??_);_(@_)" sourceLinked="1"/>
        <c:majorTickMark val="out"/>
        <c:minorTickMark val="none"/>
        <c:tickLblPos val="nextTo"/>
        <c:crossAx val="37341824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Reporte de Accidentes</a:t>
            </a:r>
            <a:r>
              <a:rPr lang="es-ES" baseline="0"/>
              <a:t> Laborales y Enfermedades Profesionales por Nivel de Escolaridad</a:t>
            </a:r>
          </a:p>
          <a:p>
            <a:pPr>
              <a:defRPr/>
            </a:pPr>
            <a:r>
              <a:rPr lang="es-ES" baseline="0"/>
              <a:t>Enero 2015</a:t>
            </a:r>
            <a:endParaRPr lang="es-ES"/>
          </a:p>
        </c:rich>
      </c:tx>
      <c:layout>
        <c:manualLayout>
          <c:xMode val="edge"/>
          <c:yMode val="edge"/>
          <c:x val="0.14151295442331582"/>
          <c:y val="3.1759443764013358E-2"/>
        </c:manualLayout>
      </c:layout>
      <c:overlay val="0"/>
    </c:title>
    <c:autoTitleDeleted val="0"/>
    <c:view3D>
      <c:rotX val="50"/>
      <c:rotY val="50"/>
      <c:rAngAx val="0"/>
    </c:view3D>
    <c:floor>
      <c:thickness val="0"/>
    </c:floor>
    <c:sideWall>
      <c:thickness val="0"/>
    </c:sideWall>
    <c:backWall>
      <c:thickness val="0"/>
    </c:backWall>
    <c:plotArea>
      <c:layout>
        <c:manualLayout>
          <c:layoutTarget val="inner"/>
          <c:xMode val="edge"/>
          <c:yMode val="edge"/>
          <c:x val="7.4278479757570071E-2"/>
          <c:y val="0.17653337507123443"/>
          <c:w val="0.79469203113304221"/>
          <c:h val="0.73095573419037252"/>
        </c:manualLayout>
      </c:layout>
      <c:pie3DChart>
        <c:varyColors val="1"/>
        <c:ser>
          <c:idx val="0"/>
          <c:order val="0"/>
          <c:explosion val="25"/>
          <c:dPt>
            <c:idx val="0"/>
            <c:bubble3D val="0"/>
            <c:explosion val="51"/>
          </c:dPt>
          <c:dPt>
            <c:idx val="1"/>
            <c:bubble3D val="0"/>
          </c:dPt>
          <c:dPt>
            <c:idx val="2"/>
            <c:bubble3D val="0"/>
          </c:dPt>
          <c:dPt>
            <c:idx val="3"/>
            <c:bubble3D val="0"/>
          </c:dPt>
          <c:dLbls>
            <c:dLbl>
              <c:idx val="0"/>
              <c:tx>
                <c:rich>
                  <a:bodyPr/>
                  <a:lstStyle/>
                  <a:p>
                    <a:fld id="{1EE65417-B2CB-4593-80E2-801E0EAD7E96}" type="CATEGORYNAME">
                      <a:rPr lang="en-US"/>
                      <a:pPr/>
                      <a:t>[NOMBRE DE CATEGORÍA]</a:t>
                    </a:fld>
                    <a:endParaRPr lang="en-US"/>
                  </a:p>
                  <a:p>
                    <a:r>
                      <a:rPr lang="en-US" baseline="0"/>
                      <a:t> </a:t>
                    </a:r>
                    <a:fld id="{B7F31AAF-59EC-4B93-85A3-81742E631AD3}" type="VALUE">
                      <a:rPr lang="en-US" baseline="0"/>
                      <a:pPr/>
                      <a:t>[VALOR]</a:t>
                    </a:fld>
                    <a:r>
                      <a:rPr lang="en-US" baseline="0"/>
                      <a:t> </a:t>
                    </a:r>
                  </a:p>
                  <a:p>
                    <a:fld id="{BA09CD42-464C-4F53-BE8C-0F7125923169}" type="PERCENTAGE">
                      <a:rPr lang="en-US" baseline="0"/>
                      <a:pPr/>
                      <a:t>[PORCENTAJE]</a:t>
                    </a:fld>
                    <a:endParaRPr lang="es-ES"/>
                  </a:p>
                </c:rich>
              </c:tx>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7.4954163294853491E-3"/>
                  <c:y val="-3.3627646338367088E-2"/>
                </c:manualLayout>
              </c:layout>
              <c:tx>
                <c:rich>
                  <a:bodyPr/>
                  <a:lstStyle/>
                  <a:p>
                    <a:fld id="{A3768DF7-0E55-42D6-A428-6FC9E644DAE1}" type="CATEGORYNAME">
                      <a:rPr lang="en-US"/>
                      <a:pPr/>
                      <a:t>[NOMBRE DE CATEGORÍA]</a:t>
                    </a:fld>
                    <a:endParaRPr lang="en-US"/>
                  </a:p>
                  <a:p>
                    <a:r>
                      <a:rPr lang="en-US" baseline="0"/>
                      <a:t> </a:t>
                    </a:r>
                    <a:fld id="{DE15C0F9-EF5E-45FA-8862-FD0195EEC6BA}" type="VALUE">
                      <a:rPr lang="en-US" baseline="0"/>
                      <a:pPr/>
                      <a:t>[VALOR]</a:t>
                    </a:fld>
                    <a:r>
                      <a:rPr lang="en-US" baseline="0"/>
                      <a:t> </a:t>
                    </a:r>
                  </a:p>
                  <a:p>
                    <a:fld id="{DF93AAA6-E252-49C0-8B38-D36E4B8FEDF7}" type="PERCENTAGE">
                      <a:rPr lang="en-US" baseline="0"/>
                      <a:pPr/>
                      <a:t>[PORCENTAJE]</a:t>
                    </a:fld>
                    <a:endParaRPr lang="es-E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wrap="square" lIns="38100" tIns="19050" rIns="38100" bIns="19050" anchor="ctr">
                <a:spAutoFit/>
              </a:bodyPr>
              <a:lstStyle/>
              <a:p>
                <a:pPr>
                  <a:defRPr sz="1200"/>
                </a:pPr>
                <a:endParaRPr lang="es-ES"/>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'Accid x Escolaridad'!$B$3:$E$3</c:f>
              <c:strCache>
                <c:ptCount val="4"/>
                <c:pt idx="0">
                  <c:v>Ninguno</c:v>
                </c:pt>
                <c:pt idx="1">
                  <c:v>Básico</c:v>
                </c:pt>
                <c:pt idx="2">
                  <c:v>Medio</c:v>
                </c:pt>
                <c:pt idx="3">
                  <c:v>Superior</c:v>
                </c:pt>
              </c:strCache>
            </c:strRef>
          </c:cat>
          <c:val>
            <c:numRef>
              <c:f>'Accid x Escolaridad'!$B$15:$E$15</c:f>
              <c:numCache>
                <c:formatCode>_(* #,##0_);_(* \(#,##0\);_(* "-"??_);_(@_)</c:formatCode>
                <c:ptCount val="4"/>
                <c:pt idx="0">
                  <c:v>5315</c:v>
                </c:pt>
                <c:pt idx="1">
                  <c:v>55932</c:v>
                </c:pt>
                <c:pt idx="2">
                  <c:v>78206</c:v>
                </c:pt>
                <c:pt idx="3">
                  <c:v>15671</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 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x sector '!$A$7:$A$14</c:f>
              <c:strCache>
                <c:ptCount val="8"/>
                <c:pt idx="0">
                  <c:v>2008</c:v>
                </c:pt>
                <c:pt idx="1">
                  <c:v>2009</c:v>
                </c:pt>
                <c:pt idx="2">
                  <c:v>2010</c:v>
                </c:pt>
                <c:pt idx="3">
                  <c:v>2011</c:v>
                </c:pt>
                <c:pt idx="4">
                  <c:v>2012</c:v>
                </c:pt>
                <c:pt idx="5">
                  <c:v>2013</c:v>
                </c:pt>
                <c:pt idx="6">
                  <c:v>2014</c:v>
                </c:pt>
                <c:pt idx="7">
                  <c:v>Ene.2015</c:v>
                </c:pt>
              </c:strCache>
            </c:strRef>
          </c:cat>
          <c:val>
            <c:numRef>
              <c:f>' 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7.6481667476170905E-4</c:v>
                </c:pt>
              </c:numCache>
            </c:numRef>
          </c:val>
        </c:ser>
        <c:ser>
          <c:idx val="1"/>
          <c:order val="1"/>
          <c:tx>
            <c:strRef>
              <c:f>' 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x sector '!$A$7:$A$14</c:f>
              <c:strCache>
                <c:ptCount val="8"/>
                <c:pt idx="0">
                  <c:v>2008</c:v>
                </c:pt>
                <c:pt idx="1">
                  <c:v>2009</c:v>
                </c:pt>
                <c:pt idx="2">
                  <c:v>2010</c:v>
                </c:pt>
                <c:pt idx="3">
                  <c:v>2011</c:v>
                </c:pt>
                <c:pt idx="4">
                  <c:v>2012</c:v>
                </c:pt>
                <c:pt idx="5">
                  <c:v>2013</c:v>
                </c:pt>
                <c:pt idx="6">
                  <c:v>2014</c:v>
                </c:pt>
                <c:pt idx="7">
                  <c:v>Ene.2015</c:v>
                </c:pt>
              </c:strCache>
            </c:strRef>
          </c:cat>
          <c:val>
            <c:numRef>
              <c:f>' 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1.584028986063046E-3</c:v>
                </c:pt>
              </c:numCache>
            </c:numRef>
          </c:val>
        </c:ser>
        <c:dLbls>
          <c:showLegendKey val="0"/>
          <c:showVal val="0"/>
          <c:showCatName val="0"/>
          <c:showSerName val="0"/>
          <c:showPercent val="0"/>
          <c:showBubbleSize val="0"/>
        </c:dLbls>
        <c:gapWidth val="150"/>
        <c:shape val="cylinder"/>
        <c:axId val="373419816"/>
        <c:axId val="374306312"/>
        <c:axId val="0"/>
      </c:bar3DChart>
      <c:catAx>
        <c:axId val="373419816"/>
        <c:scaling>
          <c:orientation val="minMax"/>
        </c:scaling>
        <c:delete val="0"/>
        <c:axPos val="b"/>
        <c:numFmt formatCode="General" sourceLinked="1"/>
        <c:majorTickMark val="none"/>
        <c:minorTickMark val="none"/>
        <c:tickLblPos val="nextTo"/>
        <c:txPr>
          <a:bodyPr/>
          <a:lstStyle/>
          <a:p>
            <a:pPr>
              <a:defRPr sz="1200"/>
            </a:pPr>
            <a:endParaRPr lang="es-ES"/>
          </a:p>
        </c:txPr>
        <c:crossAx val="374306312"/>
        <c:crosses val="autoZero"/>
        <c:auto val="1"/>
        <c:lblAlgn val="ctr"/>
        <c:lblOffset val="100"/>
        <c:noMultiLvlLbl val="0"/>
      </c:catAx>
      <c:valAx>
        <c:axId val="374306312"/>
        <c:scaling>
          <c:orientation val="minMax"/>
        </c:scaling>
        <c:delete val="1"/>
        <c:axPos val="l"/>
        <c:numFmt formatCode="0.00%" sourceLinked="1"/>
        <c:majorTickMark val="out"/>
        <c:minorTickMark val="none"/>
        <c:tickLblPos val="nextTo"/>
        <c:crossAx val="37341981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18776714190194768"/>
          <c:w val="0.98020402053683875"/>
          <c:h val="0.68940111727023701"/>
        </c:manualLayout>
      </c:layout>
      <c:bar3DChart>
        <c:barDir val="col"/>
        <c:grouping val="clustered"/>
        <c:varyColors val="0"/>
        <c:ser>
          <c:idx val="0"/>
          <c:order val="0"/>
          <c:tx>
            <c:strRef>
              <c:f>'Accid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sexo.'!$A$4:$A$11</c:f>
              <c:strCache>
                <c:ptCount val="8"/>
                <c:pt idx="0">
                  <c:v>2008</c:v>
                </c:pt>
                <c:pt idx="1">
                  <c:v>2009</c:v>
                </c:pt>
                <c:pt idx="2">
                  <c:v>2010</c:v>
                </c:pt>
                <c:pt idx="3">
                  <c:v>2011</c:v>
                </c:pt>
                <c:pt idx="4">
                  <c:v>2012</c:v>
                </c:pt>
                <c:pt idx="5">
                  <c:v>2013</c:v>
                </c:pt>
                <c:pt idx="6">
                  <c:v>2014</c:v>
                </c:pt>
                <c:pt idx="7">
                  <c:v>Ene.2015</c:v>
                </c:pt>
              </c:strCache>
            </c:strRef>
          </c:cat>
          <c:val>
            <c:numRef>
              <c:f>'Accid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8.2612864354874227E-4</c:v>
                </c:pt>
              </c:numCache>
            </c:numRef>
          </c:val>
        </c:ser>
        <c:ser>
          <c:idx val="1"/>
          <c:order val="1"/>
          <c:tx>
            <c:strRef>
              <c:f>'Accid x sexo.'!$K$3</c:f>
              <c:strCache>
                <c:ptCount val="1"/>
                <c:pt idx="0">
                  <c:v>% Accidentados / Afiliados  Masculino</c:v>
                </c:pt>
              </c:strCache>
            </c:strRef>
          </c:tx>
          <c:spPr>
            <a:solidFill>
              <a:schemeClr val="accent3">
                <a:lumMod val="75000"/>
              </a:schemeClr>
            </a:solidFill>
          </c:spPr>
          <c:invertIfNegative val="0"/>
          <c:dLbls>
            <c:dLbl>
              <c:idx val="0"/>
              <c:layout>
                <c:manualLayout>
                  <c:x val="1.084052206862916E-2"/>
                  <c:y val="-1.754157107321423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20510576266E-2"/>
                  <c:y val="-1.096494860730351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454630258308744E-2"/>
                  <c:y val="-2.192437557114499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867609096099943E-2"/>
                  <c:y val="-2.4105424738619204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sexo.'!$A$4:$A$11</c:f>
              <c:strCache>
                <c:ptCount val="8"/>
                <c:pt idx="0">
                  <c:v>2008</c:v>
                </c:pt>
                <c:pt idx="1">
                  <c:v>2009</c:v>
                </c:pt>
                <c:pt idx="2">
                  <c:v>2010</c:v>
                </c:pt>
                <c:pt idx="3">
                  <c:v>2011</c:v>
                </c:pt>
                <c:pt idx="4">
                  <c:v>2012</c:v>
                </c:pt>
                <c:pt idx="5">
                  <c:v>2013</c:v>
                </c:pt>
                <c:pt idx="6">
                  <c:v>2014</c:v>
                </c:pt>
                <c:pt idx="7">
                  <c:v>Ene.2015</c:v>
                </c:pt>
              </c:strCache>
            </c:strRef>
          </c:cat>
          <c:val>
            <c:numRef>
              <c:f>'Accid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1.7804482094257621E-3</c:v>
                </c:pt>
              </c:numCache>
            </c:numRef>
          </c:val>
        </c:ser>
        <c:dLbls>
          <c:showLegendKey val="0"/>
          <c:showVal val="0"/>
          <c:showCatName val="0"/>
          <c:showSerName val="0"/>
          <c:showPercent val="0"/>
          <c:showBubbleSize val="0"/>
        </c:dLbls>
        <c:gapWidth val="150"/>
        <c:shape val="cylinder"/>
        <c:axId val="374307096"/>
        <c:axId val="374307488"/>
        <c:axId val="0"/>
      </c:bar3DChart>
      <c:catAx>
        <c:axId val="374307096"/>
        <c:scaling>
          <c:orientation val="minMax"/>
        </c:scaling>
        <c:delete val="0"/>
        <c:axPos val="b"/>
        <c:numFmt formatCode="General" sourceLinked="1"/>
        <c:majorTickMark val="none"/>
        <c:minorTickMark val="none"/>
        <c:tickLblPos val="nextTo"/>
        <c:txPr>
          <a:bodyPr/>
          <a:lstStyle/>
          <a:p>
            <a:pPr>
              <a:defRPr sz="1100"/>
            </a:pPr>
            <a:endParaRPr lang="es-ES"/>
          </a:p>
        </c:txPr>
        <c:crossAx val="374307488"/>
        <c:crosses val="autoZero"/>
        <c:auto val="1"/>
        <c:lblAlgn val="ctr"/>
        <c:lblOffset val="100"/>
        <c:noMultiLvlLbl val="0"/>
      </c:catAx>
      <c:valAx>
        <c:axId val="374307488"/>
        <c:scaling>
          <c:orientation val="minMax"/>
        </c:scaling>
        <c:delete val="1"/>
        <c:axPos val="l"/>
        <c:numFmt formatCode="0.0%" sourceLinked="1"/>
        <c:majorTickMark val="out"/>
        <c:minorTickMark val="none"/>
        <c:tickLblPos val="nextTo"/>
        <c:crossAx val="374307096"/>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7.1592210767468494E-4</c:v>
                </c:pt>
              </c:numCache>
            </c:numRef>
          </c:val>
        </c:ser>
        <c:ser>
          <c:idx val="1"/>
          <c:order val="1"/>
          <c:tx>
            <c:strRef>
              <c:f>'Accid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1.7527059700328442E-3</c:v>
                </c:pt>
              </c:numCache>
            </c:numRef>
          </c:val>
        </c:ser>
        <c:ser>
          <c:idx val="2"/>
          <c:order val="2"/>
          <c:tx>
            <c:strRef>
              <c:f>'Accid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1.4265997543547169E-3</c:v>
                </c:pt>
              </c:numCache>
            </c:numRef>
          </c:val>
        </c:ser>
        <c:ser>
          <c:idx val="3"/>
          <c:order val="3"/>
          <c:tx>
            <c:strRef>
              <c:f>'Accid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1.1526650119893988E-3</c:v>
                </c:pt>
              </c:numCache>
            </c:numRef>
          </c:val>
        </c:ser>
        <c:ser>
          <c:idx val="4"/>
          <c:order val="4"/>
          <c:tx>
            <c:strRef>
              <c:f>'Accid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1.0792601423358983E-3</c:v>
                </c:pt>
              </c:numCache>
            </c:numRef>
          </c:val>
        </c:ser>
        <c:ser>
          <c:idx val="5"/>
          <c:order val="5"/>
          <c:tx>
            <c:strRef>
              <c:f>'Accid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x edad'!$A$4:$A$11</c:f>
              <c:strCache>
                <c:ptCount val="8"/>
                <c:pt idx="0">
                  <c:v>2008</c:v>
                </c:pt>
                <c:pt idx="1">
                  <c:v>2009</c:v>
                </c:pt>
                <c:pt idx="2">
                  <c:v>2010</c:v>
                </c:pt>
                <c:pt idx="3">
                  <c:v>2011</c:v>
                </c:pt>
                <c:pt idx="4">
                  <c:v>2012</c:v>
                </c:pt>
                <c:pt idx="5">
                  <c:v>2013</c:v>
                </c:pt>
                <c:pt idx="6">
                  <c:v>2014</c:v>
                </c:pt>
                <c:pt idx="7">
                  <c:v>Ene.2015</c:v>
                </c:pt>
              </c:strCache>
            </c:strRef>
          </c:cat>
          <c:val>
            <c:numRef>
              <c:f>'Accid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8.1603424013056548E-4</c:v>
                </c:pt>
              </c:numCache>
            </c:numRef>
          </c:val>
        </c:ser>
        <c:dLbls>
          <c:showLegendKey val="0"/>
          <c:showVal val="1"/>
          <c:showCatName val="0"/>
          <c:showSerName val="0"/>
          <c:showPercent val="0"/>
          <c:showBubbleSize val="0"/>
        </c:dLbls>
        <c:gapWidth val="95"/>
        <c:overlap val="100"/>
        <c:axId val="374308272"/>
        <c:axId val="374308664"/>
      </c:barChart>
      <c:catAx>
        <c:axId val="374308272"/>
        <c:scaling>
          <c:orientation val="minMax"/>
        </c:scaling>
        <c:delete val="0"/>
        <c:axPos val="l"/>
        <c:numFmt formatCode="General" sourceLinked="1"/>
        <c:majorTickMark val="none"/>
        <c:minorTickMark val="none"/>
        <c:tickLblPos val="nextTo"/>
        <c:txPr>
          <a:bodyPr/>
          <a:lstStyle/>
          <a:p>
            <a:pPr>
              <a:defRPr sz="1200"/>
            </a:pPr>
            <a:endParaRPr lang="es-ES"/>
          </a:p>
        </c:txPr>
        <c:crossAx val="374308664"/>
        <c:crosses val="autoZero"/>
        <c:auto val="1"/>
        <c:lblAlgn val="ctr"/>
        <c:lblOffset val="100"/>
        <c:noMultiLvlLbl val="0"/>
      </c:catAx>
      <c:valAx>
        <c:axId val="374308664"/>
        <c:scaling>
          <c:orientation val="minMax"/>
        </c:scaling>
        <c:delete val="1"/>
        <c:axPos val="b"/>
        <c:numFmt formatCode="0.00%" sourceLinked="1"/>
        <c:majorTickMark val="out"/>
        <c:minorTickMark val="none"/>
        <c:tickLblPos val="nextTo"/>
        <c:crossAx val="374308272"/>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 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EC. Accid. Lab'!$A$4:$A$10</c:f>
              <c:strCache>
                <c:ptCount val="7"/>
                <c:pt idx="0">
                  <c:v>2009</c:v>
                </c:pt>
                <c:pt idx="1">
                  <c:v>2010</c:v>
                </c:pt>
                <c:pt idx="2">
                  <c:v>2011</c:v>
                </c:pt>
                <c:pt idx="3">
                  <c:v>2012</c:v>
                </c:pt>
                <c:pt idx="4">
                  <c:v>2013</c:v>
                </c:pt>
                <c:pt idx="5">
                  <c:v>2014</c:v>
                </c:pt>
                <c:pt idx="6">
                  <c:v>Ene.2015</c:v>
                </c:pt>
              </c:strCache>
            </c:strRef>
          </c:cat>
          <c:val>
            <c:numRef>
              <c:f>' EC. Accid. Lab'!$B$4:$B$10</c:f>
              <c:numCache>
                <c:formatCode>_(* #,##0_);_(* \(#,##0\);_(* "-"??_);_(@_)</c:formatCode>
                <c:ptCount val="7"/>
                <c:pt idx="0">
                  <c:v>14329</c:v>
                </c:pt>
                <c:pt idx="1">
                  <c:v>16871</c:v>
                </c:pt>
                <c:pt idx="2">
                  <c:v>21189</c:v>
                </c:pt>
                <c:pt idx="3">
                  <c:v>26301</c:v>
                </c:pt>
                <c:pt idx="4">
                  <c:v>28752</c:v>
                </c:pt>
                <c:pt idx="5">
                  <c:v>30331</c:v>
                </c:pt>
                <c:pt idx="6">
                  <c:v>2046</c:v>
                </c:pt>
              </c:numCache>
            </c:numRef>
          </c:val>
        </c:ser>
        <c:ser>
          <c:idx val="1"/>
          <c:order val="1"/>
          <c:tx>
            <c:strRef>
              <c:f>' 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608623397334997E-3"/>
                  <c:y val="-3.684127451356809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412935096003602E-2"/>
                  <c:y val="-2.16713379491577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EC. Accid. Lab'!$A$4:$A$10</c:f>
              <c:strCache>
                <c:ptCount val="7"/>
                <c:pt idx="0">
                  <c:v>2009</c:v>
                </c:pt>
                <c:pt idx="1">
                  <c:v>2010</c:v>
                </c:pt>
                <c:pt idx="2">
                  <c:v>2011</c:v>
                </c:pt>
                <c:pt idx="3">
                  <c:v>2012</c:v>
                </c:pt>
                <c:pt idx="4">
                  <c:v>2013</c:v>
                </c:pt>
                <c:pt idx="5">
                  <c:v>2014</c:v>
                </c:pt>
                <c:pt idx="6">
                  <c:v>Ene.2015</c:v>
                </c:pt>
              </c:strCache>
            </c:strRef>
          </c:cat>
          <c:val>
            <c:numRef>
              <c:f>' EC. Accid. Lab'!$C$4:$C$10</c:f>
              <c:numCache>
                <c:formatCode>_(* #,##0_);_(* \(#,##0\);_(* "-"??_);_(@_)</c:formatCode>
                <c:ptCount val="7"/>
                <c:pt idx="0">
                  <c:v>14683</c:v>
                </c:pt>
                <c:pt idx="1">
                  <c:v>17456</c:v>
                </c:pt>
                <c:pt idx="2">
                  <c:v>22597</c:v>
                </c:pt>
                <c:pt idx="3">
                  <c:v>26688</c:v>
                </c:pt>
                <c:pt idx="4">
                  <c:v>28635</c:v>
                </c:pt>
                <c:pt idx="5">
                  <c:v>31032</c:v>
                </c:pt>
                <c:pt idx="6">
                  <c:v>2248</c:v>
                </c:pt>
              </c:numCache>
            </c:numRef>
          </c:val>
        </c:ser>
        <c:dLbls>
          <c:showLegendKey val="0"/>
          <c:showVal val="0"/>
          <c:showCatName val="0"/>
          <c:showSerName val="0"/>
          <c:showPercent val="0"/>
          <c:showBubbleSize val="0"/>
        </c:dLbls>
        <c:gapWidth val="150"/>
        <c:shape val="cylinder"/>
        <c:axId val="374309448"/>
        <c:axId val="374309840"/>
        <c:axId val="0"/>
      </c:bar3DChart>
      <c:catAx>
        <c:axId val="374309448"/>
        <c:scaling>
          <c:orientation val="minMax"/>
        </c:scaling>
        <c:delete val="0"/>
        <c:axPos val="b"/>
        <c:numFmt formatCode="General" sourceLinked="1"/>
        <c:majorTickMark val="none"/>
        <c:minorTickMark val="none"/>
        <c:tickLblPos val="nextTo"/>
        <c:txPr>
          <a:bodyPr/>
          <a:lstStyle/>
          <a:p>
            <a:pPr>
              <a:defRPr sz="1400"/>
            </a:pPr>
            <a:endParaRPr lang="es-ES"/>
          </a:p>
        </c:txPr>
        <c:crossAx val="374309840"/>
        <c:crosses val="autoZero"/>
        <c:auto val="1"/>
        <c:lblAlgn val="ctr"/>
        <c:lblOffset val="100"/>
        <c:noMultiLvlLbl val="0"/>
      </c:catAx>
      <c:valAx>
        <c:axId val="374309840"/>
        <c:scaling>
          <c:orientation val="minMax"/>
        </c:scaling>
        <c:delete val="1"/>
        <c:axPos val="l"/>
        <c:numFmt formatCode="_(* #,##0_);_(* \(#,##0\);_(* &quot;-&quot;??_);_(@_)" sourceLinked="1"/>
        <c:majorTickMark val="out"/>
        <c:minorTickMark val="none"/>
        <c:tickLblPos val="nextTo"/>
        <c:crossAx val="374309448"/>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'EC. Accid. Lab.'!$E$3</c:f>
              <c:strCache>
                <c:ptCount val="1"/>
                <c:pt idx="0">
                  <c:v>% Aprobado</c:v>
                </c:pt>
              </c:strCache>
            </c:strRef>
          </c:tx>
          <c:invertIfNegative val="0"/>
          <c:dLbls>
            <c:dLbl>
              <c:idx val="0"/>
              <c:layout>
                <c:manualLayout>
                  <c:x val="1.5877356516669293E-2"/>
                  <c:y val="-1.960921904590196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3118771496345475E-2"/>
                  <c:y val="-2.6304008883589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6427733488808E-2"/>
                  <c:y val="-2.29414187108551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047411269903587E-2"/>
                  <c:y val="-2.35471800681976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Lab.'!$A$4:$A$10</c:f>
              <c:strCache>
                <c:ptCount val="7"/>
                <c:pt idx="0">
                  <c:v>2009</c:v>
                </c:pt>
                <c:pt idx="1">
                  <c:v>2010</c:v>
                </c:pt>
                <c:pt idx="2">
                  <c:v>2011</c:v>
                </c:pt>
                <c:pt idx="3">
                  <c:v>2012</c:v>
                </c:pt>
                <c:pt idx="4">
                  <c:v>2013</c:v>
                </c:pt>
                <c:pt idx="5">
                  <c:v>2014</c:v>
                </c:pt>
                <c:pt idx="6">
                  <c:v>Ene.2015</c:v>
                </c:pt>
              </c:strCache>
            </c:strRef>
          </c:cat>
          <c:val>
            <c:numRef>
              <c:f>'EC.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0.94428152492668627</c:v>
                </c:pt>
              </c:numCache>
            </c:numRef>
          </c:val>
        </c:ser>
        <c:ser>
          <c:idx val="1"/>
          <c:order val="1"/>
          <c:tx>
            <c:strRef>
              <c:f>'EC.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Lab.'!$A$4:$A$10</c:f>
              <c:strCache>
                <c:ptCount val="7"/>
                <c:pt idx="0">
                  <c:v>2009</c:v>
                </c:pt>
                <c:pt idx="1">
                  <c:v>2010</c:v>
                </c:pt>
                <c:pt idx="2">
                  <c:v>2011</c:v>
                </c:pt>
                <c:pt idx="3">
                  <c:v>2012</c:v>
                </c:pt>
                <c:pt idx="4">
                  <c:v>2013</c:v>
                </c:pt>
                <c:pt idx="5">
                  <c:v>2014</c:v>
                </c:pt>
                <c:pt idx="6">
                  <c:v>Ene.2015</c:v>
                </c:pt>
              </c:strCache>
            </c:strRef>
          </c:cat>
          <c:val>
            <c:numRef>
              <c:f>'EC.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5.5718475073313782E-2</c:v>
                </c:pt>
              </c:numCache>
            </c:numRef>
          </c:val>
        </c:ser>
        <c:dLbls>
          <c:showLegendKey val="0"/>
          <c:showVal val="0"/>
          <c:showCatName val="0"/>
          <c:showSerName val="0"/>
          <c:showPercent val="0"/>
          <c:showBubbleSize val="0"/>
        </c:dLbls>
        <c:gapWidth val="75"/>
        <c:shape val="cylinder"/>
        <c:axId val="374310624"/>
        <c:axId val="374311016"/>
        <c:axId val="0"/>
      </c:bar3DChart>
      <c:catAx>
        <c:axId val="374310624"/>
        <c:scaling>
          <c:orientation val="minMax"/>
        </c:scaling>
        <c:delete val="0"/>
        <c:axPos val="b"/>
        <c:numFmt formatCode="General" sourceLinked="1"/>
        <c:majorTickMark val="none"/>
        <c:minorTickMark val="none"/>
        <c:tickLblPos val="nextTo"/>
        <c:txPr>
          <a:bodyPr/>
          <a:lstStyle/>
          <a:p>
            <a:pPr>
              <a:defRPr sz="1600"/>
            </a:pPr>
            <a:endParaRPr lang="es-ES"/>
          </a:p>
        </c:txPr>
        <c:crossAx val="374311016"/>
        <c:crosses val="autoZero"/>
        <c:auto val="1"/>
        <c:lblAlgn val="ctr"/>
        <c:lblOffset val="100"/>
        <c:noMultiLvlLbl val="0"/>
      </c:catAx>
      <c:valAx>
        <c:axId val="374311016"/>
        <c:scaling>
          <c:orientation val="minMax"/>
        </c:scaling>
        <c:delete val="1"/>
        <c:axPos val="l"/>
        <c:numFmt formatCode="0.00%" sourceLinked="1"/>
        <c:majorTickMark val="out"/>
        <c:minorTickMark val="none"/>
        <c:tickLblPos val="nextTo"/>
        <c:crossAx val="374310624"/>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45467225034E-2"/>
          <c:y val="0.29847158604246726"/>
          <c:w val="0.9377934361856739"/>
          <c:h val="0.54580738120989314"/>
        </c:manualLayout>
      </c:layout>
      <c:bar3DChart>
        <c:barDir val="col"/>
        <c:grouping val="clustered"/>
        <c:varyColors val="0"/>
        <c:ser>
          <c:idx val="0"/>
          <c:order val="0"/>
          <c:tx>
            <c:strRef>
              <c:f>'EC.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tipo'!$A$4:$A$10</c:f>
              <c:strCache>
                <c:ptCount val="7"/>
                <c:pt idx="0">
                  <c:v>2009</c:v>
                </c:pt>
                <c:pt idx="1">
                  <c:v>2010</c:v>
                </c:pt>
                <c:pt idx="2">
                  <c:v>2011</c:v>
                </c:pt>
                <c:pt idx="3">
                  <c:v>2012</c:v>
                </c:pt>
                <c:pt idx="4">
                  <c:v>2013</c:v>
                </c:pt>
                <c:pt idx="5">
                  <c:v>2014</c:v>
                </c:pt>
                <c:pt idx="6">
                  <c:v>Ene.2015</c:v>
                </c:pt>
              </c:strCache>
            </c:strRef>
          </c:cat>
          <c:val>
            <c:numRef>
              <c:f>'EC.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0.6539589442815249</c:v>
                </c:pt>
              </c:numCache>
            </c:numRef>
          </c:val>
        </c:ser>
        <c:ser>
          <c:idx val="1"/>
          <c:order val="1"/>
          <c:tx>
            <c:strRef>
              <c:f>'EC.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tipo'!$A$4:$A$10</c:f>
              <c:strCache>
                <c:ptCount val="7"/>
                <c:pt idx="0">
                  <c:v>2009</c:v>
                </c:pt>
                <c:pt idx="1">
                  <c:v>2010</c:v>
                </c:pt>
                <c:pt idx="2">
                  <c:v>2011</c:v>
                </c:pt>
                <c:pt idx="3">
                  <c:v>2012</c:v>
                </c:pt>
                <c:pt idx="4">
                  <c:v>2013</c:v>
                </c:pt>
                <c:pt idx="5">
                  <c:v>2014</c:v>
                </c:pt>
                <c:pt idx="6">
                  <c:v>Ene.2015</c:v>
                </c:pt>
              </c:strCache>
            </c:strRef>
          </c:cat>
          <c:val>
            <c:numRef>
              <c:f>'EC.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0.28005865102639294</c:v>
                </c:pt>
              </c:numCache>
            </c:numRef>
          </c:val>
        </c:ser>
        <c:ser>
          <c:idx val="2"/>
          <c:order val="2"/>
          <c:tx>
            <c:strRef>
              <c:f>'EC.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tipo'!$A$4:$A$10</c:f>
              <c:strCache>
                <c:ptCount val="7"/>
                <c:pt idx="0">
                  <c:v>2009</c:v>
                </c:pt>
                <c:pt idx="1">
                  <c:v>2010</c:v>
                </c:pt>
                <c:pt idx="2">
                  <c:v>2011</c:v>
                </c:pt>
                <c:pt idx="3">
                  <c:v>2012</c:v>
                </c:pt>
                <c:pt idx="4">
                  <c:v>2013</c:v>
                </c:pt>
                <c:pt idx="5">
                  <c:v>2014</c:v>
                </c:pt>
                <c:pt idx="6">
                  <c:v>Ene.2015</c:v>
                </c:pt>
              </c:strCache>
            </c:strRef>
          </c:cat>
          <c:val>
            <c:numRef>
              <c:f>'EC.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1.0263929618768328E-2</c:v>
                </c:pt>
              </c:numCache>
            </c:numRef>
          </c:val>
        </c:ser>
        <c:ser>
          <c:idx val="3"/>
          <c:order val="3"/>
          <c:tx>
            <c:strRef>
              <c:f>'EC.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887032884581E-2"/>
                  <c:y val="-1.83159712941282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tipo'!$A$4:$A$10</c:f>
              <c:strCache>
                <c:ptCount val="7"/>
                <c:pt idx="0">
                  <c:v>2009</c:v>
                </c:pt>
                <c:pt idx="1">
                  <c:v>2010</c:v>
                </c:pt>
                <c:pt idx="2">
                  <c:v>2011</c:v>
                </c:pt>
                <c:pt idx="3">
                  <c:v>2012</c:v>
                </c:pt>
                <c:pt idx="4">
                  <c:v>2013</c:v>
                </c:pt>
                <c:pt idx="5">
                  <c:v>2014</c:v>
                </c:pt>
                <c:pt idx="6">
                  <c:v>Ene.2015</c:v>
                </c:pt>
              </c:strCache>
            </c:strRef>
          </c:cat>
          <c:val>
            <c:numRef>
              <c:f>'EC.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5.5718475073313782E-2</c:v>
                </c:pt>
              </c:numCache>
            </c:numRef>
          </c:val>
        </c:ser>
        <c:dLbls>
          <c:showLegendKey val="0"/>
          <c:showVal val="0"/>
          <c:showCatName val="0"/>
          <c:showSerName val="0"/>
          <c:showPercent val="0"/>
          <c:showBubbleSize val="0"/>
        </c:dLbls>
        <c:gapWidth val="75"/>
        <c:shape val="cylinder"/>
        <c:axId val="374311800"/>
        <c:axId val="374312192"/>
        <c:axId val="0"/>
      </c:bar3DChart>
      <c:catAx>
        <c:axId val="374311800"/>
        <c:scaling>
          <c:orientation val="minMax"/>
        </c:scaling>
        <c:delete val="0"/>
        <c:axPos val="b"/>
        <c:numFmt formatCode="General" sourceLinked="1"/>
        <c:majorTickMark val="none"/>
        <c:minorTickMark val="none"/>
        <c:tickLblPos val="nextTo"/>
        <c:txPr>
          <a:bodyPr/>
          <a:lstStyle/>
          <a:p>
            <a:pPr>
              <a:defRPr sz="1600"/>
            </a:pPr>
            <a:endParaRPr lang="es-ES"/>
          </a:p>
        </c:txPr>
        <c:crossAx val="374312192"/>
        <c:crosses val="autoZero"/>
        <c:auto val="1"/>
        <c:lblAlgn val="ctr"/>
        <c:lblOffset val="100"/>
        <c:noMultiLvlLbl val="0"/>
      </c:catAx>
      <c:valAx>
        <c:axId val="374312192"/>
        <c:scaling>
          <c:orientation val="minMax"/>
        </c:scaling>
        <c:delete val="0"/>
        <c:axPos val="l"/>
        <c:numFmt formatCode="0.00%" sourceLinked="1"/>
        <c:majorTickMark val="none"/>
        <c:minorTickMark val="none"/>
        <c:tickLblPos val="nextTo"/>
        <c:spPr>
          <a:ln w="9525">
            <a:noFill/>
          </a:ln>
        </c:spPr>
        <c:crossAx val="37431180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0.53470185728250241</c:v>
                </c:pt>
              </c:numCache>
            </c:numRef>
          </c:val>
        </c:ser>
        <c:ser>
          <c:idx val="1"/>
          <c:order val="1"/>
          <c:tx>
            <c:strRef>
              <c:f>'EC. Accid. Lab x Lesión'!$J$3</c:f>
              <c:strCache>
                <c:ptCount val="1"/>
                <c:pt idx="0">
                  <c:v>% Moderado</c:v>
                </c:pt>
              </c:strCache>
            </c:strRef>
          </c:tx>
          <c:spPr>
            <a:solidFill>
              <a:srgbClr val="0070C0"/>
            </a:solidFill>
          </c:spPr>
          <c:invertIfNegative val="0"/>
          <c:dLbls>
            <c:dLbl>
              <c:idx val="0"/>
              <c:layout>
                <c:manualLayout>
                  <c:x val="9.9296981743179826E-3"/>
                  <c:y val="-5.862991405674814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342929630685633E-2"/>
                  <c:y val="-1.81886116058300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899716980051104E-2"/>
                  <c:y val="-2.0427042401927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119097544486842E-2"/>
                  <c:y val="-2.2828714699241155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0.36559139784946237</c:v>
                </c:pt>
              </c:numCache>
            </c:numRef>
          </c:val>
        </c:ser>
        <c:ser>
          <c:idx val="2"/>
          <c:order val="2"/>
          <c:tx>
            <c:strRef>
              <c:f>'EC.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0367040903987141E-3"/>
                  <c:y val="-2.447936998003281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659541835304646E-2"/>
                  <c:y val="-1.4496454483578893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3.0791788856304986E-2</c:v>
                </c:pt>
              </c:numCache>
            </c:numRef>
          </c:val>
        </c:ser>
        <c:ser>
          <c:idx val="3"/>
          <c:order val="3"/>
          <c:tx>
            <c:strRef>
              <c:f>'EC. Accid. Lab x Lesión'!$L$3</c:f>
              <c:strCache>
                <c:ptCount val="1"/>
                <c:pt idx="0">
                  <c:v>% Mortal</c:v>
                </c:pt>
              </c:strCache>
            </c:strRef>
          </c:tx>
          <c:invertIfNegative val="0"/>
          <c:dLbls>
            <c:dLbl>
              <c:idx val="0"/>
              <c:layout>
                <c:manualLayout>
                  <c:x val="8.8264488419500711E-3"/>
                  <c:y val="-7.833955751407167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594655680065334E-2"/>
                  <c:y val="-2.637229569375400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7.8201368523949169E-3</c:v>
                </c:pt>
              </c:numCache>
            </c:numRef>
          </c:val>
        </c:ser>
        <c:ser>
          <c:idx val="4"/>
          <c:order val="4"/>
          <c:tx>
            <c:strRef>
              <c:f>'EC. Accid. Lab x Lesión'!$M$3</c:f>
              <c:strCache>
                <c:ptCount val="1"/>
                <c:pt idx="0">
                  <c:v>% Sin lesión</c:v>
                </c:pt>
              </c:strCache>
            </c:strRef>
          </c:tx>
          <c:spPr>
            <a:solidFill>
              <a:schemeClr val="accent2">
                <a:lumMod val="60000"/>
                <a:lumOff val="40000"/>
              </a:schemeClr>
            </a:solidFill>
          </c:spPr>
          <c:invertIfNegative val="0"/>
          <c:dLbls>
            <c:dLbl>
              <c:idx val="0"/>
              <c:layout>
                <c:manualLayout>
                  <c:x val="1.0017086975429674E-2"/>
                  <c:y val="-3.806908562282971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440594456475657E-2"/>
                  <c:y val="-3.495440630144427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5.3763440860215058E-3</c:v>
                </c:pt>
              </c:numCache>
            </c:numRef>
          </c:val>
        </c:ser>
        <c:ser>
          <c:idx val="5"/>
          <c:order val="5"/>
          <c:tx>
            <c:strRef>
              <c:f>'EC.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860838997374925E-2"/>
                  <c:y val="-9.95493869255351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 x Lesión'!$A$4:$A$10</c:f>
              <c:strCache>
                <c:ptCount val="7"/>
                <c:pt idx="0">
                  <c:v>2009</c:v>
                </c:pt>
                <c:pt idx="1">
                  <c:v>2010</c:v>
                </c:pt>
                <c:pt idx="2">
                  <c:v>2011</c:v>
                </c:pt>
                <c:pt idx="3">
                  <c:v>2012</c:v>
                </c:pt>
                <c:pt idx="4">
                  <c:v>2013</c:v>
                </c:pt>
                <c:pt idx="5">
                  <c:v>2014</c:v>
                </c:pt>
                <c:pt idx="6">
                  <c:v>Ene.2015</c:v>
                </c:pt>
              </c:strCache>
            </c:strRef>
          </c:cat>
          <c:val>
            <c:numRef>
              <c:f>'EC.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5.5718475073313782E-2</c:v>
                </c:pt>
              </c:numCache>
            </c:numRef>
          </c:val>
        </c:ser>
        <c:dLbls>
          <c:showLegendKey val="0"/>
          <c:showVal val="0"/>
          <c:showCatName val="0"/>
          <c:showSerName val="0"/>
          <c:showPercent val="0"/>
          <c:showBubbleSize val="0"/>
        </c:dLbls>
        <c:gapWidth val="75"/>
        <c:shape val="cylinder"/>
        <c:axId val="374312976"/>
        <c:axId val="374313368"/>
        <c:axId val="0"/>
      </c:bar3DChart>
      <c:catAx>
        <c:axId val="374312976"/>
        <c:scaling>
          <c:orientation val="minMax"/>
        </c:scaling>
        <c:delete val="0"/>
        <c:axPos val="b"/>
        <c:numFmt formatCode="General" sourceLinked="1"/>
        <c:majorTickMark val="none"/>
        <c:minorTickMark val="none"/>
        <c:tickLblPos val="nextTo"/>
        <c:txPr>
          <a:bodyPr/>
          <a:lstStyle/>
          <a:p>
            <a:pPr>
              <a:defRPr sz="1600"/>
            </a:pPr>
            <a:endParaRPr lang="es-ES"/>
          </a:p>
        </c:txPr>
        <c:crossAx val="374313368"/>
        <c:crosses val="autoZero"/>
        <c:auto val="1"/>
        <c:lblAlgn val="ctr"/>
        <c:lblOffset val="100"/>
        <c:noMultiLvlLbl val="0"/>
      </c:catAx>
      <c:valAx>
        <c:axId val="374313368"/>
        <c:scaling>
          <c:orientation val="minMax"/>
        </c:scaling>
        <c:delete val="1"/>
        <c:axPos val="l"/>
        <c:numFmt formatCode="0.0%" sourceLinked="1"/>
        <c:majorTickMark val="out"/>
        <c:minorTickMark val="none"/>
        <c:tickLblPos val="nextTo"/>
        <c:crossAx val="374312976"/>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3.0791788856304986E-2</c:v>
                </c:pt>
              </c:numCache>
            </c:numRef>
          </c:val>
        </c:ser>
        <c:ser>
          <c:idx val="1"/>
          <c:order val="1"/>
          <c:tx>
            <c:strRef>
              <c:f>'Accid.Lab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4.056695992179863E-2</c:v>
                </c:pt>
              </c:numCache>
            </c:numRef>
          </c:val>
        </c:ser>
        <c:ser>
          <c:idx val="2"/>
          <c:order val="2"/>
          <c:tx>
            <c:strRef>
              <c:f>'Accid.Lab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5.3763440860215058E-3</c:v>
                </c:pt>
              </c:numCache>
            </c:numRef>
          </c:val>
        </c:ser>
        <c:ser>
          <c:idx val="3"/>
          <c:order val="3"/>
          <c:tx>
            <c:strRef>
              <c:f>'Accid.Lab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0.84750733137829914</c:v>
                </c:pt>
              </c:numCache>
            </c:numRef>
          </c:val>
        </c:ser>
        <c:ser>
          <c:idx val="4"/>
          <c:order val="4"/>
          <c:tx>
            <c:strRef>
              <c:f>'Accid.Lab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2.0039100684261974E-2</c:v>
                </c:pt>
              </c:numCache>
            </c:numRef>
          </c:val>
        </c:ser>
        <c:ser>
          <c:idx val="5"/>
          <c:order val="5"/>
          <c:tx>
            <c:strRef>
              <c:f>'Accid.Lab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'Accid.Lab suceso'!$A$4:$A$10</c:f>
              <c:strCache>
                <c:ptCount val="7"/>
                <c:pt idx="0">
                  <c:v>2009</c:v>
                </c:pt>
                <c:pt idx="1">
                  <c:v>2010</c:v>
                </c:pt>
                <c:pt idx="2">
                  <c:v>2011</c:v>
                </c:pt>
                <c:pt idx="3">
                  <c:v>2012</c:v>
                </c:pt>
                <c:pt idx="4">
                  <c:v>2013</c:v>
                </c:pt>
                <c:pt idx="5">
                  <c:v>2014</c:v>
                </c:pt>
                <c:pt idx="6">
                  <c:v>Ene.2015</c:v>
                </c:pt>
              </c:strCache>
            </c:strRef>
          </c:cat>
          <c:val>
            <c:numRef>
              <c:f>'Accid.Lab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5.5718475073313782E-2</c:v>
                </c:pt>
              </c:numCache>
            </c:numRef>
          </c:val>
        </c:ser>
        <c:dLbls>
          <c:showLegendKey val="0"/>
          <c:showVal val="0"/>
          <c:showCatName val="0"/>
          <c:showSerName val="0"/>
          <c:showPercent val="0"/>
          <c:showBubbleSize val="0"/>
        </c:dLbls>
        <c:gapWidth val="75"/>
        <c:shape val="cylinder"/>
        <c:axId val="374314152"/>
        <c:axId val="374314544"/>
        <c:axId val="0"/>
      </c:bar3DChart>
      <c:catAx>
        <c:axId val="374314152"/>
        <c:scaling>
          <c:orientation val="minMax"/>
        </c:scaling>
        <c:delete val="0"/>
        <c:axPos val="b"/>
        <c:numFmt formatCode="General" sourceLinked="1"/>
        <c:majorTickMark val="none"/>
        <c:minorTickMark val="none"/>
        <c:tickLblPos val="nextTo"/>
        <c:txPr>
          <a:bodyPr/>
          <a:lstStyle/>
          <a:p>
            <a:pPr>
              <a:defRPr sz="1800"/>
            </a:pPr>
            <a:endParaRPr lang="es-ES"/>
          </a:p>
        </c:txPr>
        <c:crossAx val="374314544"/>
        <c:crosses val="autoZero"/>
        <c:auto val="1"/>
        <c:lblAlgn val="ctr"/>
        <c:lblOffset val="100"/>
        <c:noMultiLvlLbl val="0"/>
      </c:catAx>
      <c:valAx>
        <c:axId val="374314544"/>
        <c:scaling>
          <c:orientation val="minMax"/>
        </c:scaling>
        <c:delete val="1"/>
        <c:axPos val="l"/>
        <c:numFmt formatCode="0.00%" sourceLinked="1"/>
        <c:majorTickMark val="out"/>
        <c:minorTickMark val="none"/>
        <c:tickLblPos val="nextTo"/>
        <c:crossAx val="374314152"/>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8488419792655933"/>
          <c:w val="0.91947834299141373"/>
          <c:h val="0.55848633341475951"/>
        </c:manualLayout>
      </c:layout>
      <c:barChart>
        <c:barDir val="col"/>
        <c:grouping val="clustered"/>
        <c:varyColors val="0"/>
        <c:ser>
          <c:idx val="0"/>
          <c:order val="0"/>
          <c:tx>
            <c:strRef>
              <c:f>'Proy. afil.Vs pobl.'!$B$3</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'Proy. afil.Vs pobl.'!$A$4:$A$22</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'Proy. afil.Vs pobl.'!$B$4:$B$22</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'Proy. afil.Vs pobl.'!$D$3</c:f>
              <c:strCache>
                <c:ptCount val="1"/>
                <c:pt idx="0">
                  <c:v>% Afiliación SFS /Pob. Total</c:v>
                </c:pt>
              </c:strCache>
            </c:strRef>
          </c:tx>
          <c:invertIfNegative val="0"/>
          <c:cat>
            <c:strRef>
              <c:f>'Proy. afil.Vs pobl.'!$A$4:$A$22</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'Proy. afil.Vs pobl.'!$D$4:$D$22</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er>
        <c:dLbls>
          <c:showLegendKey val="0"/>
          <c:showVal val="0"/>
          <c:showCatName val="0"/>
          <c:showSerName val="0"/>
          <c:showPercent val="0"/>
          <c:showBubbleSize val="0"/>
        </c:dLbls>
        <c:gapWidth val="29"/>
        <c:overlap val="82"/>
        <c:axId val="308805984"/>
        <c:axId val="308806376"/>
      </c:barChart>
      <c:lineChart>
        <c:grouping val="standard"/>
        <c:varyColors val="0"/>
        <c:ser>
          <c:idx val="3"/>
          <c:order val="2"/>
          <c:tx>
            <c:strRef>
              <c:f>'Proy. afil.Vs pobl.'!$D$3</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'Proy. afil.Vs pobl.'!$A$4:$A$22</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'Proy. afil.Vs pobl.'!$D$4:$D$22</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mooth val="0"/>
        </c:ser>
        <c:dLbls>
          <c:showLegendKey val="0"/>
          <c:showVal val="0"/>
          <c:showCatName val="0"/>
          <c:showSerName val="0"/>
          <c:showPercent val="0"/>
          <c:showBubbleSize val="0"/>
        </c:dLbls>
        <c:marker val="1"/>
        <c:smooth val="0"/>
        <c:axId val="308807160"/>
        <c:axId val="308806768"/>
      </c:lineChart>
      <c:catAx>
        <c:axId val="30880598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08806376"/>
        <c:crosses val="autoZero"/>
        <c:auto val="1"/>
        <c:lblAlgn val="ctr"/>
        <c:lblOffset val="100"/>
        <c:noMultiLvlLbl val="0"/>
      </c:catAx>
      <c:valAx>
        <c:axId val="308806376"/>
        <c:scaling>
          <c:orientation val="minMax"/>
        </c:scaling>
        <c:delete val="0"/>
        <c:axPos val="l"/>
        <c:numFmt formatCode="#,##0" sourceLinked="1"/>
        <c:majorTickMark val="out"/>
        <c:minorTickMark val="none"/>
        <c:tickLblPos val="nextTo"/>
        <c:crossAx val="308805984"/>
        <c:crosses val="autoZero"/>
        <c:crossBetween val="between"/>
      </c:valAx>
      <c:valAx>
        <c:axId val="308806768"/>
        <c:scaling>
          <c:orientation val="minMax"/>
          <c:max val="1.1500000000000001"/>
        </c:scaling>
        <c:delete val="0"/>
        <c:axPos val="r"/>
        <c:numFmt formatCode="0.0%" sourceLinked="1"/>
        <c:majorTickMark val="out"/>
        <c:minorTickMark val="none"/>
        <c:tickLblPos val="nextTo"/>
        <c:crossAx val="308807160"/>
        <c:crosses val="max"/>
        <c:crossBetween val="between"/>
        <c:majorUnit val="0.2"/>
      </c:valAx>
      <c:catAx>
        <c:axId val="308807160"/>
        <c:scaling>
          <c:orientation val="minMax"/>
        </c:scaling>
        <c:delete val="1"/>
        <c:axPos val="b"/>
        <c:numFmt formatCode="General" sourceLinked="1"/>
        <c:majorTickMark val="out"/>
        <c:minorTickMark val="none"/>
        <c:tickLblPos val="nextTo"/>
        <c:crossAx val="308806768"/>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n-US" sz="1600"/>
              <a:t>Cantidad de Expedientes Calificados por la ARL  Según Agente Dañino</a:t>
            </a:r>
          </a:p>
        </c:rich>
      </c:tx>
      <c:layout>
        <c:manualLayout>
          <c:xMode val="edge"/>
          <c:yMode val="edge"/>
          <c:x val="0.28661260037848124"/>
          <c:y val="4.0149655476080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420636391495241E-3"/>
                  <c:y val="-1.995443823891869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x Agente daño'!$A$4:$A$11</c:f>
              <c:strCache>
                <c:ptCount val="8"/>
                <c:pt idx="0">
                  <c:v>Ambiente de trabajo</c:v>
                </c:pt>
                <c:pt idx="1">
                  <c:v>Animales o productos animales</c:v>
                </c:pt>
                <c:pt idx="2">
                  <c:v>Herramientas e implementos</c:v>
                </c:pt>
                <c:pt idx="3">
                  <c:v>Maquinarias y/o equipos</c:v>
                </c:pt>
                <c:pt idx="4">
                  <c:v>Materiales o sustancias</c:v>
                </c:pt>
                <c:pt idx="5">
                  <c:v>Medio de Transporte</c:v>
                </c:pt>
                <c:pt idx="6">
                  <c:v>Radiaciones</c:v>
                </c:pt>
                <c:pt idx="7">
                  <c:v>Otros agentes no clasificados</c:v>
                </c:pt>
              </c:strCache>
            </c:strRef>
          </c:cat>
          <c:val>
            <c:numRef>
              <c:f>'EC. x Agente daño'!$J$4:$J$11</c:f>
              <c:numCache>
                <c:formatCode>0.00%</c:formatCode>
                <c:ptCount val="8"/>
                <c:pt idx="0">
                  <c:v>0.22814495883964267</c:v>
                </c:pt>
                <c:pt idx="1">
                  <c:v>7.8315536515065915E-3</c:v>
                </c:pt>
                <c:pt idx="2">
                  <c:v>0.22943948962587346</c:v>
                </c:pt>
                <c:pt idx="3">
                  <c:v>9.3456540241311975E-2</c:v>
                </c:pt>
                <c:pt idx="4">
                  <c:v>3.3700713064747999E-2</c:v>
                </c:pt>
                <c:pt idx="5">
                  <c:v>0.26710962029480972</c:v>
                </c:pt>
                <c:pt idx="6">
                  <c:v>8.4394824737696588E-4</c:v>
                </c:pt>
                <c:pt idx="7">
                  <c:v>0.13947317603473061</c:v>
                </c:pt>
              </c:numCache>
            </c:numRef>
          </c:val>
        </c:ser>
        <c:dLbls>
          <c:showLegendKey val="0"/>
          <c:showVal val="0"/>
          <c:showCatName val="0"/>
          <c:showSerName val="0"/>
          <c:showPercent val="0"/>
          <c:showBubbleSize val="0"/>
        </c:dLbls>
        <c:gapWidth val="75"/>
        <c:shape val="cylinder"/>
        <c:axId val="374315328"/>
        <c:axId val="374315720"/>
        <c:axId val="0"/>
      </c:bar3DChart>
      <c:catAx>
        <c:axId val="374315328"/>
        <c:scaling>
          <c:orientation val="minMax"/>
        </c:scaling>
        <c:delete val="0"/>
        <c:axPos val="b"/>
        <c:numFmt formatCode="General" sourceLinked="1"/>
        <c:majorTickMark val="none"/>
        <c:minorTickMark val="none"/>
        <c:tickLblPos val="nextTo"/>
        <c:txPr>
          <a:bodyPr/>
          <a:lstStyle/>
          <a:p>
            <a:pPr>
              <a:defRPr sz="1400" b="1"/>
            </a:pPr>
            <a:endParaRPr lang="es-ES"/>
          </a:p>
        </c:txPr>
        <c:crossAx val="374315720"/>
        <c:crosses val="autoZero"/>
        <c:auto val="1"/>
        <c:lblAlgn val="ctr"/>
        <c:lblOffset val="100"/>
        <c:noMultiLvlLbl val="0"/>
      </c:catAx>
      <c:valAx>
        <c:axId val="374315720"/>
        <c:scaling>
          <c:orientation val="minMax"/>
        </c:scaling>
        <c:delete val="1"/>
        <c:axPos val="l"/>
        <c:numFmt formatCode="0.00%" sourceLinked="1"/>
        <c:majorTickMark val="out"/>
        <c:minorTickMark val="none"/>
        <c:tickLblPos val="nextTo"/>
        <c:crossAx val="3743153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113833294"/>
          <c:y val="6.262616457882826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439135369581213E-2"/>
          <c:y val="0.17987436363195355"/>
          <c:w val="0.96450773279549584"/>
          <c:h val="0.631930987923493"/>
        </c:manualLayout>
      </c:layout>
      <c:bar3DChart>
        <c:barDir val="col"/>
        <c:grouping val="clustered"/>
        <c:varyColors val="0"/>
        <c:ser>
          <c:idx val="0"/>
          <c:order val="0"/>
          <c:tx>
            <c:strRef>
              <c:f>'EC. x  lugar de accid.'!$J$3</c:f>
              <c:strCache>
                <c:ptCount val="1"/>
                <c:pt idx="0">
                  <c:v>% por Mecanismo</c:v>
                </c:pt>
              </c:strCache>
            </c:strRef>
          </c:tx>
          <c:invertIfNegative val="0"/>
          <c:dLbls>
            <c:dLbl>
              <c:idx val="0"/>
              <c:layout>
                <c:manualLayout>
                  <c:x val="9.9424436447782556E-3"/>
                  <c:y val="-1.298473794707466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367132225535752E-3"/>
                  <c:y val="-1.74191014173253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591813522451741E-2"/>
                  <c:y val="-1.37925783787134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483783947653994E-2"/>
                  <c:y val="-1.380201104430388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'EC. x  lugar de accid.'!$J$4:$J$12</c:f>
              <c:numCache>
                <c:formatCode>0.00%</c:formatCode>
                <c:ptCount val="9"/>
                <c:pt idx="0">
                  <c:v>3.1673303823890803E-2</c:v>
                </c:pt>
                <c:pt idx="1">
                  <c:v>0.42538749648403379</c:v>
                </c:pt>
                <c:pt idx="2">
                  <c:v>3.6418007668507306E-3</c:v>
                </c:pt>
                <c:pt idx="3">
                  <c:v>3.0311329553361264E-2</c:v>
                </c:pt>
                <c:pt idx="4">
                  <c:v>3.4101171001791289E-2</c:v>
                </c:pt>
                <c:pt idx="5">
                  <c:v>7.2169832269907775E-3</c:v>
                </c:pt>
                <c:pt idx="6">
                  <c:v>5.7084486816977302E-2</c:v>
                </c:pt>
                <c:pt idx="7">
                  <c:v>0.27192112392485457</c:v>
                </c:pt>
                <c:pt idx="8">
                  <c:v>0.13866230440124946</c:v>
                </c:pt>
              </c:numCache>
            </c:numRef>
          </c:val>
        </c:ser>
        <c:dLbls>
          <c:showLegendKey val="0"/>
          <c:showVal val="0"/>
          <c:showCatName val="0"/>
          <c:showSerName val="0"/>
          <c:showPercent val="0"/>
          <c:showBubbleSize val="0"/>
        </c:dLbls>
        <c:gapWidth val="45"/>
        <c:shape val="cylinder"/>
        <c:axId val="374316504"/>
        <c:axId val="374316896"/>
        <c:axId val="0"/>
      </c:bar3DChart>
      <c:catAx>
        <c:axId val="374316504"/>
        <c:scaling>
          <c:orientation val="minMax"/>
        </c:scaling>
        <c:delete val="0"/>
        <c:axPos val="b"/>
        <c:numFmt formatCode="General" sourceLinked="1"/>
        <c:majorTickMark val="none"/>
        <c:minorTickMark val="none"/>
        <c:tickLblPos val="nextTo"/>
        <c:txPr>
          <a:bodyPr/>
          <a:lstStyle/>
          <a:p>
            <a:pPr>
              <a:defRPr sz="1200"/>
            </a:pPr>
            <a:endParaRPr lang="es-ES"/>
          </a:p>
        </c:txPr>
        <c:crossAx val="374316896"/>
        <c:crosses val="autoZero"/>
        <c:auto val="1"/>
        <c:lblAlgn val="ctr"/>
        <c:lblOffset val="100"/>
        <c:noMultiLvlLbl val="0"/>
      </c:catAx>
      <c:valAx>
        <c:axId val="374316896"/>
        <c:scaling>
          <c:orientation val="minMax"/>
        </c:scaling>
        <c:delete val="1"/>
        <c:axPos val="l"/>
        <c:numFmt formatCode="0.00%" sourceLinked="1"/>
        <c:majorTickMark val="out"/>
        <c:minorTickMark val="none"/>
        <c:tickLblPos val="nextTo"/>
        <c:crossAx val="374316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Discapacitantes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830578869949E-3"/>
          <c:y val="0.16548205082485218"/>
          <c:w val="0.98171843904127354"/>
          <c:h val="0.71547738125060811"/>
        </c:manualLayout>
      </c:layout>
      <c:bar3DChart>
        <c:barDir val="col"/>
        <c:grouping val="clustered"/>
        <c:varyColors val="0"/>
        <c:ser>
          <c:idx val="0"/>
          <c:order val="0"/>
          <c:tx>
            <c:strRef>
              <c:f>'EC.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incapac.'!$A$4:$A$10</c:f>
              <c:strCache>
                <c:ptCount val="7"/>
                <c:pt idx="0">
                  <c:v>2009</c:v>
                </c:pt>
                <c:pt idx="1">
                  <c:v>2010</c:v>
                </c:pt>
                <c:pt idx="2">
                  <c:v>2011</c:v>
                </c:pt>
                <c:pt idx="3">
                  <c:v>2012</c:v>
                </c:pt>
                <c:pt idx="4">
                  <c:v>2013</c:v>
                </c:pt>
                <c:pt idx="5">
                  <c:v>2014</c:v>
                </c:pt>
                <c:pt idx="6">
                  <c:v>Ene.2015</c:v>
                </c:pt>
              </c:strCache>
            </c:strRef>
          </c:cat>
          <c:val>
            <c:numRef>
              <c:f>'EC. Accid incapac.'!$B$4:$B$10</c:f>
              <c:numCache>
                <c:formatCode>_(* #,##0_);_(* \(#,##0\);_(* "-"??_);_(@_)</c:formatCode>
                <c:ptCount val="7"/>
                <c:pt idx="0">
                  <c:v>10456</c:v>
                </c:pt>
                <c:pt idx="1">
                  <c:v>13140</c:v>
                </c:pt>
                <c:pt idx="2">
                  <c:v>17313</c:v>
                </c:pt>
                <c:pt idx="3">
                  <c:v>20883</c:v>
                </c:pt>
                <c:pt idx="4">
                  <c:v>22389</c:v>
                </c:pt>
                <c:pt idx="5">
                  <c:v>25583</c:v>
                </c:pt>
                <c:pt idx="6">
                  <c:v>4149</c:v>
                </c:pt>
              </c:numCache>
            </c:numRef>
          </c:val>
        </c:ser>
        <c:dLbls>
          <c:showLegendKey val="0"/>
          <c:showVal val="0"/>
          <c:showCatName val="0"/>
          <c:showSerName val="0"/>
          <c:showPercent val="0"/>
          <c:showBubbleSize val="0"/>
        </c:dLbls>
        <c:gapWidth val="65"/>
        <c:shape val="cylinder"/>
        <c:axId val="374317680"/>
        <c:axId val="374318072"/>
        <c:axId val="0"/>
      </c:bar3DChart>
      <c:catAx>
        <c:axId val="374317680"/>
        <c:scaling>
          <c:orientation val="minMax"/>
        </c:scaling>
        <c:delete val="0"/>
        <c:axPos val="b"/>
        <c:numFmt formatCode="General" sourceLinked="1"/>
        <c:majorTickMark val="out"/>
        <c:minorTickMark val="none"/>
        <c:tickLblPos val="nextTo"/>
        <c:txPr>
          <a:bodyPr/>
          <a:lstStyle/>
          <a:p>
            <a:pPr>
              <a:defRPr sz="1600"/>
            </a:pPr>
            <a:endParaRPr lang="es-ES"/>
          </a:p>
        </c:txPr>
        <c:crossAx val="374318072"/>
        <c:crosses val="autoZero"/>
        <c:auto val="1"/>
        <c:lblAlgn val="ctr"/>
        <c:lblOffset val="100"/>
        <c:noMultiLvlLbl val="0"/>
      </c:catAx>
      <c:valAx>
        <c:axId val="374318072"/>
        <c:scaling>
          <c:orientation val="minMax"/>
        </c:scaling>
        <c:delete val="1"/>
        <c:axPos val="l"/>
        <c:numFmt formatCode="_(* #,##0_);_(* \(#,##0\);_(* &quot;-&quot;??_);_(@_)" sourceLinked="1"/>
        <c:majorTickMark val="out"/>
        <c:minorTickMark val="none"/>
        <c:tickLblPos val="nextTo"/>
        <c:crossAx val="3743176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194867504026294E-2"/>
                  <c:y val="-2.015516621346638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EC. Enferm. Prof (R)'!$A$4:$A$10</c:f>
              <c:strCache>
                <c:ptCount val="7"/>
                <c:pt idx="0">
                  <c:v>2009</c:v>
                </c:pt>
                <c:pt idx="1">
                  <c:v>2010</c:v>
                </c:pt>
                <c:pt idx="2">
                  <c:v>2011</c:v>
                </c:pt>
                <c:pt idx="3">
                  <c:v>2012</c:v>
                </c:pt>
                <c:pt idx="4">
                  <c:v>2013</c:v>
                </c:pt>
                <c:pt idx="5">
                  <c:v>2014</c:v>
                </c:pt>
                <c:pt idx="6">
                  <c:v>Ene. 2015</c:v>
                </c:pt>
              </c:strCache>
            </c:strRef>
          </c:cat>
          <c:val>
            <c:numRef>
              <c:f>'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0.30769230769230771</c:v>
                </c:pt>
              </c:numCache>
            </c:numRef>
          </c:val>
        </c:ser>
        <c:ser>
          <c:idx val="1"/>
          <c:order val="1"/>
          <c:tx>
            <c:strRef>
              <c:f>'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58025752696E-2"/>
                  <c:y val="-1.175007581948328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7934646188318E-3"/>
                  <c:y val="-6.30381301269151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EC. Enferm. Prof (R)'!$A$4:$A$10</c:f>
              <c:strCache>
                <c:ptCount val="7"/>
                <c:pt idx="0">
                  <c:v>2009</c:v>
                </c:pt>
                <c:pt idx="1">
                  <c:v>2010</c:v>
                </c:pt>
                <c:pt idx="2">
                  <c:v>2011</c:v>
                </c:pt>
                <c:pt idx="3">
                  <c:v>2012</c:v>
                </c:pt>
                <c:pt idx="4">
                  <c:v>2013</c:v>
                </c:pt>
                <c:pt idx="5">
                  <c:v>2014</c:v>
                </c:pt>
                <c:pt idx="6">
                  <c:v>Ene. 2015</c:v>
                </c:pt>
              </c:strCache>
            </c:strRef>
          </c:cat>
          <c:val>
            <c:numRef>
              <c:f>'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0.69230769230769229</c:v>
                </c:pt>
              </c:numCache>
            </c:numRef>
          </c:val>
        </c:ser>
        <c:dLbls>
          <c:showLegendKey val="0"/>
          <c:showVal val="0"/>
          <c:showCatName val="0"/>
          <c:showSerName val="0"/>
          <c:showPercent val="0"/>
          <c:showBubbleSize val="0"/>
        </c:dLbls>
        <c:gapWidth val="75"/>
        <c:shape val="cylinder"/>
        <c:axId val="374318856"/>
        <c:axId val="374319248"/>
        <c:axId val="0"/>
      </c:bar3DChart>
      <c:catAx>
        <c:axId val="374318856"/>
        <c:scaling>
          <c:orientation val="minMax"/>
        </c:scaling>
        <c:delete val="0"/>
        <c:axPos val="b"/>
        <c:numFmt formatCode="General" sourceLinked="1"/>
        <c:majorTickMark val="none"/>
        <c:minorTickMark val="none"/>
        <c:tickLblPos val="nextTo"/>
        <c:txPr>
          <a:bodyPr/>
          <a:lstStyle/>
          <a:p>
            <a:pPr>
              <a:defRPr sz="1200"/>
            </a:pPr>
            <a:endParaRPr lang="es-ES"/>
          </a:p>
        </c:txPr>
        <c:crossAx val="374319248"/>
        <c:crosses val="autoZero"/>
        <c:auto val="1"/>
        <c:lblAlgn val="ctr"/>
        <c:lblOffset val="100"/>
        <c:noMultiLvlLbl val="0"/>
      </c:catAx>
      <c:valAx>
        <c:axId val="374319248"/>
        <c:scaling>
          <c:orientation val="minMax"/>
        </c:scaling>
        <c:delete val="1"/>
        <c:axPos val="l"/>
        <c:numFmt formatCode="0.0%" sourceLinked="1"/>
        <c:majorTickMark val="out"/>
        <c:minorTickMark val="none"/>
        <c:tickLblPos val="nextTo"/>
        <c:crossAx val="374318856"/>
        <c:crosses val="autoZero"/>
        <c:crossBetween val="between"/>
      </c:valAx>
      <c:spPr>
        <a:noFill/>
        <a:ln w="25400">
          <a:noFill/>
        </a:ln>
      </c:spPr>
    </c:plotArea>
    <c:legend>
      <c:legendPos val="t"/>
      <c:layout>
        <c:manualLayout>
          <c:xMode val="edge"/>
          <c:yMode val="edge"/>
          <c:x val="0.17504763533027562"/>
          <c:y val="7.5279770997860512E-2"/>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8411360117194258"/>
          <c:h val="0.68781218470669758"/>
        </c:manualLayout>
      </c:layout>
      <c:bar3DChart>
        <c:barDir val="col"/>
        <c:grouping val="clustered"/>
        <c:varyColors val="0"/>
        <c:ser>
          <c:idx val="0"/>
          <c:order val="0"/>
          <c:tx>
            <c:strRef>
              <c:f>'EC. Accid Lab.'!$E$3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Lab.'!$A$4:$A$10</c:f>
              <c:strCache>
                <c:ptCount val="7"/>
                <c:pt idx="0">
                  <c:v>2009</c:v>
                </c:pt>
                <c:pt idx="1">
                  <c:v>2010</c:v>
                </c:pt>
                <c:pt idx="2">
                  <c:v>2011</c:v>
                </c:pt>
                <c:pt idx="3">
                  <c:v>2012</c:v>
                </c:pt>
                <c:pt idx="4">
                  <c:v>2013</c:v>
                </c:pt>
                <c:pt idx="5">
                  <c:v>2014</c:v>
                </c:pt>
                <c:pt idx="6">
                  <c:v>Enero 2015</c:v>
                </c:pt>
              </c:strCache>
            </c:strRef>
          </c:cat>
          <c:val>
            <c:numRef>
              <c:f>'EC. Accid Lab.'!$E$4:$E$10</c:f>
              <c:numCache>
                <c:formatCode>0.0%</c:formatCode>
                <c:ptCount val="7"/>
                <c:pt idx="0">
                  <c:v>0.58940397350993379</c:v>
                </c:pt>
                <c:pt idx="1">
                  <c:v>0.6095890410958904</c:v>
                </c:pt>
                <c:pt idx="2">
                  <c:v>0.5</c:v>
                </c:pt>
                <c:pt idx="3">
                  <c:v>0.36885245901639346</c:v>
                </c:pt>
                <c:pt idx="4">
                  <c:v>0.37264150943396224</c:v>
                </c:pt>
                <c:pt idx="5">
                  <c:v>0.36464088397790057</c:v>
                </c:pt>
                <c:pt idx="6">
                  <c:v>0.36363636363636365</c:v>
                </c:pt>
              </c:numCache>
            </c:numRef>
          </c:val>
        </c:ser>
        <c:ser>
          <c:idx val="1"/>
          <c:order val="1"/>
          <c:tx>
            <c:strRef>
              <c:f>'EC. Accid Lab.'!$F$3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 Accid Lab.'!$A$4:$A$10</c:f>
              <c:strCache>
                <c:ptCount val="7"/>
                <c:pt idx="0">
                  <c:v>2009</c:v>
                </c:pt>
                <c:pt idx="1">
                  <c:v>2010</c:v>
                </c:pt>
                <c:pt idx="2">
                  <c:v>2011</c:v>
                </c:pt>
                <c:pt idx="3">
                  <c:v>2012</c:v>
                </c:pt>
                <c:pt idx="4">
                  <c:v>2013</c:v>
                </c:pt>
                <c:pt idx="5">
                  <c:v>2014</c:v>
                </c:pt>
                <c:pt idx="6">
                  <c:v>Enero 2015</c:v>
                </c:pt>
              </c:strCache>
            </c:strRef>
          </c:cat>
          <c:val>
            <c:numRef>
              <c:f>'EC. Accid Lab.'!$F$4:$F$10</c:f>
              <c:numCache>
                <c:formatCode>0.0%</c:formatCode>
                <c:ptCount val="7"/>
                <c:pt idx="0">
                  <c:v>0.37748344370860926</c:v>
                </c:pt>
                <c:pt idx="1">
                  <c:v>0.3904109589041096</c:v>
                </c:pt>
                <c:pt idx="2">
                  <c:v>0.5</c:v>
                </c:pt>
                <c:pt idx="3">
                  <c:v>0.63114754098360659</c:v>
                </c:pt>
                <c:pt idx="4">
                  <c:v>0.62735849056603776</c:v>
                </c:pt>
                <c:pt idx="5">
                  <c:v>0.63535911602209949</c:v>
                </c:pt>
                <c:pt idx="6">
                  <c:v>0.63636363636363635</c:v>
                </c:pt>
              </c:numCache>
            </c:numRef>
          </c:val>
        </c:ser>
        <c:dLbls>
          <c:showLegendKey val="0"/>
          <c:showVal val="0"/>
          <c:showCatName val="0"/>
          <c:showSerName val="0"/>
          <c:showPercent val="0"/>
          <c:showBubbleSize val="0"/>
        </c:dLbls>
        <c:gapWidth val="75"/>
        <c:shape val="cylinder"/>
        <c:axId val="374320032"/>
        <c:axId val="374320424"/>
        <c:axId val="0"/>
      </c:bar3DChart>
      <c:catAx>
        <c:axId val="374320032"/>
        <c:scaling>
          <c:orientation val="minMax"/>
        </c:scaling>
        <c:delete val="0"/>
        <c:axPos val="b"/>
        <c:numFmt formatCode="General" sourceLinked="1"/>
        <c:majorTickMark val="none"/>
        <c:minorTickMark val="none"/>
        <c:tickLblPos val="nextTo"/>
        <c:txPr>
          <a:bodyPr/>
          <a:lstStyle/>
          <a:p>
            <a:pPr>
              <a:defRPr sz="1400"/>
            </a:pPr>
            <a:endParaRPr lang="es-ES"/>
          </a:p>
        </c:txPr>
        <c:crossAx val="374320424"/>
        <c:crosses val="autoZero"/>
        <c:auto val="1"/>
        <c:lblAlgn val="ctr"/>
        <c:lblOffset val="100"/>
        <c:noMultiLvlLbl val="0"/>
      </c:catAx>
      <c:valAx>
        <c:axId val="374320424"/>
        <c:scaling>
          <c:orientation val="minMax"/>
        </c:scaling>
        <c:delete val="1"/>
        <c:axPos val="l"/>
        <c:numFmt formatCode="0.0%" sourceLinked="1"/>
        <c:majorTickMark val="out"/>
        <c:minorTickMark val="none"/>
        <c:tickLblPos val="nextTo"/>
        <c:crossAx val="374320032"/>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895077796925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1"/>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Aprobxtipo'!$A$4:$A$10</c:f>
              <c:strCache>
                <c:ptCount val="7"/>
                <c:pt idx="0">
                  <c:v>2009</c:v>
                </c:pt>
                <c:pt idx="1">
                  <c:v>2010</c:v>
                </c:pt>
                <c:pt idx="2">
                  <c:v>2011</c:v>
                </c:pt>
                <c:pt idx="3">
                  <c:v>2012</c:v>
                </c:pt>
                <c:pt idx="4">
                  <c:v>2013</c:v>
                </c:pt>
                <c:pt idx="5">
                  <c:v>2014</c:v>
                </c:pt>
                <c:pt idx="6">
                  <c:v>Ene.2015</c:v>
                </c:pt>
              </c:strCache>
            </c:strRef>
          </c:cat>
          <c:val>
            <c:numRef>
              <c:f>'Accid.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0.25</c:v>
                </c:pt>
              </c:numCache>
            </c:numRef>
          </c:val>
        </c:ser>
        <c:ser>
          <c:idx val="1"/>
          <c:order val="1"/>
          <c:tx>
            <c:strRef>
              <c:f>'Accid. Aprobxtipo'!$H$3</c:f>
              <c:strCache>
                <c:ptCount val="1"/>
                <c:pt idx="0">
                  <c:v>%   Trayecto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1"/>
                  </a:pPr>
                  <a:endParaRPr lang="es-ES"/>
                </a:p>
              </c:txPr>
              <c:showLegendKey val="0"/>
              <c:showVal val="1"/>
              <c:showCatName val="0"/>
              <c:showSerName val="0"/>
              <c:showPercent val="0"/>
              <c:showBubbleSize val="0"/>
            </c:dLbl>
            <c:dLbl>
              <c:idx val="4"/>
              <c:layout>
                <c:manualLayout>
                  <c:x val="1.0507503212234742E-2"/>
                  <c:y val="-1.030418606341796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Aprobxtipo'!$A$4:$A$10</c:f>
              <c:strCache>
                <c:ptCount val="7"/>
                <c:pt idx="0">
                  <c:v>2009</c:v>
                </c:pt>
                <c:pt idx="1">
                  <c:v>2010</c:v>
                </c:pt>
                <c:pt idx="2">
                  <c:v>2011</c:v>
                </c:pt>
                <c:pt idx="3">
                  <c:v>2012</c:v>
                </c:pt>
                <c:pt idx="4">
                  <c:v>2013</c:v>
                </c:pt>
                <c:pt idx="5">
                  <c:v>2014</c:v>
                </c:pt>
                <c:pt idx="6">
                  <c:v>Ene.2015</c:v>
                </c:pt>
              </c:strCache>
            </c:strRef>
          </c:cat>
          <c:val>
            <c:numRef>
              <c:f>'Accid.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0.75</c:v>
                </c:pt>
              </c:numCache>
            </c:numRef>
          </c:val>
        </c:ser>
        <c:ser>
          <c:idx val="2"/>
          <c:order val="2"/>
          <c:tx>
            <c:strRef>
              <c:f>'Accid.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Aprobxtipo'!$A$4:$A$10</c:f>
              <c:strCache>
                <c:ptCount val="7"/>
                <c:pt idx="0">
                  <c:v>2009</c:v>
                </c:pt>
                <c:pt idx="1">
                  <c:v>2010</c:v>
                </c:pt>
                <c:pt idx="2">
                  <c:v>2011</c:v>
                </c:pt>
                <c:pt idx="3">
                  <c:v>2012</c:v>
                </c:pt>
                <c:pt idx="4">
                  <c:v>2013</c:v>
                </c:pt>
                <c:pt idx="5">
                  <c:v>2014</c:v>
                </c:pt>
                <c:pt idx="6">
                  <c:v>Ene.2015</c:v>
                </c:pt>
              </c:strCache>
            </c:strRef>
          </c:cat>
          <c:val>
            <c:numRef>
              <c:f>'Accid.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 Aprobxtipo'!$A$4:$A$10</c:f>
              <c:strCache>
                <c:ptCount val="7"/>
                <c:pt idx="0">
                  <c:v>2009</c:v>
                </c:pt>
                <c:pt idx="1">
                  <c:v>2010</c:v>
                </c:pt>
                <c:pt idx="2">
                  <c:v>2011</c:v>
                </c:pt>
                <c:pt idx="3">
                  <c:v>2012</c:v>
                </c:pt>
                <c:pt idx="4">
                  <c:v>2013</c:v>
                </c:pt>
                <c:pt idx="5">
                  <c:v>2014</c:v>
                </c:pt>
                <c:pt idx="6">
                  <c:v>Ene.2015</c:v>
                </c:pt>
              </c:strCache>
            </c:strRef>
          </c:cat>
          <c:val>
            <c:numRef>
              <c:f>'Accid.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374321208"/>
        <c:axId val="374321600"/>
        <c:axId val="0"/>
      </c:bar3DChart>
      <c:catAx>
        <c:axId val="374321208"/>
        <c:scaling>
          <c:orientation val="minMax"/>
        </c:scaling>
        <c:delete val="0"/>
        <c:axPos val="b"/>
        <c:numFmt formatCode="General" sourceLinked="1"/>
        <c:majorTickMark val="none"/>
        <c:minorTickMark val="none"/>
        <c:tickLblPos val="nextTo"/>
        <c:txPr>
          <a:bodyPr/>
          <a:lstStyle/>
          <a:p>
            <a:pPr>
              <a:defRPr sz="1600"/>
            </a:pPr>
            <a:endParaRPr lang="es-ES"/>
          </a:p>
        </c:txPr>
        <c:crossAx val="374321600"/>
        <c:crosses val="autoZero"/>
        <c:auto val="1"/>
        <c:lblAlgn val="ctr"/>
        <c:lblOffset val="100"/>
        <c:noMultiLvlLbl val="0"/>
      </c:catAx>
      <c:valAx>
        <c:axId val="374321600"/>
        <c:scaling>
          <c:orientation val="minMax"/>
        </c:scaling>
        <c:delete val="0"/>
        <c:axPos val="l"/>
        <c:numFmt formatCode="0.00%" sourceLinked="1"/>
        <c:majorTickMark val="none"/>
        <c:minorTickMark val="none"/>
        <c:tickLblPos val="nextTo"/>
        <c:spPr>
          <a:ln w="9525">
            <a:noFill/>
          </a:ln>
        </c:spPr>
        <c:crossAx val="374321208"/>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 Accid. Aprob xLesión '!$G$3</c:f>
              <c:strCache>
                <c:ptCount val="1"/>
                <c:pt idx="0">
                  <c:v>%   Leve</c:v>
                </c:pt>
              </c:strCache>
            </c:strRef>
          </c:tx>
          <c:spPr>
            <a:solidFill>
              <a:schemeClr val="accent6">
                <a:lumMod val="50000"/>
              </a:schemeClr>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4909803237557275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Aprob xLesión '!$A$4:$A$10</c:f>
              <c:strCache>
                <c:ptCount val="7"/>
                <c:pt idx="0">
                  <c:v>2009</c:v>
                </c:pt>
                <c:pt idx="1">
                  <c:v>2010</c:v>
                </c:pt>
                <c:pt idx="2">
                  <c:v>2011</c:v>
                </c:pt>
                <c:pt idx="3">
                  <c:v>2012</c:v>
                </c:pt>
                <c:pt idx="4">
                  <c:v>2013</c:v>
                </c:pt>
                <c:pt idx="5">
                  <c:v>2014</c:v>
                </c:pt>
                <c:pt idx="6">
                  <c:v>Ene.2015</c:v>
                </c:pt>
              </c:strCache>
            </c:strRef>
          </c:cat>
          <c:val>
            <c:numRef>
              <c:f>'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c:v>
                </c:pt>
              </c:numCache>
            </c:numRef>
          </c:val>
        </c:ser>
        <c:ser>
          <c:idx val="1"/>
          <c:order val="1"/>
          <c:tx>
            <c:strRef>
              <c:f>'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Aprob xLesión '!$A$4:$A$10</c:f>
              <c:strCache>
                <c:ptCount val="7"/>
                <c:pt idx="0">
                  <c:v>2009</c:v>
                </c:pt>
                <c:pt idx="1">
                  <c:v>2010</c:v>
                </c:pt>
                <c:pt idx="2">
                  <c:v>2011</c:v>
                </c:pt>
                <c:pt idx="3">
                  <c:v>2012</c:v>
                </c:pt>
                <c:pt idx="4">
                  <c:v>2013</c:v>
                </c:pt>
                <c:pt idx="5">
                  <c:v>2014</c:v>
                </c:pt>
                <c:pt idx="6">
                  <c:v>Ene.2015</c:v>
                </c:pt>
              </c:strCache>
            </c:strRef>
          </c:cat>
          <c:val>
            <c:numRef>
              <c:f>'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1</c:v>
                </c:pt>
              </c:numCache>
            </c:numRef>
          </c:val>
        </c:ser>
        <c:ser>
          <c:idx val="2"/>
          <c:order val="2"/>
          <c:tx>
            <c:strRef>
              <c:f>' Accid. Aprob xLesión '!$I$3</c:f>
              <c:strCache>
                <c:ptCount val="1"/>
                <c:pt idx="0">
                  <c:v>%  Grave</c:v>
                </c:pt>
              </c:strCache>
            </c:strRef>
          </c:tx>
          <c:spPr>
            <a:solidFill>
              <a:srgbClr val="0070C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463354308369487E-2"/>
                  <c:y val="-3.30621951792195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6988506165205683E-3"/>
                  <c:y val="-1.176247626842341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422780725373126E-2"/>
                  <c:y val="-1.4909803237557353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Aprob xLesión '!$A$4:$A$10</c:f>
              <c:strCache>
                <c:ptCount val="7"/>
                <c:pt idx="0">
                  <c:v>2009</c:v>
                </c:pt>
                <c:pt idx="1">
                  <c:v>2010</c:v>
                </c:pt>
                <c:pt idx="2">
                  <c:v>2011</c:v>
                </c:pt>
                <c:pt idx="3">
                  <c:v>2012</c:v>
                </c:pt>
                <c:pt idx="4">
                  <c:v>2013</c:v>
                </c:pt>
                <c:pt idx="5">
                  <c:v>2014</c:v>
                </c:pt>
                <c:pt idx="6">
                  <c:v>Ene.2015</c:v>
                </c:pt>
              </c:strCache>
            </c:strRef>
          </c:cat>
          <c:val>
            <c:numRef>
              <c:f>'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0</c:v>
                </c:pt>
              </c:numCache>
            </c:numRef>
          </c:val>
        </c:ser>
        <c:ser>
          <c:idx val="3"/>
          <c:order val="3"/>
          <c:tx>
            <c:strRef>
              <c:f>' Accid. Aprob xLesión '!$J$3</c:f>
              <c:strCache>
                <c:ptCount val="1"/>
                <c:pt idx="0">
                  <c:v>% Mortal</c:v>
                </c:pt>
              </c:strCache>
            </c:strRef>
          </c:tx>
          <c:spPr>
            <a:solidFill>
              <a:schemeClr val="accent1">
                <a:lumMod val="5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05099479867E-2"/>
                  <c:y val="-9.903698436231660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548394136689339E-2"/>
                  <c:y val="-1.7039775128637042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Accid. Aprob xLesión '!$A$4:$A$10</c:f>
              <c:strCache>
                <c:ptCount val="7"/>
                <c:pt idx="0">
                  <c:v>2009</c:v>
                </c:pt>
                <c:pt idx="1">
                  <c:v>2010</c:v>
                </c:pt>
                <c:pt idx="2">
                  <c:v>2011</c:v>
                </c:pt>
                <c:pt idx="3">
                  <c:v>2012</c:v>
                </c:pt>
                <c:pt idx="4">
                  <c:v>2013</c:v>
                </c:pt>
                <c:pt idx="5">
                  <c:v>2014</c:v>
                </c:pt>
                <c:pt idx="6">
                  <c:v>Ene.2015</c:v>
                </c:pt>
              </c:strCache>
            </c:strRef>
          </c:cat>
          <c:val>
            <c:numRef>
              <c:f>'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375120912"/>
        <c:axId val="375121304"/>
        <c:axId val="0"/>
      </c:bar3DChart>
      <c:catAx>
        <c:axId val="375120912"/>
        <c:scaling>
          <c:orientation val="minMax"/>
        </c:scaling>
        <c:delete val="0"/>
        <c:axPos val="b"/>
        <c:numFmt formatCode="General" sourceLinked="1"/>
        <c:majorTickMark val="none"/>
        <c:minorTickMark val="none"/>
        <c:tickLblPos val="nextTo"/>
        <c:txPr>
          <a:bodyPr/>
          <a:lstStyle/>
          <a:p>
            <a:pPr>
              <a:defRPr sz="1400"/>
            </a:pPr>
            <a:endParaRPr lang="es-ES"/>
          </a:p>
        </c:txPr>
        <c:crossAx val="375121304"/>
        <c:crosses val="autoZero"/>
        <c:auto val="1"/>
        <c:lblAlgn val="ctr"/>
        <c:lblOffset val="100"/>
        <c:noMultiLvlLbl val="0"/>
      </c:catAx>
      <c:valAx>
        <c:axId val="375121304"/>
        <c:scaling>
          <c:orientation val="minMax"/>
        </c:scaling>
        <c:delete val="0"/>
        <c:axPos val="l"/>
        <c:numFmt formatCode="0.00%" sourceLinked="1"/>
        <c:majorTickMark val="none"/>
        <c:minorTickMark val="none"/>
        <c:tickLblPos val="nextTo"/>
        <c:spPr>
          <a:ln w="9525">
            <a:noFill/>
          </a:ln>
        </c:spPr>
        <c:crossAx val="37512091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0</c:v>
                </c:pt>
              </c:numCache>
            </c:numRef>
          </c:val>
        </c:ser>
        <c:ser>
          <c:idx val="1"/>
          <c:order val="1"/>
          <c:tx>
            <c:strRef>
              <c:f>'Accid.Aprob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0</c:v>
                </c:pt>
              </c:numCache>
            </c:numRef>
          </c:val>
        </c:ser>
        <c:ser>
          <c:idx val="2"/>
          <c:order val="2"/>
          <c:tx>
            <c:strRef>
              <c:f>'Accid.Aprob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1</c:v>
                </c:pt>
              </c:numCache>
            </c:numRef>
          </c:val>
        </c:ser>
        <c:ser>
          <c:idx val="4"/>
          <c:order val="4"/>
          <c:tx>
            <c:strRef>
              <c:f>'Accid.Aprob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0</c:v>
                </c:pt>
              </c:numCache>
            </c:numRef>
          </c:val>
        </c:ser>
        <c:ser>
          <c:idx val="5"/>
          <c:order val="5"/>
          <c:tx>
            <c:strRef>
              <c:f>'Accid.Aprob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'Accid.Aprob Según suc.'!$A$4:$A$10</c:f>
              <c:strCache>
                <c:ptCount val="7"/>
                <c:pt idx="0">
                  <c:v>2009</c:v>
                </c:pt>
                <c:pt idx="1">
                  <c:v>2010</c:v>
                </c:pt>
                <c:pt idx="2">
                  <c:v>2011</c:v>
                </c:pt>
                <c:pt idx="3">
                  <c:v>2012</c:v>
                </c:pt>
                <c:pt idx="4">
                  <c:v>2013</c:v>
                </c:pt>
                <c:pt idx="5">
                  <c:v>2014</c:v>
                </c:pt>
                <c:pt idx="6">
                  <c:v>Ene.2015</c:v>
                </c:pt>
              </c:strCache>
            </c:strRef>
          </c:cat>
          <c:val>
            <c:numRef>
              <c:f>'Accid.Aprob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375122088"/>
        <c:axId val="375122480"/>
        <c:axId val="0"/>
      </c:bar3DChart>
      <c:catAx>
        <c:axId val="375122088"/>
        <c:scaling>
          <c:orientation val="minMax"/>
        </c:scaling>
        <c:delete val="0"/>
        <c:axPos val="b"/>
        <c:numFmt formatCode="General" sourceLinked="0"/>
        <c:majorTickMark val="out"/>
        <c:minorTickMark val="none"/>
        <c:tickLblPos val="nextTo"/>
        <c:txPr>
          <a:bodyPr/>
          <a:lstStyle/>
          <a:p>
            <a:pPr>
              <a:defRPr sz="1600"/>
            </a:pPr>
            <a:endParaRPr lang="es-ES"/>
          </a:p>
        </c:txPr>
        <c:crossAx val="375122480"/>
        <c:crosses val="autoZero"/>
        <c:auto val="1"/>
        <c:lblAlgn val="ctr"/>
        <c:lblOffset val="100"/>
        <c:noMultiLvlLbl val="0"/>
      </c:catAx>
      <c:valAx>
        <c:axId val="375122480"/>
        <c:scaling>
          <c:orientation val="minMax"/>
        </c:scaling>
        <c:delete val="0"/>
        <c:axPos val="l"/>
        <c:numFmt formatCode="0.00%" sourceLinked="1"/>
        <c:majorTickMark val="out"/>
        <c:minorTickMark val="none"/>
        <c:tickLblPos val="nextTo"/>
        <c:crossAx val="37512208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'Por Entidad Receptora Origen'!$A$4:$B$4</c:f>
              <c:strCache>
                <c:ptCount val="2"/>
                <c:pt idx="0">
                  <c:v>AFP y Otros Fondos</c:v>
                </c:pt>
                <c:pt idx="1">
                  <c:v>Solicitado por Afiliado</c:v>
                </c:pt>
              </c:strCache>
            </c:strRef>
          </c:tx>
          <c:spPr>
            <a:solidFill>
              <a:srgbClr val="002060"/>
            </a:solidFill>
          </c:spPr>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Origen'!$C$4:$J$4</c:f>
              <c:numCache>
                <c:formatCode>General</c:formatCode>
                <c:ptCount val="8"/>
                <c:pt idx="0">
                  <c:v>80</c:v>
                </c:pt>
                <c:pt idx="1">
                  <c:v>53</c:v>
                </c:pt>
                <c:pt idx="2">
                  <c:v>66</c:v>
                </c:pt>
                <c:pt idx="3">
                  <c:v>271</c:v>
                </c:pt>
                <c:pt idx="4">
                  <c:v>471</c:v>
                </c:pt>
                <c:pt idx="5">
                  <c:v>273</c:v>
                </c:pt>
                <c:pt idx="6">
                  <c:v>22</c:v>
                </c:pt>
                <c:pt idx="7">
                  <c:v>5</c:v>
                </c:pt>
              </c:numCache>
            </c:numRef>
          </c:val>
        </c:ser>
        <c:ser>
          <c:idx val="1"/>
          <c:order val="1"/>
          <c:tx>
            <c:strRef>
              <c:f>'Por Entidad Receptora Origen'!$A$5:$B$5</c:f>
              <c:strCache>
                <c:ptCount val="2"/>
                <c:pt idx="0">
                  <c:v>AFP y Otros Fondos</c:v>
                </c:pt>
                <c:pt idx="1">
                  <c:v>Solicitado por Seguro</c:v>
                </c:pt>
              </c:strCache>
            </c:strRef>
          </c:tx>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Origen'!$C$5:$J$5</c:f>
              <c:numCache>
                <c:formatCode>General</c:formatCode>
                <c:ptCount val="8"/>
                <c:pt idx="0">
                  <c:v>13</c:v>
                </c:pt>
                <c:pt idx="1">
                  <c:v>25</c:v>
                </c:pt>
                <c:pt idx="2">
                  <c:v>45</c:v>
                </c:pt>
                <c:pt idx="3">
                  <c:v>180</c:v>
                </c:pt>
                <c:pt idx="4">
                  <c:v>217</c:v>
                </c:pt>
                <c:pt idx="5">
                  <c:v>99</c:v>
                </c:pt>
                <c:pt idx="6">
                  <c:v>5</c:v>
                </c:pt>
                <c:pt idx="7">
                  <c:v>0</c:v>
                </c:pt>
              </c:numCache>
            </c:numRef>
          </c:val>
        </c:ser>
        <c:ser>
          <c:idx val="2"/>
          <c:order val="2"/>
          <c:tx>
            <c:strRef>
              <c:f>'Por Entidad Receptora Origen'!$A$6:$B$6</c:f>
              <c:strCache>
                <c:ptCount val="2"/>
                <c:pt idx="0">
                  <c:v>AFP y Otros Fondos</c:v>
                </c:pt>
                <c:pt idx="1">
                  <c:v>Origen no especificado</c:v>
                </c:pt>
              </c:strCache>
            </c:strRef>
          </c:tx>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Origen'!$C$6:$J$6</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'Por Entidad Receptora Origen'!$A$7:$B$7</c:f>
              <c:strCache>
                <c:ptCount val="2"/>
                <c:pt idx="0">
                  <c:v>ARL</c:v>
                </c:pt>
                <c:pt idx="1">
                  <c:v>Solicitado por Afiliado</c:v>
                </c:pt>
              </c:strCache>
            </c:strRef>
          </c:tx>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Origen'!$C$7:$J$7</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'Por Entidad Receptora Origen'!$A$8:$B$8</c:f>
              <c:strCache>
                <c:ptCount val="2"/>
                <c:pt idx="0">
                  <c:v>ARL</c:v>
                </c:pt>
                <c:pt idx="1">
                  <c:v>Solicitado por Seguro</c:v>
                </c:pt>
              </c:strCache>
            </c:strRef>
          </c:tx>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Origen'!$C$8:$J$8</c:f>
              <c:numCache>
                <c:formatCode>General</c:formatCode>
                <c:ptCount val="8"/>
                <c:pt idx="0">
                  <c:v>0</c:v>
                </c:pt>
                <c:pt idx="1">
                  <c:v>0</c:v>
                </c:pt>
                <c:pt idx="2">
                  <c:v>0</c:v>
                </c:pt>
                <c:pt idx="3">
                  <c:v>5</c:v>
                </c:pt>
                <c:pt idx="4">
                  <c:v>2</c:v>
                </c:pt>
                <c:pt idx="5">
                  <c:v>0</c:v>
                </c:pt>
                <c:pt idx="6">
                  <c:v>0</c:v>
                </c:pt>
                <c:pt idx="7">
                  <c:v>0</c:v>
                </c:pt>
              </c:numCache>
            </c:numRef>
          </c:val>
        </c:ser>
        <c:ser>
          <c:idx val="5"/>
          <c:order val="5"/>
          <c:tx>
            <c:strRef>
              <c:f>'Por Entidad Receptora Origen'!$A$9:$B$9</c:f>
              <c:strCache>
                <c:ptCount val="2"/>
                <c:pt idx="0">
                  <c:v>ARL</c:v>
                </c:pt>
                <c:pt idx="1">
                  <c:v>Origen no especificado</c:v>
                </c:pt>
              </c:strCache>
            </c:strRef>
          </c:tx>
          <c:invertIfNegative val="0"/>
          <c:cat>
            <c:strRef>
              <c:f>'Por Entidad Receptora Origen'!$C$3:$J$3</c:f>
              <c:strCache>
                <c:ptCount val="8"/>
                <c:pt idx="0">
                  <c:v>2009</c:v>
                </c:pt>
                <c:pt idx="1">
                  <c:v>2010</c:v>
                </c:pt>
                <c:pt idx="2">
                  <c:v>2011</c:v>
                </c:pt>
                <c:pt idx="3">
                  <c:v>2012</c:v>
                </c:pt>
                <c:pt idx="4">
                  <c:v>2013</c:v>
                </c:pt>
                <c:pt idx="5">
                  <c:v>2014</c:v>
                </c:pt>
                <c:pt idx="6">
                  <c:v>Ene.2015</c:v>
                </c:pt>
                <c:pt idx="7">
                  <c:v>Fecha No especificada</c:v>
                </c:pt>
              </c:strCache>
            </c:strRef>
          </c:cat>
          <c:val>
            <c:numRef>
              <c:f>'Por Entidad Receptora Origen'!$C$9:$J$9</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375123264"/>
        <c:axId val="375123656"/>
      </c:barChart>
      <c:catAx>
        <c:axId val="375123264"/>
        <c:scaling>
          <c:orientation val="minMax"/>
        </c:scaling>
        <c:delete val="0"/>
        <c:axPos val="b"/>
        <c:numFmt formatCode="General" sourceLinked="1"/>
        <c:majorTickMark val="none"/>
        <c:minorTickMark val="none"/>
        <c:tickLblPos val="nextTo"/>
        <c:crossAx val="375123656"/>
        <c:crosses val="autoZero"/>
        <c:auto val="1"/>
        <c:lblAlgn val="ctr"/>
        <c:lblOffset val="100"/>
        <c:noMultiLvlLbl val="0"/>
      </c:catAx>
      <c:valAx>
        <c:axId val="375123656"/>
        <c:scaling>
          <c:orientation val="minMax"/>
        </c:scaling>
        <c:delete val="1"/>
        <c:axPos val="l"/>
        <c:numFmt formatCode="General" sourceLinked="1"/>
        <c:majorTickMark val="none"/>
        <c:minorTickMark val="none"/>
        <c:tickLblPos val="nextTo"/>
        <c:crossAx val="375123264"/>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Status!$A$4:$A$11</c:f>
              <c:strCache>
                <c:ptCount val="8"/>
                <c:pt idx="0">
                  <c:v>Oct-Dic 2008</c:v>
                </c:pt>
                <c:pt idx="1">
                  <c:v>2009</c:v>
                </c:pt>
                <c:pt idx="2">
                  <c:v>2010</c:v>
                </c:pt>
                <c:pt idx="3">
                  <c:v>2011</c:v>
                </c:pt>
                <c:pt idx="4">
                  <c:v>2012</c:v>
                </c:pt>
                <c:pt idx="5">
                  <c:v>2013</c:v>
                </c:pt>
                <c:pt idx="6">
                  <c:v>2014</c:v>
                </c:pt>
                <c:pt idx="7">
                  <c:v>Ene.2015</c:v>
                </c:pt>
              </c:strCache>
            </c:strRef>
          </c:cat>
          <c:val>
            <c:numRef>
              <c:f>Status!$B$4:$B$11</c:f>
              <c:numCache>
                <c:formatCode>_(* #,##0_);_(* \(#,##0\);_(* "-"??_);_(@_)</c:formatCode>
                <c:ptCount val="8"/>
                <c:pt idx="0">
                  <c:v>107</c:v>
                </c:pt>
                <c:pt idx="1">
                  <c:v>1018</c:v>
                </c:pt>
                <c:pt idx="2">
                  <c:v>1491</c:v>
                </c:pt>
                <c:pt idx="3">
                  <c:v>2085</c:v>
                </c:pt>
                <c:pt idx="4">
                  <c:v>2165</c:v>
                </c:pt>
                <c:pt idx="5">
                  <c:v>1670</c:v>
                </c:pt>
                <c:pt idx="6">
                  <c:v>1561</c:v>
                </c:pt>
                <c:pt idx="7">
                  <c:v>111</c:v>
                </c:pt>
              </c:numCache>
            </c:numRef>
          </c:val>
        </c:ser>
        <c:ser>
          <c:idx val="1"/>
          <c:order val="1"/>
          <c:tx>
            <c:strRef>
              <c:f>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Status!$A$4:$A$11</c:f>
              <c:strCache>
                <c:ptCount val="8"/>
                <c:pt idx="0">
                  <c:v>Oct-Dic 2008</c:v>
                </c:pt>
                <c:pt idx="1">
                  <c:v>2009</c:v>
                </c:pt>
                <c:pt idx="2">
                  <c:v>2010</c:v>
                </c:pt>
                <c:pt idx="3">
                  <c:v>2011</c:v>
                </c:pt>
                <c:pt idx="4">
                  <c:v>2012</c:v>
                </c:pt>
                <c:pt idx="5">
                  <c:v>2013</c:v>
                </c:pt>
                <c:pt idx="6">
                  <c:v>2014</c:v>
                </c:pt>
                <c:pt idx="7">
                  <c:v>Ene.2015</c:v>
                </c:pt>
              </c:strCache>
            </c:strRef>
          </c:cat>
          <c:val>
            <c:numRef>
              <c:f>Status!$C$4:$C$11</c:f>
              <c:numCache>
                <c:formatCode>_(* #,##0_);_(* \(#,##0\);_(* "-"??_);_(@_)</c:formatCode>
                <c:ptCount val="8"/>
                <c:pt idx="0">
                  <c:v>16</c:v>
                </c:pt>
                <c:pt idx="1">
                  <c:v>659</c:v>
                </c:pt>
                <c:pt idx="2">
                  <c:v>785</c:v>
                </c:pt>
                <c:pt idx="3">
                  <c:v>802</c:v>
                </c:pt>
                <c:pt idx="4">
                  <c:v>1885</c:v>
                </c:pt>
                <c:pt idx="5">
                  <c:v>2885</c:v>
                </c:pt>
                <c:pt idx="6">
                  <c:v>1749</c:v>
                </c:pt>
                <c:pt idx="7">
                  <c:v>148</c:v>
                </c:pt>
              </c:numCache>
            </c:numRef>
          </c:val>
        </c:ser>
        <c:dLbls>
          <c:showLegendKey val="0"/>
          <c:showVal val="0"/>
          <c:showCatName val="0"/>
          <c:showSerName val="0"/>
          <c:showPercent val="0"/>
          <c:showBubbleSize val="0"/>
        </c:dLbls>
        <c:gapWidth val="34"/>
        <c:overlap val="13"/>
        <c:axId val="375124832"/>
        <c:axId val="375125224"/>
      </c:barChart>
      <c:catAx>
        <c:axId val="375124832"/>
        <c:scaling>
          <c:orientation val="minMax"/>
        </c:scaling>
        <c:delete val="0"/>
        <c:axPos val="b"/>
        <c:numFmt formatCode="General" sourceLinked="0"/>
        <c:majorTickMark val="none"/>
        <c:minorTickMark val="none"/>
        <c:tickLblPos val="nextTo"/>
        <c:txPr>
          <a:bodyPr/>
          <a:lstStyle/>
          <a:p>
            <a:pPr>
              <a:defRPr sz="1200"/>
            </a:pPr>
            <a:endParaRPr lang="es-ES"/>
          </a:p>
        </c:txPr>
        <c:crossAx val="375125224"/>
        <c:crosses val="autoZero"/>
        <c:auto val="1"/>
        <c:lblAlgn val="ctr"/>
        <c:lblOffset val="100"/>
        <c:noMultiLvlLbl val="0"/>
      </c:catAx>
      <c:valAx>
        <c:axId val="375125224"/>
        <c:scaling>
          <c:orientation val="minMax"/>
        </c:scaling>
        <c:delete val="1"/>
        <c:axPos val="l"/>
        <c:numFmt formatCode="_(* #,##0_);_(* \(#,##0\);_(* &quot;-&quot;??_);_(@_)" sourceLinked="1"/>
        <c:majorTickMark val="none"/>
        <c:minorTickMark val="none"/>
        <c:tickLblPos val="nextTo"/>
        <c:crossAx val="375124832"/>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59.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1.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2.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INDICE!A1"/></Relationships>
</file>

<file path=xl/drawings/_rels/drawing12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69.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91"/></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INDICE!A1"/><Relationship Id="rId1" Type="http://schemas.openxmlformats.org/officeDocument/2006/relationships/chart" Target="../charts/chart7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74.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9.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81.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7.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2.gif"/><Relationship Id="rId1" Type="http://schemas.openxmlformats.org/officeDocument/2006/relationships/chart" Target="../charts/chart87.xml"/><Relationship Id="rId4"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1.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2.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chart" Target="../charts/chart98.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hart" Target="../charts/chart10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7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image" Target="../media/image4.png"/><Relationship Id="rId4"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image" Target="../media/image4.png"/><Relationship Id="rId4" Type="http://schemas.openxmlformats.org/officeDocument/2006/relationships/hyperlink" Target="#HOME!A1"/></Relationships>
</file>

<file path=xl/drawings/_rels/drawing183.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Contenido!A60"/></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5.xml"/><Relationship Id="rId1" Type="http://schemas.openxmlformats.org/officeDocument/2006/relationships/image" Target="../media/image8.gif"/></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3.xml"/></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6.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914400</xdr:colOff>
      <xdr:row>137</xdr:row>
      <xdr:rowOff>99302</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20345400" cy="26540702"/>
        </a:xfrm>
        <a:prstGeom prst="rect">
          <a:avLst/>
        </a:prstGeom>
      </xdr:spPr>
    </xdr:pic>
    <xdr:clientData/>
  </xdr:twoCellAnchor>
  <xdr:twoCellAnchor editAs="oneCell">
    <xdr:from>
      <xdr:col>7</xdr:col>
      <xdr:colOff>1009651</xdr:colOff>
      <xdr:row>36</xdr:row>
      <xdr:rowOff>109538</xdr:rowOff>
    </xdr:from>
    <xdr:to>
      <xdr:col>16</xdr:col>
      <xdr:colOff>342900</xdr:colOff>
      <xdr:row>94</xdr:row>
      <xdr:rowOff>0</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8782051" y="7310438"/>
          <a:ext cx="9963149" cy="10939462"/>
        </a:xfrm>
        <a:prstGeom prst="rect">
          <a:avLst/>
        </a:prstGeom>
        <a:noFill/>
        <a:ln>
          <a:noFill/>
        </a:ln>
      </xdr:spPr>
    </xdr:pic>
    <xdr:clientData/>
  </xdr:twoCellAnchor>
  <xdr:twoCellAnchor>
    <xdr:from>
      <xdr:col>7</xdr:col>
      <xdr:colOff>204786</xdr:colOff>
      <xdr:row>66</xdr:row>
      <xdr:rowOff>76200</xdr:rowOff>
    </xdr:from>
    <xdr:to>
      <xdr:col>17</xdr:col>
      <xdr:colOff>533400</xdr:colOff>
      <xdr:row>88</xdr:row>
      <xdr:rowOff>114300</xdr:rowOff>
    </xdr:to>
    <xdr:sp macro="" textlink="">
      <xdr:nvSpPr>
        <xdr:cNvPr id="4" name="3 Rectángulo"/>
        <xdr:cNvSpPr/>
      </xdr:nvSpPr>
      <xdr:spPr>
        <a:xfrm>
          <a:off x="7977186" y="12992100"/>
          <a:ext cx="11987214" cy="422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11500" b="1">
              <a:solidFill>
                <a:schemeClr val="accent3">
                  <a:lumMod val="50000"/>
                </a:schemeClr>
              </a:solidFill>
              <a:latin typeface="Baskerville Old Face" pitchFamily="18" charset="0"/>
            </a:rPr>
            <a:t>B</a:t>
          </a:r>
          <a:r>
            <a:rPr lang="es-DO" sz="8800" b="1">
              <a:solidFill>
                <a:schemeClr val="accent5">
                  <a:lumMod val="50000"/>
                </a:schemeClr>
              </a:solidFill>
              <a:latin typeface="Baskerville Old Face" pitchFamily="18" charset="0"/>
            </a:rPr>
            <a:t>oletín</a:t>
          </a:r>
          <a:r>
            <a:rPr lang="es-DO" sz="8800" b="1" baseline="0">
              <a:solidFill>
                <a:schemeClr val="accent5">
                  <a:lumMod val="50000"/>
                </a:schemeClr>
              </a:solidFill>
              <a:latin typeface="Baskerville Old Face" pitchFamily="18" charset="0"/>
            </a:rPr>
            <a:t> </a:t>
          </a:r>
          <a:r>
            <a:rPr lang="es-DO" sz="11500" b="1" baseline="0">
              <a:solidFill>
                <a:schemeClr val="accent3">
                  <a:lumMod val="50000"/>
                </a:schemeClr>
              </a:solidFill>
              <a:latin typeface="Baskerville Old Face" pitchFamily="18" charset="0"/>
              <a:ea typeface="+mn-ea"/>
              <a:cs typeface="+mn-cs"/>
            </a:rPr>
            <a:t>E</a:t>
          </a:r>
          <a:r>
            <a:rPr lang="es-DO" sz="8800" b="1">
              <a:solidFill>
                <a:schemeClr val="accent5">
                  <a:lumMod val="50000"/>
                </a:schemeClr>
              </a:solidFill>
              <a:latin typeface="Baskerville Old Face" pitchFamily="18" charset="0"/>
            </a:rPr>
            <a:t>stadístico</a:t>
          </a:r>
        </a:p>
        <a:p>
          <a:pPr lvl="1" algn="r"/>
          <a:r>
            <a:rPr lang="es-DO" sz="9600" b="1" baseline="0">
              <a:solidFill>
                <a:schemeClr val="accent3">
                  <a:lumMod val="50000"/>
                </a:schemeClr>
              </a:solidFill>
              <a:latin typeface="Baskerville Old Face" pitchFamily="18" charset="0"/>
              <a:ea typeface="+mn-ea"/>
              <a:cs typeface="+mn-cs"/>
            </a:rPr>
            <a:t>E</a:t>
          </a:r>
          <a:r>
            <a:rPr lang="es-DO" sz="6600" b="1" baseline="0">
              <a:solidFill>
                <a:schemeClr val="accent5">
                  <a:lumMod val="50000"/>
                </a:schemeClr>
              </a:solidFill>
              <a:latin typeface="Baskerville Old Face" pitchFamily="18" charset="0"/>
              <a:ea typeface="+mn-ea"/>
              <a:cs typeface="+mn-cs"/>
            </a:rPr>
            <a:t>nero</a:t>
          </a:r>
          <a:r>
            <a:rPr lang="es-DO" sz="8000" b="1">
              <a:solidFill>
                <a:schemeClr val="accent3">
                  <a:lumMod val="50000"/>
                </a:schemeClr>
              </a:solidFill>
              <a:latin typeface="Baskerville Old Face" pitchFamily="18" charset="0"/>
            </a:rPr>
            <a:t>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015</a:t>
          </a:r>
          <a:endParaRPr lang="es-DO" sz="3200" b="1" i="0">
            <a:solidFill>
              <a:schemeClr val="accent3">
                <a:lumMod val="50000"/>
              </a:schemeClr>
            </a:solidFill>
            <a:effectLst/>
            <a:latin typeface="Baskerville Old Face" panose="02020602080505020303" pitchFamily="18" charset="0"/>
            <a:ea typeface="+mn-ea"/>
            <a:cs typeface="+mn-cs"/>
          </a:endParaRPr>
        </a:p>
        <a:p>
          <a:pPr algn="r"/>
          <a:endParaRPr lang="es-DO" sz="2400" b="1" i="1">
            <a:solidFill>
              <a:sysClr val="windowText" lastClr="000000"/>
            </a:solidFill>
            <a:effectLst/>
            <a:latin typeface="+mn-lt"/>
            <a:ea typeface="+mn-ea"/>
            <a:cs typeface="+mn-cs"/>
          </a:endParaRPr>
        </a:p>
      </xdr:txBody>
    </xdr:sp>
    <xdr:clientData/>
  </xdr:twoCellAnchor>
  <xdr:twoCellAnchor>
    <xdr:from>
      <xdr:col>6</xdr:col>
      <xdr:colOff>723900</xdr:colOff>
      <xdr:row>34</xdr:row>
      <xdr:rowOff>0</xdr:rowOff>
    </xdr:from>
    <xdr:to>
      <xdr:col>17</xdr:col>
      <xdr:colOff>457200</xdr:colOff>
      <xdr:row>61</xdr:row>
      <xdr:rowOff>76200</xdr:rowOff>
    </xdr:to>
    <xdr:sp macro="" textlink="">
      <xdr:nvSpPr>
        <xdr:cNvPr id="5" name="3 Rectángulo"/>
        <xdr:cNvSpPr/>
      </xdr:nvSpPr>
      <xdr:spPr>
        <a:xfrm>
          <a:off x="7467600" y="6819900"/>
          <a:ext cx="12420600" cy="5219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a:solidFill>
                <a:schemeClr val="accent3">
                  <a:lumMod val="50000"/>
                </a:schemeClr>
              </a:solidFill>
              <a:latin typeface="Baskerville Old Face" pitchFamily="18" charset="0"/>
              <a:ea typeface="+mn-ea"/>
              <a:cs typeface="+mn-cs"/>
            </a:rPr>
            <a:t>S</a:t>
          </a:r>
          <a:r>
            <a:rPr lang="es-DO" sz="8800" b="1">
              <a:solidFill>
                <a:schemeClr val="accent5">
                  <a:lumMod val="50000"/>
                </a:schemeClr>
              </a:solidFill>
              <a:latin typeface="Baskerville Old Face" pitchFamily="18" charset="0"/>
              <a:ea typeface="+mn-ea"/>
              <a:cs typeface="+mn-cs"/>
            </a:rPr>
            <a:t>istema</a:t>
          </a:r>
          <a:r>
            <a:rPr lang="es-DO" sz="8800" b="1">
              <a:solidFill>
                <a:schemeClr val="accent3">
                  <a:lumMod val="50000"/>
                </a:schemeClr>
              </a:solidFill>
              <a:latin typeface="Baskerville Old Face" pitchFamily="18" charset="0"/>
              <a:ea typeface="+mn-ea"/>
              <a:cs typeface="+mn-cs"/>
            </a:rPr>
            <a:t> D</a:t>
          </a:r>
          <a:r>
            <a:rPr lang="es-DO" sz="8800" b="1">
              <a:solidFill>
                <a:schemeClr val="accent5">
                  <a:lumMod val="50000"/>
                </a:schemeClr>
              </a:solidFill>
              <a:latin typeface="Baskerville Old Face" pitchFamily="18" charset="0"/>
              <a:ea typeface="+mn-ea"/>
              <a:cs typeface="+mn-cs"/>
            </a:rPr>
            <a:t>ominicano</a:t>
          </a:r>
          <a:r>
            <a:rPr lang="es-DO" sz="8800" b="1">
              <a:solidFill>
                <a:schemeClr val="accent3">
                  <a:lumMod val="50000"/>
                </a:schemeClr>
              </a:solidFill>
              <a:latin typeface="Baskerville Old Face" pitchFamily="18" charset="0"/>
              <a:ea typeface="+mn-ea"/>
              <a:cs typeface="+mn-cs"/>
            </a:rPr>
            <a:t> d</a:t>
          </a:r>
          <a:r>
            <a:rPr lang="es-DO" sz="8800" b="1">
              <a:solidFill>
                <a:schemeClr val="accent5">
                  <a:lumMod val="50000"/>
                </a:schemeClr>
              </a:solidFill>
              <a:latin typeface="Baskerville Old Face" pitchFamily="18" charset="0"/>
              <a:ea typeface="+mn-ea"/>
              <a:cs typeface="+mn-cs"/>
            </a:rPr>
            <a:t>e</a:t>
          </a:r>
          <a:r>
            <a:rPr lang="es-DO" sz="8800" b="1">
              <a:solidFill>
                <a:schemeClr val="accent3">
                  <a:lumMod val="50000"/>
                </a:schemeClr>
              </a:solidFill>
              <a:latin typeface="Baskerville Old Face" pitchFamily="18" charset="0"/>
              <a:ea typeface="+mn-ea"/>
              <a:cs typeface="+mn-cs"/>
            </a:rPr>
            <a:t> S</a:t>
          </a:r>
          <a:r>
            <a:rPr lang="es-DO" sz="8800" b="1">
              <a:solidFill>
                <a:schemeClr val="accent5">
                  <a:lumMod val="50000"/>
                </a:schemeClr>
              </a:solidFill>
              <a:latin typeface="Baskerville Old Face" pitchFamily="18" charset="0"/>
              <a:ea typeface="+mn-ea"/>
              <a:cs typeface="+mn-cs"/>
            </a:rPr>
            <a:t>eguridad</a:t>
          </a:r>
          <a:r>
            <a:rPr lang="es-DO" sz="8800" b="1">
              <a:solidFill>
                <a:schemeClr val="accent3">
                  <a:lumMod val="50000"/>
                </a:schemeClr>
              </a:solidFill>
              <a:latin typeface="Baskerville Old Face" pitchFamily="18" charset="0"/>
              <a:ea typeface="+mn-ea"/>
              <a:cs typeface="+mn-cs"/>
            </a:rPr>
            <a:t> S</a:t>
          </a:r>
          <a:r>
            <a:rPr lang="es-DO" sz="8800" b="1">
              <a:solidFill>
                <a:schemeClr val="accent5">
                  <a:lumMod val="50000"/>
                </a:schemeClr>
              </a:solidFill>
              <a:latin typeface="Baskerville Old Face" pitchFamily="18" charset="0"/>
              <a:ea typeface="+mn-ea"/>
              <a:cs typeface="+mn-cs"/>
            </a:rPr>
            <a:t>ocial </a:t>
          </a:r>
        </a:p>
        <a:p>
          <a:pPr algn="r"/>
          <a:r>
            <a:rPr lang="es-DO" sz="7200" b="1" baseline="0">
              <a:solidFill>
                <a:sysClr val="windowText" lastClr="000000"/>
              </a:solidFill>
              <a:latin typeface="Baskerville Old Face" pitchFamily="18" charset="0"/>
            </a:rPr>
            <a:t>(</a:t>
          </a:r>
          <a:r>
            <a:rPr lang="es-DO" sz="6600" b="1">
              <a:solidFill>
                <a:schemeClr val="accent5">
                  <a:lumMod val="50000"/>
                </a:schemeClr>
              </a:solidFill>
              <a:latin typeface="Baskerville Old Face" pitchFamily="18" charset="0"/>
              <a:ea typeface="+mn-ea"/>
              <a:cs typeface="+mn-cs"/>
            </a:rPr>
            <a:t>SDSS</a:t>
          </a:r>
          <a:r>
            <a:rPr lang="es-DO" sz="7200" b="1" baseline="0">
              <a:solidFill>
                <a:sysClr val="windowText" lastClr="000000"/>
              </a:solidFill>
              <a:latin typeface="Baskerville Old Face" pitchFamily="18" charset="0"/>
            </a:rPr>
            <a:t>)</a:t>
          </a:r>
        </a:p>
        <a:p>
          <a:pPr algn="r"/>
          <a:r>
            <a:rPr lang="es-DO" sz="4800" b="1" i="1" baseline="0">
              <a:solidFill>
                <a:sysClr val="windowText" lastClr="000000"/>
              </a:solidFill>
              <a:effectLst/>
              <a:latin typeface="Baskerville Old Face" pitchFamily="18" charset="0"/>
              <a:ea typeface="+mn-ea"/>
              <a:cs typeface="+mn-cs"/>
            </a:rPr>
            <a:t>Ley 87-01</a:t>
          </a:r>
          <a:endParaRPr lang="es-DO" sz="1000" b="1" i="1">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122463</xdr:rowOff>
    </xdr:from>
    <xdr:to>
      <xdr:col>13</xdr:col>
      <xdr:colOff>898072</xdr:colOff>
      <xdr:row>35</xdr:row>
      <xdr:rowOff>217713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 2015</a:t>
          </a:r>
          <a:endParaRPr lang="es-DO" sz="4800">
            <a:effectLst/>
          </a:endParaRPr>
        </a:p>
      </xdr:txBody>
    </xdr:sp>
    <xdr:clientData/>
  </xdr:twoCellAnchor>
  <xdr:twoCellAnchor editAs="oneCell">
    <xdr:from>
      <xdr:col>0</xdr:col>
      <xdr:colOff>394607</xdr:colOff>
      <xdr:row>0</xdr:row>
      <xdr:rowOff>163285</xdr:rowOff>
    </xdr:from>
    <xdr:to>
      <xdr:col>1</xdr:col>
      <xdr:colOff>499398</xdr:colOff>
      <xdr:row>1</xdr:row>
      <xdr:rowOff>108857</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163285"/>
          <a:ext cx="839577" cy="530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0.xml><?xml version="1.0" encoding="utf-8"?>
<c:userShapes xmlns:c="http://schemas.openxmlformats.org/drawingml/2006/chart">
  <cdr:relSizeAnchor xmlns:cdr="http://schemas.openxmlformats.org/drawingml/2006/chartDrawing">
    <cdr:from>
      <cdr:x>0.02771</cdr:x>
      <cdr:y>0.9456</cdr:y>
    </cdr:from>
    <cdr:to>
      <cdr:x>0.14289</cdr:x>
      <cdr:y>0.98488</cdr:y>
    </cdr:to>
    <cdr:sp macro="" textlink="">
      <cdr:nvSpPr>
        <cdr:cNvPr id="2" name="1 CuadroTexto"/>
        <cdr:cNvSpPr txBox="1"/>
      </cdr:nvSpPr>
      <cdr:spPr>
        <a:xfrm xmlns:a="http://schemas.openxmlformats.org/drawingml/2006/main">
          <a:off x="369213" y="6383606"/>
          <a:ext cx="1534554" cy="265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4</xdr:row>
      <xdr:rowOff>76199</xdr:rowOff>
    </xdr:to>
    <xdr:sp macro="" textlink="">
      <xdr:nvSpPr>
        <xdr:cNvPr id="2" name="3 Rectángulo redondeado"/>
        <xdr:cNvSpPr/>
      </xdr:nvSpPr>
      <xdr:spPr>
        <a:xfrm>
          <a:off x="0" y="0"/>
          <a:ext cx="8915400"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Enero 2015</a:t>
          </a:r>
          <a:endParaRPr lang="es-DO" sz="2400">
            <a:effectLst/>
          </a:endParaRPr>
        </a:p>
      </xdr:txBody>
    </xdr:sp>
    <xdr:clientData/>
  </xdr:twoCellAnchor>
  <xdr:twoCellAnchor>
    <xdr:from>
      <xdr:col>0</xdr:col>
      <xdr:colOff>22413</xdr:colOff>
      <xdr:row>13</xdr:row>
      <xdr:rowOff>300038</xdr:rowOff>
    </xdr:from>
    <xdr:to>
      <xdr:col>9</xdr:col>
      <xdr:colOff>672353</xdr:colOff>
      <xdr:row>42</xdr:row>
      <xdr:rowOff>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324970</xdr:colOff>
      <xdr:row>0</xdr:row>
      <xdr:rowOff>145676</xdr:rowOff>
    </xdr:from>
    <xdr:to>
      <xdr:col>1</xdr:col>
      <xdr:colOff>308802</xdr:colOff>
      <xdr:row>3</xdr:row>
      <xdr:rowOff>88526</xdr:rowOff>
    </xdr:to>
    <xdr:pic>
      <xdr:nvPicPr>
        <xdr:cNvPr id="4"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0" y="14567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028714"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Enero 2014 - Enero 2015</a:t>
          </a:r>
          <a:endParaRPr lang="es-DO" sz="2400">
            <a:effectLst/>
          </a:endParaRPr>
        </a:p>
      </xdr:txBody>
    </xdr:sp>
    <xdr:clientData/>
  </xdr:twoCellAnchor>
  <xdr:twoCellAnchor>
    <xdr:from>
      <xdr:col>0</xdr:col>
      <xdr:colOff>0</xdr:colOff>
      <xdr:row>19</xdr:row>
      <xdr:rowOff>56030</xdr:rowOff>
    </xdr:from>
    <xdr:to>
      <xdr:col>12</xdr:col>
      <xdr:colOff>639536</xdr:colOff>
      <xdr:row>41</xdr:row>
      <xdr:rowOff>52828</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224117</xdr:colOff>
      <xdr:row>1</xdr:row>
      <xdr:rowOff>0</xdr:rowOff>
    </xdr:from>
    <xdr:to>
      <xdr:col>1</xdr:col>
      <xdr:colOff>207949</xdr:colOff>
      <xdr:row>3</xdr:row>
      <xdr:rowOff>133350</xdr:rowOff>
    </xdr:to>
    <xdr:pic>
      <xdr:nvPicPr>
        <xdr:cNvPr id="4"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117" y="190500"/>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3</xdr:col>
      <xdr:colOff>392206</xdr:colOff>
      <xdr:row>11</xdr:row>
      <xdr:rowOff>33618</xdr:rowOff>
    </xdr:from>
    <xdr:to>
      <xdr:col>8</xdr:col>
      <xdr:colOff>692020</xdr:colOff>
      <xdr:row>36</xdr:row>
      <xdr:rowOff>105724</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78206" y="2207559"/>
          <a:ext cx="4748549" cy="4834606"/>
        </a:xfrm>
        <a:prstGeom prst="rect">
          <a:avLst/>
        </a:prstGeom>
        <a:noFill/>
        <a:ln>
          <a:noFill/>
        </a:ln>
      </xdr:spPr>
    </xdr:pic>
    <xdr:clientData/>
  </xdr:twoCellAnchor>
  <xdr:twoCellAnchor>
    <xdr:from>
      <xdr:col>0</xdr:col>
      <xdr:colOff>78442</xdr:colOff>
      <xdr:row>4</xdr:row>
      <xdr:rowOff>201706</xdr:rowOff>
    </xdr:from>
    <xdr:to>
      <xdr:col>11</xdr:col>
      <xdr:colOff>1759324</xdr:colOff>
      <xdr:row>43</xdr:row>
      <xdr:rowOff>1479176</xdr:rowOff>
    </xdr:to>
    <xdr:sp macro="" textlink="">
      <xdr:nvSpPr>
        <xdr:cNvPr id="3" name="CuadroTexto 2"/>
        <xdr:cNvSpPr txBox="1"/>
      </xdr:nvSpPr>
      <xdr:spPr>
        <a:xfrm>
          <a:off x="78442" y="963706"/>
          <a:ext cx="11430000" cy="8785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enero de 2015 ascienden a un monto total de RD$215,831,522,231.66, de los cuales RD$162,051,616,320.27  han si asignados a Capitalización Individual y Reparto, representando un 75.5%; al Seguro de Vida RD$18,551,880,185.47 (8.4%);  Comisión AFP RD$10,689,978,618.97 </a:t>
          </a:r>
          <a:r>
            <a:rPr lang="es-ES" sz="1400">
              <a:solidFill>
                <a:schemeClr val="dk1"/>
              </a:solidFill>
              <a:effectLst/>
              <a:latin typeface="+mn-lt"/>
              <a:ea typeface="+mn-ea"/>
              <a:cs typeface="+mn-cs"/>
            </a:rPr>
            <a:t>(5.0%) Comisión SIPEN RD$1,685,735,209.70 (0.8%) y por último  RD$8,468,030,581.44 desembolsado al Fondo de Solidaridad Social, equivalente al 3.9% del total de la recaudación individualizada.</a:t>
          </a:r>
        </a:p>
        <a:p>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Al 31 de diciembre de 2014 el patrimonio del Fondo de Solidaridad Social asciende a RD$ 16,109,0347,616.40 y tuvo un crecimiento de 25% con relación al año 2013.  Cabe destacar que el FSS representa el 5.3% del patrimonio total del Sistema   Dominicano de Pensiones.</a:t>
          </a:r>
        </a:p>
        <a:p>
          <a:r>
            <a:rPr lang="es-ES"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período julio 2003 a enero 2015 el  patrimonio de los fondos de pensiones ha alcanzó un monto acumulado de RD$ 310,482.23 millones lo que representó un 11.1% del Producto Interno Bruto (PIB) en diciembre de 2003 se contaba con un patrimonio de RD$6,849.88 millones lo que a enero de 2015 representa un incremento de 45.3 veces. Hasta diciembre de 2014  había experimentado un crecimiento promedio anual de 43.0%.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 Cartera total de Inversión de los fondos de pensiones a diciembre 2014,  ascendió a un monto de RD$281,266,346,841.38.  La composición por  tipo de emisor de  instrumento de inversión, se observa que el 94.7% está colocada en tres tipos de  emisores principales: Banco Central  contiene el 48.2%;  el 28.5%  en Bancos Múltiples y el 18.0%  en la cartera del Ministerio de Hacienda.   En cuanto a la de la diversificación por instrumentos financieros, el  41.27% están colocados en certificados de ventanillas, el 23.70% en certificado de depósitos, el 18.04% en bonos del Gobierno Central, el 6.43% en nota de renta fija,  29.77% en otros bonos  (ordinarios, corporativos o subordinados) y el 0.31% en otras inversiones.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Desde diciembre 2003 hasta enero 2015,  la rentabilidad nominal promedio de los fondos de pensiones tanto de la Cuenta de Capitalización Individual como del sistema en general, ha tenido un comportamiento similar, acorde a los cambios de las tasas de interés en la economía.  Para enero 2015,  la tasa promedio del sistema es de 12.50% y la tasa promedio de la CCI es de 12.1%.   Utilizando la inflación acumulada disponible en el Banco Central de la República Dominicana, se estima una rentabilidad real es de un 10.9% a enero 2015.  </a:t>
          </a: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 </a:t>
          </a:r>
        </a:p>
        <a:p>
          <a:pPr algn="l" eaLnBrk="1" fontAlgn="auto" latinLnBrk="0" hangingPunct="1"/>
          <a:endParaRPr lang="es-DO" sz="140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 del RC</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40821</xdr:colOff>
      <xdr:row>17</xdr:row>
      <xdr:rowOff>99331</xdr:rowOff>
    </xdr:from>
    <xdr:to>
      <xdr:col>11</xdr:col>
      <xdr:colOff>608239</xdr:colOff>
      <xdr:row>56</xdr:row>
      <xdr:rowOff>149677</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Enero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14</xdr:row>
      <xdr:rowOff>33617</xdr:rowOff>
    </xdr:from>
    <xdr:to>
      <xdr:col>14</xdr:col>
      <xdr:colOff>1254579</xdr:colOff>
      <xdr:row>38</xdr:row>
      <xdr:rowOff>515470</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Julio 2003 - Enero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54428</xdr:colOff>
      <xdr:row>19</xdr:row>
      <xdr:rowOff>95250</xdr:rowOff>
    </xdr:from>
    <xdr:to>
      <xdr:col>10</xdr:col>
      <xdr:colOff>1457200</xdr:colOff>
      <xdr:row>63</xdr:row>
      <xdr:rowOff>90302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721179</xdr:rowOff>
    </xdr:to>
    <xdr:sp macro="" textlink="">
      <xdr:nvSpPr>
        <xdr:cNvPr id="4" name="4 Rectángulo redondeado"/>
        <xdr:cNvSpPr/>
      </xdr:nvSpPr>
      <xdr:spPr>
        <a:xfrm>
          <a:off x="0" y="0"/>
          <a:ext cx="15770678" cy="721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Enero 2015</a:t>
          </a:r>
          <a:endParaRPr lang="es-DO" sz="2400">
            <a:effectLst/>
          </a:endParaRPr>
        </a:p>
      </xdr:txBody>
    </xdr:sp>
    <xdr:clientData/>
  </xdr:twoCellAnchor>
  <xdr:twoCellAnchor editAs="oneCell">
    <xdr:from>
      <xdr:col>0</xdr:col>
      <xdr:colOff>517071</xdr:colOff>
      <xdr:row>0</xdr:row>
      <xdr:rowOff>108857</xdr:rowOff>
    </xdr:from>
    <xdr:to>
      <xdr:col>0</xdr:col>
      <xdr:colOff>1123956</xdr:colOff>
      <xdr:row>0</xdr:row>
      <xdr:rowOff>604157</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7071" y="108857"/>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114300</xdr:rowOff>
    </xdr:from>
    <xdr:to>
      <xdr:col>11</xdr:col>
      <xdr:colOff>180854</xdr:colOff>
      <xdr:row>32</xdr:row>
      <xdr:rowOff>192912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277309</xdr:colOff>
      <xdr:row>0</xdr:row>
      <xdr:rowOff>843986</xdr:rowOff>
    </xdr:to>
    <xdr:sp macro="" textlink="">
      <xdr:nvSpPr>
        <xdr:cNvPr id="5" name="4 Rectángulo redondeado"/>
        <xdr:cNvSpPr/>
      </xdr:nvSpPr>
      <xdr:spPr>
        <a:xfrm>
          <a:off x="0" y="0"/>
          <a:ext cx="12394556" cy="8439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Patrimonio de los Fondos de Pensiones por año</a:t>
          </a:r>
        </a:p>
        <a:p>
          <a:pPr algn="ctr" eaLnBrk="1" fontAlgn="auto" latinLnBrk="0" hangingPunct="1"/>
          <a:r>
            <a:rPr lang="es-DO" sz="1600" b="1">
              <a:solidFill>
                <a:schemeClr val="lt1"/>
              </a:solidFill>
              <a:effectLst/>
              <a:latin typeface="+mn-lt"/>
              <a:ea typeface="+mn-ea"/>
              <a:cs typeface="+mn-cs"/>
            </a:rPr>
            <a:t>Período: 2005 - Enero 2015</a:t>
          </a:r>
          <a:endParaRPr lang="es-DO" sz="24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15</xdr:row>
      <xdr:rowOff>51955</xdr:rowOff>
    </xdr:from>
    <xdr:to>
      <xdr:col>13</xdr:col>
      <xdr:colOff>2112819</xdr:colOff>
      <xdr:row>60</xdr:row>
      <xdr:rowOff>69272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155863</xdr:rowOff>
    </xdr:to>
    <xdr:sp macro="" textlink="">
      <xdr:nvSpPr>
        <xdr:cNvPr id="6" name="5 Rectángulo redondeado"/>
        <xdr:cNvSpPr/>
      </xdr:nvSpPr>
      <xdr:spPr>
        <a:xfrm>
          <a:off x="0" y="0"/>
          <a:ext cx="17577956"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la Seguridad Social (SDSS)</a:t>
          </a:r>
        </a:p>
        <a:p>
          <a:pPr algn="ctr" eaLnBrk="1" fontAlgn="auto" latinLnBrk="0" hangingPunct="1"/>
          <a:r>
            <a:rPr lang="es-DO" sz="20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000" b="1">
              <a:solidFill>
                <a:schemeClr val="lt1"/>
              </a:solidFill>
              <a:effectLst/>
              <a:latin typeface="+mn-lt"/>
              <a:ea typeface="+mn-ea"/>
              <a:cs typeface="+mn-cs"/>
            </a:rPr>
            <a:t>Enero 2015</a:t>
          </a:r>
          <a:endParaRPr lang="es-DO" sz="60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0.06016</cdr:x>
      <cdr:y>0.9389</cdr:y>
    </cdr:from>
    <cdr:to>
      <cdr:x>0.2792</cdr:x>
      <cdr:y>0.9836</cdr:y>
    </cdr:to>
    <cdr:sp macro="" textlink="">
      <cdr:nvSpPr>
        <cdr:cNvPr id="2" name="1 CuadroTexto"/>
        <cdr:cNvSpPr txBox="1"/>
      </cdr:nvSpPr>
      <cdr:spPr>
        <a:xfrm xmlns:a="http://schemas.openxmlformats.org/drawingml/2006/main">
          <a:off x="713047" y="4842713"/>
          <a:ext cx="2596061" cy="230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Fuentes: SIPEN</a:t>
          </a:r>
          <a:r>
            <a:rPr lang="en-US" sz="1100" baseline="0"/>
            <a:t> y Banco Central</a:t>
          </a:r>
          <a:endParaRPr lang="en-US" sz="11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12</xdr:row>
      <xdr:rowOff>156883</xdr:rowOff>
    </xdr:from>
    <xdr:to>
      <xdr:col>7</xdr:col>
      <xdr:colOff>1255059</xdr:colOff>
      <xdr:row>46</xdr:row>
      <xdr:rowOff>100854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1389528</xdr:colOff>
      <xdr:row>1</xdr:row>
      <xdr:rowOff>0</xdr:rowOff>
    </xdr:to>
    <xdr:sp macro="" textlink="">
      <xdr:nvSpPr>
        <xdr:cNvPr id="4" name="3 Rectángulo redondeado"/>
        <xdr:cNvSpPr/>
      </xdr:nvSpPr>
      <xdr:spPr>
        <a:xfrm>
          <a:off x="0" y="0"/>
          <a:ext cx="12830734" cy="8180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2.xml><?xml version="1.0" encoding="utf-8"?>
<c:userShapes xmlns:c="http://schemas.openxmlformats.org/drawingml/2006/chart">
  <cdr:relSizeAnchor xmlns:cdr="http://schemas.openxmlformats.org/drawingml/2006/chartDrawing">
    <cdr:from>
      <cdr:x>0.06142</cdr:x>
      <cdr:y>0.94569</cdr:y>
    </cdr:from>
    <cdr:to>
      <cdr:x>0.25944</cdr:x>
      <cdr:y>0.99471</cdr:y>
    </cdr:to>
    <cdr:sp macro="" textlink="">
      <cdr:nvSpPr>
        <cdr:cNvPr id="2" name="1 CuadroTexto"/>
        <cdr:cNvSpPr txBox="1"/>
      </cdr:nvSpPr>
      <cdr:spPr>
        <a:xfrm xmlns:a="http://schemas.openxmlformats.org/drawingml/2006/main">
          <a:off x="734359" y="5658970"/>
          <a:ext cx="2367643" cy="29332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a:t>
          </a:r>
          <a:r>
            <a:rPr lang="es-DO" sz="1200" b="1" baseline="0"/>
            <a:t> Boletín No.46 SIPEN</a:t>
          </a:r>
          <a:endParaRPr lang="es-DO" sz="1200" b="1"/>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56030</xdr:colOff>
      <xdr:row>14</xdr:row>
      <xdr:rowOff>15688</xdr:rowOff>
    </xdr:from>
    <xdr:to>
      <xdr:col>8</xdr:col>
      <xdr:colOff>151280</xdr:colOff>
      <xdr:row>43</xdr:row>
      <xdr:rowOff>34738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380999</xdr:colOff>
      <xdr:row>0</xdr:row>
      <xdr:rowOff>818028</xdr:rowOff>
    </xdr:to>
    <xdr:sp macro="" textlink="">
      <xdr:nvSpPr>
        <xdr:cNvPr id="4" name="3 Rectángulo redondeado"/>
        <xdr:cNvSpPr/>
      </xdr:nvSpPr>
      <xdr:spPr>
        <a:xfrm>
          <a:off x="0" y="0"/>
          <a:ext cx="12113558"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0.09396</cdr:x>
      <cdr:y>0.91561</cdr:y>
    </cdr:from>
    <cdr:to>
      <cdr:x>0.3157</cdr:x>
      <cdr:y>0.98019</cdr:y>
    </cdr:to>
    <cdr:sp macro="" textlink="">
      <cdr:nvSpPr>
        <cdr:cNvPr id="2" name="1 CuadroTexto"/>
        <cdr:cNvSpPr txBox="1"/>
      </cdr:nvSpPr>
      <cdr:spPr>
        <a:xfrm xmlns:a="http://schemas.openxmlformats.org/drawingml/2006/main">
          <a:off x="1003300" y="4822825"/>
          <a:ext cx="2367643" cy="3401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50" b="1"/>
            <a:t>Fuente:</a:t>
          </a:r>
          <a:r>
            <a:rPr lang="es-DO" sz="1050" b="1" baseline="0"/>
            <a:t> Boletín No.46 SIPEN</a:t>
          </a:r>
          <a:endParaRPr lang="es-DO" sz="1050" b="1"/>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57</xdr:row>
      <xdr:rowOff>68036</xdr:rowOff>
    </xdr:from>
    <xdr:to>
      <xdr:col>18</xdr:col>
      <xdr:colOff>666750</xdr:colOff>
      <xdr:row>89</xdr:row>
      <xdr:rowOff>27215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748393</xdr:colOff>
      <xdr:row>0</xdr:row>
      <xdr:rowOff>870856</xdr:rowOff>
    </xdr:to>
    <xdr:sp macro="" textlink="">
      <xdr:nvSpPr>
        <xdr:cNvPr id="4" name="3 Rectángulo redondeado"/>
        <xdr:cNvSpPr/>
      </xdr:nvSpPr>
      <xdr:spPr>
        <a:xfrm>
          <a:off x="0" y="0"/>
          <a:ext cx="14546036"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Nominal Promedio  de los Fondos de Pensiones </a:t>
          </a:r>
        </a:p>
        <a:p>
          <a:pPr algn="ctr" eaLnBrk="1" fontAlgn="auto" latinLnBrk="0" hangingPunct="1"/>
          <a:r>
            <a:rPr lang="es-DO" sz="1600" b="1">
              <a:solidFill>
                <a:schemeClr val="lt1"/>
              </a:solidFill>
              <a:effectLst/>
              <a:latin typeface="+mn-lt"/>
              <a:ea typeface="+mn-ea"/>
              <a:cs typeface="+mn-cs"/>
            </a:rPr>
            <a:t>Período: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2003 - Enero 2015</a:t>
          </a:r>
          <a:endParaRPr lang="es-DO" sz="2400">
            <a:effectLst/>
          </a:endParaRPr>
        </a:p>
      </xdr:txBody>
    </xdr:sp>
    <xdr:clientData/>
  </xdr:twoCellAnchor>
  <xdr:twoCellAnchor editAs="oneCell">
    <xdr:from>
      <xdr:col>0</xdr:col>
      <xdr:colOff>857250</xdr:colOff>
      <xdr:row>0</xdr:row>
      <xdr:rowOff>136072</xdr:rowOff>
    </xdr:from>
    <xdr:to>
      <xdr:col>1</xdr:col>
      <xdr:colOff>721179</xdr:colOff>
      <xdr:row>0</xdr:row>
      <xdr:rowOff>675048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 y="136072"/>
          <a:ext cx="762000" cy="538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latin typeface="+mn-lt"/>
              <a:ea typeface="+mn-ea"/>
              <a:cs typeface="+mn-cs"/>
            </a:rPr>
            <a:t>Fuente: </a:t>
          </a:r>
          <a:r>
            <a:rPr lang="en-US" sz="1200">
              <a:latin typeface="+mn-lt"/>
              <a:ea typeface="+mn-ea"/>
              <a:cs typeface="+mn-cs"/>
            </a:rPr>
            <a:t>SIPEN </a:t>
          </a:r>
          <a:endParaRPr lang="en-US" sz="1200"/>
        </a:p>
        <a:p xmlns:a="http://schemas.openxmlformats.org/drawingml/2006/main">
          <a:endParaRPr lang="en-US" sz="140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18</xdr:row>
      <xdr:rowOff>95250</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857250</xdr:rowOff>
    </xdr:to>
    <xdr:sp macro="" textlink="">
      <xdr:nvSpPr>
        <xdr:cNvPr id="4" name="3 Rectángulo redondeado"/>
        <xdr:cNvSpPr/>
      </xdr:nvSpPr>
      <xdr:spPr>
        <a:xfrm>
          <a:off x="0" y="0"/>
          <a:ext cx="14505214" cy="857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Promedio  de los Fondos de Pensiones</a:t>
          </a:r>
        </a:p>
        <a:p>
          <a:pPr algn="ctr" eaLnBrk="1" fontAlgn="auto" latinLnBrk="0" hangingPunct="1"/>
          <a:r>
            <a:rPr lang="es-DO" sz="1600" b="1">
              <a:solidFill>
                <a:schemeClr val="lt1"/>
              </a:solidFill>
              <a:effectLst/>
              <a:latin typeface="+mn-lt"/>
              <a:ea typeface="+mn-ea"/>
              <a:cs typeface="+mn-cs"/>
            </a:rPr>
            <a:t>Período: Diciembre 2005 -  Enero 2015</a:t>
          </a:r>
          <a:endParaRPr lang="es-DO" sz="24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 </a:t>
          </a:r>
          <a:r>
            <a:rPr lang="en-US" sz="1400">
              <a:latin typeface="+mn-lt"/>
              <a:ea typeface="+mn-ea"/>
              <a:cs typeface="+mn-cs"/>
            </a:rPr>
            <a:t>SIPEN y Banco Central de la República  Dominicana </a:t>
          </a:r>
          <a:endParaRPr lang="en-US" sz="1400"/>
        </a:p>
        <a:p xmlns:a="http://schemas.openxmlformats.org/drawingml/2006/main">
          <a:endParaRPr lang="en-US" sz="1600"/>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2</xdr:col>
      <xdr:colOff>640605</xdr:colOff>
      <xdr:row>4</xdr:row>
      <xdr:rowOff>139512</xdr:rowOff>
    </xdr:from>
    <xdr:to>
      <xdr:col>8</xdr:col>
      <xdr:colOff>1</xdr:colOff>
      <xdr:row>26</xdr:row>
      <xdr:rowOff>0</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64605" y="901512"/>
          <a:ext cx="3707278" cy="4051488"/>
        </a:xfrm>
        <a:prstGeom prst="rect">
          <a:avLst/>
        </a:prstGeom>
        <a:noFill/>
        <a:ln>
          <a:noFill/>
        </a:ln>
      </xdr:spPr>
    </xdr:pic>
    <xdr:clientData/>
  </xdr:twoCellAnchor>
  <xdr:twoCellAnchor>
    <xdr:from>
      <xdr:col>0</xdr:col>
      <xdr:colOff>0</xdr:colOff>
      <xdr:row>4</xdr:row>
      <xdr:rowOff>22412</xdr:rowOff>
    </xdr:from>
    <xdr:to>
      <xdr:col>9</xdr:col>
      <xdr:colOff>582706</xdr:colOff>
      <xdr:row>27</xdr:row>
      <xdr:rowOff>22412</xdr:rowOff>
    </xdr:to>
    <xdr:sp macro="" textlink="">
      <xdr:nvSpPr>
        <xdr:cNvPr id="3" name="CuadroTexto 2"/>
        <xdr:cNvSpPr txBox="1"/>
      </xdr:nvSpPr>
      <xdr:spPr>
        <a:xfrm>
          <a:off x="0" y="784412"/>
          <a:ext cx="7216588" cy="438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2015,  para prevenir y cubrir daños ocasionados por accidentes de trabajo y/o enfermedades profesionales fue de RD$</a:t>
          </a:r>
          <a:r>
            <a:rPr lang="es-ES" sz="1400" b="0" baseline="0">
              <a:solidFill>
                <a:schemeClr val="dk1"/>
              </a:solidFill>
              <a:effectLst/>
              <a:latin typeface="+mn-lt"/>
              <a:ea typeface="+mn-ea"/>
              <a:cs typeface="+mn-cs"/>
            </a:rPr>
            <a:t>20,876,373,614.55 </a:t>
          </a:r>
          <a:r>
            <a:rPr lang="es-DO" sz="1400" b="0" baseline="0">
              <a:solidFill>
                <a:schemeClr val="dk1"/>
              </a:solidFill>
              <a:effectLst/>
              <a:latin typeface="+mn-lt"/>
              <a:ea typeface="+mn-ea"/>
              <a:cs typeface="+mn-cs"/>
            </a:rPr>
            <a:t>.  El 94.96% de los fondos pagados al SRL, pertenecen a ARL Salud Segura; el 4.09% a la  Comisión de la SISALRIL y el 0.95%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Para enero 2015, la suma total pagada ascienden a RD$ 280,755,735.01 distribuidos de la siguiente forma: el 95.45% a ARL Salud Segura; 4.0%  a la Comisión SISALRIL y 0.55%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dispersados a SRL a enero 2014 fueron de RD$245,979,204.34, comparándolo con enero 2015, se observa una variación en los pagos RD$34,776,530.67.</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2000">
            <a:effectLst/>
          </a:endParaRPr>
        </a:p>
        <a:p>
          <a:pPr algn="ctr" eaLnBrk="1" fontAlgn="auto" latinLnBrk="0" hangingPunct="1"/>
          <a:r>
            <a:rPr lang="es-DO" sz="14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16</xdr:row>
      <xdr:rowOff>142484</xdr:rowOff>
    </xdr:from>
    <xdr:to>
      <xdr:col>11</xdr:col>
      <xdr:colOff>1145740</xdr:colOff>
      <xdr:row>44</xdr:row>
      <xdr:rowOff>78288</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13048</xdr:colOff>
      <xdr:row>0</xdr:row>
      <xdr:rowOff>782877</xdr:rowOff>
    </xdr:to>
    <xdr:sp macro="" textlink="">
      <xdr:nvSpPr>
        <xdr:cNvPr id="4" name="3 Rectángulo redondeado"/>
        <xdr:cNvSpPr/>
      </xdr:nvSpPr>
      <xdr:spPr>
        <a:xfrm>
          <a:off x="0" y="0"/>
          <a:ext cx="13752534" cy="78287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Dispersión Anual al SRL por Cuentas</a:t>
          </a:r>
        </a:p>
        <a:p>
          <a:pPr algn="ctr" eaLnBrk="1" fontAlgn="auto" latinLnBrk="0" hangingPunct="1"/>
          <a:r>
            <a:rPr lang="es-DO" sz="1600" b="1">
              <a:solidFill>
                <a:schemeClr val="lt1"/>
              </a:solidFill>
              <a:effectLst/>
              <a:latin typeface="+mn-lt"/>
              <a:ea typeface="+mn-ea"/>
              <a:cs typeface="+mn-cs"/>
            </a:rPr>
            <a:t>Período: Febrero 2005 - Enero 2015</a:t>
          </a:r>
          <a:endParaRPr lang="es-DO" sz="2400">
            <a:effectLst/>
          </a:endParaRPr>
        </a:p>
      </xdr:txBody>
    </xdr:sp>
    <xdr:clientData/>
  </xdr:twoCellAnchor>
  <xdr:twoCellAnchor editAs="oneCell">
    <xdr:from>
      <xdr:col>0</xdr:col>
      <xdr:colOff>704588</xdr:colOff>
      <xdr:row>0</xdr:row>
      <xdr:rowOff>169623</xdr:rowOff>
    </xdr:from>
    <xdr:to>
      <xdr:col>1</xdr:col>
      <xdr:colOff>508869</xdr:colOff>
      <xdr:row>0</xdr:row>
      <xdr:rowOff>679644</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588" y="169623"/>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47423</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47423</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100851</xdr:rowOff>
    </xdr:from>
    <xdr:to>
      <xdr:col>11</xdr:col>
      <xdr:colOff>952499</xdr:colOff>
      <xdr:row>44</xdr:row>
      <xdr:rowOff>100852</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Dispersión Mensual por Cuentas al Seguro de Riesgos </a:t>
          </a:r>
          <a:r>
            <a:rPr lang="es-DO" sz="1600" b="1" baseline="0">
              <a:solidFill>
                <a:schemeClr val="lt1"/>
              </a:solidFill>
              <a:effectLst/>
              <a:latin typeface="+mn-lt"/>
              <a:ea typeface="+mn-ea"/>
              <a:cs typeface="+mn-cs"/>
            </a:rPr>
            <a:t> La</a:t>
          </a:r>
          <a:r>
            <a:rPr lang="es-DO" sz="1600" b="1">
              <a:solidFill>
                <a:schemeClr val="lt1"/>
              </a:solidFill>
              <a:effectLst/>
              <a:latin typeface="+mn-lt"/>
              <a:ea typeface="+mn-ea"/>
              <a:cs typeface="+mn-cs"/>
            </a:rPr>
            <a:t>borales</a:t>
          </a:r>
        </a:p>
        <a:p>
          <a:pPr algn="ctr" eaLnBrk="1" fontAlgn="auto" latinLnBrk="0" hangingPunct="1"/>
          <a:r>
            <a:rPr lang="es-DO" sz="1600" b="1">
              <a:solidFill>
                <a:schemeClr val="lt1"/>
              </a:solidFill>
              <a:effectLst/>
              <a:latin typeface="+mn-lt"/>
              <a:ea typeface="+mn-ea"/>
              <a:cs typeface="+mn-cs"/>
            </a:rPr>
            <a:t>Período: Enero 2014 - Enero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0.03033</cdr:x>
      <cdr:y>0.9112</cdr:y>
    </cdr:from>
    <cdr:to>
      <cdr:x>0.21415</cdr:x>
      <cdr:y>0.96525</cdr:y>
    </cdr:to>
    <cdr:sp macro="" textlink="">
      <cdr:nvSpPr>
        <cdr:cNvPr id="2" name="1 CuadroTexto"/>
        <cdr:cNvSpPr txBox="1"/>
      </cdr:nvSpPr>
      <cdr:spPr>
        <a:xfrm xmlns:a="http://schemas.openxmlformats.org/drawingml/2006/main">
          <a:off x="314325" y="4495800"/>
          <a:ext cx="19050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5</xdr:col>
      <xdr:colOff>0</xdr:colOff>
      <xdr:row>2</xdr:row>
      <xdr:rowOff>145676</xdr:rowOff>
    </xdr:from>
    <xdr:to>
      <xdr:col>10</xdr:col>
      <xdr:colOff>743974</xdr:colOff>
      <xdr:row>29</xdr:row>
      <xdr:rowOff>83313</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10000" y="526676"/>
          <a:ext cx="4419503" cy="5081137"/>
        </a:xfrm>
        <a:prstGeom prst="rect">
          <a:avLst/>
        </a:prstGeom>
        <a:noFill/>
        <a:ln>
          <a:noFill/>
        </a:ln>
      </xdr:spPr>
    </xdr:pic>
    <xdr:clientData/>
  </xdr:twoCellAnchor>
  <xdr:twoCellAnchor>
    <xdr:from>
      <xdr:col>0</xdr:col>
      <xdr:colOff>56029</xdr:colOff>
      <xdr:row>7</xdr:row>
      <xdr:rowOff>33619</xdr:rowOff>
    </xdr:from>
    <xdr:to>
      <xdr:col>15</xdr:col>
      <xdr:colOff>291353</xdr:colOff>
      <xdr:row>16</xdr:row>
      <xdr:rowOff>22412</xdr:rowOff>
    </xdr:to>
    <xdr:sp macro="" textlink="">
      <xdr:nvSpPr>
        <xdr:cNvPr id="3" name="2 CuadroTexto"/>
        <xdr:cNvSpPr txBox="1"/>
      </xdr:nvSpPr>
      <xdr:spPr>
        <a:xfrm>
          <a:off x="56029" y="1367119"/>
          <a:ext cx="11530853" cy="170329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649940</xdr:colOff>
      <xdr:row>18</xdr:row>
      <xdr:rowOff>113643</xdr:rowOff>
    </xdr:from>
    <xdr:to>
      <xdr:col>10</xdr:col>
      <xdr:colOff>515470</xdr:colOff>
      <xdr:row>34</xdr:row>
      <xdr:rowOff>56030</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97940" y="3542643"/>
          <a:ext cx="4303059" cy="2990387"/>
        </a:xfrm>
        <a:prstGeom prst="ellipse">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744258</xdr:colOff>
      <xdr:row>7</xdr:row>
      <xdr:rowOff>134471</xdr:rowOff>
    </xdr:from>
    <xdr:to>
      <xdr:col>7</xdr:col>
      <xdr:colOff>459442</xdr:colOff>
      <xdr:row>27</xdr:row>
      <xdr:rowOff>59034</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68258" y="1467971"/>
          <a:ext cx="3390713" cy="3745769"/>
        </a:xfrm>
        <a:prstGeom prst="rect">
          <a:avLst/>
        </a:prstGeom>
        <a:noFill/>
        <a:ln>
          <a:noFill/>
        </a:ln>
      </xdr:spPr>
    </xdr:pic>
    <xdr:clientData/>
  </xdr:twoCellAnchor>
  <xdr:twoCellAnchor>
    <xdr:from>
      <xdr:col>0</xdr:col>
      <xdr:colOff>0</xdr:colOff>
      <xdr:row>4</xdr:row>
      <xdr:rowOff>67236</xdr:rowOff>
    </xdr:from>
    <xdr:to>
      <xdr:col>10</xdr:col>
      <xdr:colOff>661146</xdr:colOff>
      <xdr:row>31</xdr:row>
      <xdr:rowOff>89648</xdr:rowOff>
    </xdr:to>
    <xdr:sp macro="" textlink="">
      <xdr:nvSpPr>
        <xdr:cNvPr id="3" name="1 CuadroTexto"/>
        <xdr:cNvSpPr txBox="1"/>
      </xdr:nvSpPr>
      <xdr:spPr>
        <a:xfrm>
          <a:off x="0" y="829236"/>
          <a:ext cx="8146675" cy="517711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ffectLst/>
            <a:latin typeface="+mn-lt"/>
            <a:ea typeface="+mn-ea"/>
            <a:cs typeface="+mn-cs"/>
          </a:endParaRPr>
        </a:p>
        <a:p>
          <a:r>
            <a:rPr lang="es-ES" sz="1400">
              <a:solidFill>
                <a:schemeClr val="dk1"/>
              </a:solidFill>
              <a:effectLst/>
              <a:latin typeface="+mn-lt"/>
              <a:ea typeface="+mn-ea"/>
              <a:cs typeface="+mn-cs"/>
            </a:rPr>
            <a:t>Las Estancias Infantiles también son atendidos niños de otros regímenes además del  Régimen Contributivo que ya venían recibiendo el servicio antes del inicio de este beneficio.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total de niños cubiertos a enero 2015 fue de 7,408 cubiertos por RC.   Desde mayo 2009 a enero 2015 la afiliación ha crecido 12.33 veces.  En este mismo período,  se desembolsó a la Administradora de Estancias Infantiles (AEISS) un total de RD$853,887,399.85.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  dispersión tiene correspondencia al número de niños dependientes de titulares al Régimen Contributivo (RC) que reciben mensualmente los servicios de Estancias Infantiles (EI), en base al cápita vigente de RD$2,000.00.  Al mes de enero 2015 la cuenta de Estancias Infantiles posee inversiones en certificados financieros por un monto de RD$ 736,642,848.17.</a:t>
          </a:r>
          <a:endParaRPr lang="es-ES" sz="14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600">
            <a:solidFill>
              <a:srgbClr val="FF0000"/>
            </a:solidFill>
            <a:effectLst/>
            <a:latin typeface="+mn-lt"/>
            <a:ea typeface="+mn-ea"/>
            <a:cs typeface="+mn-cs"/>
          </a:endParaRPr>
        </a:p>
      </xdr:txBody>
    </xdr:sp>
    <xdr:clientData/>
  </xdr:twoCellAnchor>
  <xdr:twoCellAnchor>
    <xdr:from>
      <xdr:col>0</xdr:col>
      <xdr:colOff>0</xdr:colOff>
      <xdr:row>0</xdr:row>
      <xdr:rowOff>0</xdr:rowOff>
    </xdr:from>
    <xdr:to>
      <xdr:col>11</xdr:col>
      <xdr:colOff>40821</xdr:colOff>
      <xdr:row>4</xdr:row>
      <xdr:rowOff>27214</xdr:rowOff>
    </xdr:to>
    <xdr:sp macro="" textlink="">
      <xdr:nvSpPr>
        <xdr:cNvPr id="4" name="4 Rectángulo redondeado"/>
        <xdr:cNvSpPr/>
      </xdr:nvSpPr>
      <xdr:spPr>
        <a:xfrm>
          <a:off x="0" y="0"/>
          <a:ext cx="8286750" cy="789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182096</xdr:rowOff>
    </xdr:from>
    <xdr:to>
      <xdr:col>1</xdr:col>
      <xdr:colOff>409014</xdr:colOff>
      <xdr:row>3</xdr:row>
      <xdr:rowOff>70037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43566" y="182096"/>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38</xdr:row>
      <xdr:rowOff>119063</xdr:rowOff>
    </xdr:from>
    <xdr:to>
      <xdr:col>13</xdr:col>
      <xdr:colOff>1976436</xdr:colOff>
      <xdr:row>94</xdr:row>
      <xdr:rowOff>0</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14</xdr:col>
      <xdr:colOff>-1</xdr:colOff>
      <xdr:row>0</xdr:row>
      <xdr:rowOff>1357312</xdr:rowOff>
    </xdr:to>
    <xdr:sp macro="" textlink="">
      <xdr:nvSpPr>
        <xdr:cNvPr id="7" name="4 Rectángulo redondeado"/>
        <xdr:cNvSpPr/>
      </xdr:nvSpPr>
      <xdr:spPr>
        <a:xfrm>
          <a:off x="0" y="0"/>
          <a:ext cx="21193124" cy="13573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Calibri (Cuerpo)"/>
              <a:ea typeface="+mn-ea"/>
              <a:cs typeface="+mn-cs"/>
            </a:rPr>
            <a:t>Niños</a:t>
          </a:r>
          <a:r>
            <a:rPr lang="es-DO" sz="2800" b="1" baseline="0">
              <a:solidFill>
                <a:schemeClr val="lt1"/>
              </a:solidFill>
              <a:effectLst/>
              <a:latin typeface="Calibri (Cuerpo)"/>
              <a:ea typeface="+mn-ea"/>
              <a:cs typeface="+mn-cs"/>
            </a:rPr>
            <a:t> Afiliados en las </a:t>
          </a:r>
          <a:r>
            <a:rPr lang="es-DO" sz="2800" b="1">
              <a:solidFill>
                <a:schemeClr val="lt1"/>
              </a:solidFill>
              <a:effectLst/>
              <a:latin typeface="Calibri (Cuerpo)"/>
              <a:ea typeface="+mn-ea"/>
              <a:cs typeface="+mn-cs"/>
            </a:rPr>
            <a:t>Estancias</a:t>
          </a:r>
          <a:r>
            <a:rPr lang="es-DO" sz="2800" b="1" baseline="0">
              <a:solidFill>
                <a:schemeClr val="lt1"/>
              </a:solidFill>
              <a:effectLst/>
              <a:latin typeface="Calibri (Cuerpo)"/>
              <a:ea typeface="+mn-ea"/>
              <a:cs typeface="+mn-cs"/>
            </a:rPr>
            <a:t> Infantiles (EI) del RC</a:t>
          </a:r>
        </a:p>
        <a:p>
          <a:pPr algn="ctr" eaLnBrk="1" fontAlgn="auto" latinLnBrk="0" hangingPunct="1"/>
          <a:r>
            <a:rPr lang="es-DO" sz="2800" b="1">
              <a:effectLst/>
              <a:latin typeface="Calibri (Cuerpo)"/>
            </a:rPr>
            <a:t>Período:</a:t>
          </a:r>
          <a:r>
            <a:rPr lang="es-DO" sz="2800" b="1" baseline="0">
              <a:effectLst/>
              <a:latin typeface="Calibri (Cuerpo)"/>
            </a:rPr>
            <a:t> Mayo 2009 - </a:t>
          </a:r>
          <a:r>
            <a:rPr lang="es-DO" sz="2800" b="1">
              <a:effectLst/>
              <a:latin typeface="Calibri (Cuerpo)"/>
            </a:rPr>
            <a:t>Enero 2015</a:t>
          </a:r>
        </a:p>
      </xdr:txBody>
    </xdr:sp>
    <xdr:clientData/>
  </xdr:twoCellAnchor>
  <xdr:twoCellAnchor editAs="oneCell">
    <xdr:from>
      <xdr:col>0</xdr:col>
      <xdr:colOff>809625</xdr:colOff>
      <xdr:row>0</xdr:row>
      <xdr:rowOff>142875</xdr:rowOff>
    </xdr:from>
    <xdr:to>
      <xdr:col>0</xdr:col>
      <xdr:colOff>2112877</xdr:colOff>
      <xdr:row>0</xdr:row>
      <xdr:rowOff>1103995</xdr:rowOff>
    </xdr:to>
    <xdr:pic>
      <xdr:nvPicPr>
        <xdr:cNvPr id="8" name="7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stretch>
          <a:fillRect/>
        </a:stretch>
      </xdr:blipFill>
      <xdr:spPr>
        <a:xfrm>
          <a:off x="809625" y="142875"/>
          <a:ext cx="1303252" cy="96112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89646</xdr:rowOff>
    </xdr:from>
    <xdr:to>
      <xdr:col>8</xdr:col>
      <xdr:colOff>1826559</xdr:colOff>
      <xdr:row>41</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11</xdr:row>
      <xdr:rowOff>121227</xdr:rowOff>
    </xdr:from>
    <xdr:to>
      <xdr:col>13</xdr:col>
      <xdr:colOff>1472045</xdr:colOff>
      <xdr:row>71</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Enero 2015</a:t>
          </a:r>
          <a:endParaRPr lang="es-DO" sz="6000">
            <a:effectLst/>
          </a:endParaRPr>
        </a:p>
      </xdr:txBody>
    </xdr:sp>
    <xdr:clientData/>
  </xdr:twoCellAnchor>
  <xdr:twoCellAnchor editAs="oneCell">
    <xdr:from>
      <xdr:col>0</xdr:col>
      <xdr:colOff>554181</xdr:colOff>
      <xdr:row>0</xdr:row>
      <xdr:rowOff>190499</xdr:rowOff>
    </xdr:from>
    <xdr:to>
      <xdr:col>1</xdr:col>
      <xdr:colOff>49356</xdr:colOff>
      <xdr:row>0</xdr:row>
      <xdr:rowOff>857249</xdr:rowOff>
    </xdr:to>
    <xdr:pic>
      <xdr:nvPicPr>
        <xdr:cNvPr id="7"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181" y="190499"/>
          <a:ext cx="100185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4</xdr:col>
      <xdr:colOff>44824</xdr:colOff>
      <xdr:row>8</xdr:row>
      <xdr:rowOff>67237</xdr:rowOff>
    </xdr:from>
    <xdr:to>
      <xdr:col>11</xdr:col>
      <xdr:colOff>448237</xdr:colOff>
      <xdr:row>32</xdr:row>
      <xdr:rowOff>156884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92824" y="1591237"/>
          <a:ext cx="5602942" cy="5255559"/>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78441</xdr:colOff>
      <xdr:row>10</xdr:row>
      <xdr:rowOff>605118</xdr:rowOff>
    </xdr:from>
    <xdr:to>
      <xdr:col>13</xdr:col>
      <xdr:colOff>672353</xdr:colOff>
      <xdr:row>23</xdr:row>
      <xdr:rowOff>22412</xdr:rowOff>
    </xdr:to>
    <xdr:sp macro="" textlink="">
      <xdr:nvSpPr>
        <xdr:cNvPr id="5" name="CuadroTexto 4"/>
        <xdr:cNvSpPr txBox="1"/>
      </xdr:nvSpPr>
      <xdr:spPr>
        <a:xfrm>
          <a:off x="1602441" y="2510118"/>
          <a:ext cx="8841441" cy="2487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latin typeface="+mn-lt"/>
              <a:ea typeface="+mn-ea"/>
              <a:cs typeface="+mn-cs"/>
            </a:rPr>
            <a:t>Subsidios SFS RC:</a:t>
          </a:r>
        </a:p>
        <a:p>
          <a:pPr marL="0" marR="0" indent="0" algn="l" defTabSz="914400" eaLnBrk="1" fontAlgn="auto" latinLnBrk="0" hangingPunct="1">
            <a:lnSpc>
              <a:spcPct val="100000"/>
            </a:lnSpc>
            <a:spcBef>
              <a:spcPts val="0"/>
            </a:spcBef>
            <a:spcAft>
              <a:spcPts val="0"/>
            </a:spcAft>
            <a:buClrTx/>
            <a:buSzTx/>
            <a:buFontTx/>
            <a:buNone/>
            <a:tabLst/>
            <a:defRPr/>
          </a:pPr>
          <a:r>
            <a:rPr lang="es-DO" sz="4000" b="1">
              <a:solidFill>
                <a:schemeClr val="tx2">
                  <a:lumMod val="60000"/>
                  <a:lumOff val="40000"/>
                </a:schemeClr>
              </a:solidFill>
              <a:latin typeface="+mn-lt"/>
              <a:ea typeface="+mn-ea"/>
              <a:cs typeface="+mn-cs"/>
            </a:rPr>
            <a:t>                       - </a:t>
          </a:r>
          <a:r>
            <a:rPr lang="es-DO" sz="28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2800" b="1" baseline="0">
              <a:solidFill>
                <a:schemeClr val="tx2">
                  <a:lumMod val="60000"/>
                  <a:lumOff val="40000"/>
                </a:schemeClr>
              </a:solidFill>
              <a:latin typeface="+mn-lt"/>
              <a:ea typeface="+mn-ea"/>
              <a:cs typeface="+mn-cs"/>
            </a:rPr>
            <a:t>                                 -  </a:t>
          </a:r>
          <a:r>
            <a:rPr lang="es-DO" sz="2800" b="1">
              <a:solidFill>
                <a:schemeClr val="tx2">
                  <a:lumMod val="60000"/>
                  <a:lumOff val="40000"/>
                </a:schemeClr>
              </a:solidFill>
              <a:latin typeface="+mn-lt"/>
              <a:ea typeface="+mn-ea"/>
              <a:cs typeface="+mn-cs"/>
            </a:rPr>
            <a:t>Maternidad y Lactancia</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9524</xdr:colOff>
      <xdr:row>7</xdr:row>
      <xdr:rowOff>142874</xdr:rowOff>
    </xdr:from>
    <xdr:to>
      <xdr:col>11</xdr:col>
      <xdr:colOff>1352550</xdr:colOff>
      <xdr:row>31</xdr:row>
      <xdr:rowOff>142875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2008 - 2014</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4</xdr:col>
      <xdr:colOff>649940</xdr:colOff>
      <xdr:row>4</xdr:row>
      <xdr:rowOff>67236</xdr:rowOff>
    </xdr:from>
    <xdr:to>
      <xdr:col>10</xdr:col>
      <xdr:colOff>631914</xdr:colOff>
      <xdr:row>31</xdr:row>
      <xdr:rowOff>4873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697940" y="829236"/>
          <a:ext cx="4419503" cy="5081137"/>
        </a:xfrm>
        <a:prstGeom prst="rect">
          <a:avLst/>
        </a:prstGeom>
        <a:noFill/>
        <a:ln>
          <a:noFill/>
        </a:ln>
      </xdr:spPr>
    </xdr:pic>
    <xdr:clientData/>
  </xdr:twoCellAnchor>
  <xdr:twoCellAnchor>
    <xdr:from>
      <xdr:col>0</xdr:col>
      <xdr:colOff>257735</xdr:colOff>
      <xdr:row>10</xdr:row>
      <xdr:rowOff>44824</xdr:rowOff>
    </xdr:from>
    <xdr:to>
      <xdr:col>13</xdr:col>
      <xdr:colOff>459441</xdr:colOff>
      <xdr:row>25</xdr:row>
      <xdr:rowOff>134471</xdr:rowOff>
    </xdr:to>
    <xdr:sp macro="" textlink="">
      <xdr:nvSpPr>
        <xdr:cNvPr id="2" name="1 CuadroTexto"/>
        <xdr:cNvSpPr txBox="1"/>
      </xdr:nvSpPr>
      <xdr:spPr>
        <a:xfrm>
          <a:off x="257735" y="1949824"/>
          <a:ext cx="9973235"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Pensiones                                    </a:t>
          </a:r>
          <a:br>
            <a:rPr lang="es-DO" sz="5400" b="1" baseline="0">
              <a:solidFill>
                <a:srgbClr val="0070C0"/>
              </a:solidFill>
              <a:effectLst/>
              <a:latin typeface="+mn-lt"/>
              <a:ea typeface="+mn-ea"/>
              <a:cs typeface="+mn-cs"/>
            </a:rPr>
          </a:br>
          <a:r>
            <a:rPr lang="es-DO" sz="4000" b="1" baseline="0">
              <a:solidFill>
                <a:schemeClr val="accent3">
                  <a:lumMod val="50000"/>
                </a:schemeClr>
              </a:solidFill>
              <a:effectLst/>
              <a:latin typeface="+mn-lt"/>
              <a:ea typeface="+mn-ea"/>
              <a:cs typeface="+mn-cs"/>
            </a:rPr>
            <a:t>Seguro de Vejez, Discapacidad y Sobrevivencia (SVDS)</a:t>
          </a:r>
          <a:endParaRPr lang="es-DO" sz="4000" b="1">
            <a:solidFill>
              <a:schemeClr val="accent3">
                <a:lumMod val="50000"/>
              </a:schemeClr>
            </a:solidFill>
            <a:latin typeface="+mn-lt"/>
            <a:ea typeface="+mn-ea"/>
            <a:cs typeface="+mn-cs"/>
          </a:endParaRP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22412</xdr:rowOff>
    </xdr:from>
    <xdr:to>
      <xdr:col>12</xdr:col>
      <xdr:colOff>0</xdr:colOff>
      <xdr:row>4</xdr:row>
      <xdr:rowOff>56030</xdr:rowOff>
    </xdr:to>
    <xdr:sp macro="" textlink="">
      <xdr:nvSpPr>
        <xdr:cNvPr id="4" name="6 Rectángulo redondeado"/>
        <xdr:cNvSpPr/>
      </xdr:nvSpPr>
      <xdr:spPr>
        <a:xfrm>
          <a:off x="0" y="22412"/>
          <a:ext cx="8975912"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oneCellAnchor>
    <xdr:from>
      <xdr:col>0</xdr:col>
      <xdr:colOff>22412</xdr:colOff>
      <xdr:row>0</xdr:row>
      <xdr:rowOff>112059</xdr:rowOff>
    </xdr:from>
    <xdr:ext cx="1132781" cy="661147"/>
    <xdr:pic>
      <xdr:nvPicPr>
        <xdr:cNvPr id="5"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12" y="112059"/>
          <a:ext cx="1132781" cy="661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8.xml><?xml version="1.0" encoding="utf-8"?>
<xdr:wsDr xmlns:xdr="http://schemas.openxmlformats.org/drawingml/2006/spreadsheetDrawing" xmlns:a="http://schemas.openxmlformats.org/drawingml/2006/main">
  <xdr:twoCellAnchor>
    <xdr:from>
      <xdr:col>0</xdr:col>
      <xdr:colOff>0</xdr:colOff>
      <xdr:row>18</xdr:row>
      <xdr:rowOff>36738</xdr:rowOff>
    </xdr:from>
    <xdr:to>
      <xdr:col>11</xdr:col>
      <xdr:colOff>966107</xdr:colOff>
      <xdr:row>48</xdr:row>
      <xdr:rowOff>13607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925286</xdr:rowOff>
    </xdr:to>
    <xdr:sp macro="" textlink="">
      <xdr:nvSpPr>
        <xdr:cNvPr id="5" name="6 Rectángulo redondeado"/>
        <xdr:cNvSpPr/>
      </xdr:nvSpPr>
      <xdr:spPr>
        <a:xfrm>
          <a:off x="0" y="0"/>
          <a:ext cx="1326696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por Año</a:t>
          </a:r>
        </a:p>
        <a:p>
          <a:pPr algn="ctr" eaLnBrk="1" fontAlgn="auto" latinLnBrk="0" hangingPunct="1"/>
          <a:r>
            <a:rPr lang="es-DO" sz="1600" b="1">
              <a:solidFill>
                <a:schemeClr val="lt1"/>
              </a:solidFill>
              <a:effectLst/>
              <a:latin typeface="+mn-lt"/>
              <a:ea typeface="+mn-ea"/>
              <a:cs typeface="+mn-cs"/>
            </a:rPr>
            <a:t>Período: 2003 - Enero 2015</a:t>
          </a:r>
          <a:endParaRPr lang="es-DO" sz="24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9.xml><?xml version="1.0" encoding="utf-8"?>
<xdr:wsDr xmlns:xdr="http://schemas.openxmlformats.org/drawingml/2006/spreadsheetDrawing" xmlns:a="http://schemas.openxmlformats.org/drawingml/2006/main">
  <xdr:twoCellAnchor>
    <xdr:from>
      <xdr:col>0</xdr:col>
      <xdr:colOff>0</xdr:colOff>
      <xdr:row>12</xdr:row>
      <xdr:rowOff>27214</xdr:rowOff>
    </xdr:from>
    <xdr:to>
      <xdr:col>13</xdr:col>
      <xdr:colOff>680357</xdr:colOff>
      <xdr:row>47</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A Diciembre de 2014</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0.05524</cdr:x>
      <cdr:y>0.9231</cdr:y>
    </cdr:from>
    <cdr:to>
      <cdr:x>0.34599</cdr:x>
      <cdr:y>0.98205</cdr:y>
    </cdr:to>
    <cdr:sp macro="" textlink="">
      <cdr:nvSpPr>
        <cdr:cNvPr id="2" name="2 CuadroTexto"/>
        <cdr:cNvSpPr txBox="1"/>
      </cdr:nvSpPr>
      <cdr:spPr>
        <a:xfrm xmlns:a="http://schemas.openxmlformats.org/drawingml/2006/main">
          <a:off x="882073" y="8017163"/>
          <a:ext cx="4642428" cy="51204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742950</xdr:colOff>
      <xdr:row>1</xdr:row>
      <xdr:rowOff>114300</xdr:rowOff>
    </xdr:to>
    <xdr:sp macro="" textlink="">
      <xdr:nvSpPr>
        <xdr:cNvPr id="3" name="6 Rectángulo redondeado"/>
        <xdr:cNvSpPr/>
      </xdr:nvSpPr>
      <xdr:spPr>
        <a:xfrm>
          <a:off x="0" y="0"/>
          <a:ext cx="8048625"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A diciembre 2014</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3</xdr:col>
      <xdr:colOff>526676</xdr:colOff>
      <xdr:row>5</xdr:row>
      <xdr:rowOff>179295</xdr:rowOff>
    </xdr:from>
    <xdr:to>
      <xdr:col>9</xdr:col>
      <xdr:colOff>560294</xdr:colOff>
      <xdr:row>32</xdr:row>
      <xdr:rowOff>134470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2676" y="1131795"/>
          <a:ext cx="4471147" cy="5098675"/>
        </a:xfrm>
        <a:prstGeom prst="rect">
          <a:avLst/>
        </a:prstGeom>
        <a:noFill/>
        <a:ln>
          <a:noFill/>
        </a:ln>
      </xdr:spPr>
    </xdr:pic>
    <xdr:clientData/>
  </xdr:twoCellAnchor>
  <xdr:twoCellAnchor>
    <xdr:from>
      <xdr:col>0</xdr:col>
      <xdr:colOff>481854</xdr:colOff>
      <xdr:row>10</xdr:row>
      <xdr:rowOff>78442</xdr:rowOff>
    </xdr:from>
    <xdr:to>
      <xdr:col>12</xdr:col>
      <xdr:colOff>571501</xdr:colOff>
      <xdr:row>25</xdr:row>
      <xdr:rowOff>145677</xdr:rowOff>
    </xdr:to>
    <xdr:sp macro="" textlink="">
      <xdr:nvSpPr>
        <xdr:cNvPr id="2" name="1 CuadroTexto"/>
        <xdr:cNvSpPr txBox="1"/>
      </xdr:nvSpPr>
      <xdr:spPr>
        <a:xfrm>
          <a:off x="481854" y="1983442"/>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Solicitud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rPr>
            <a:t>Administradora de Riesgos Laborales</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22413</xdr:colOff>
      <xdr:row>3</xdr:row>
      <xdr:rowOff>168088</xdr:rowOff>
    </xdr:from>
    <xdr:to>
      <xdr:col>13</xdr:col>
      <xdr:colOff>694766</xdr:colOff>
      <xdr:row>43</xdr:row>
      <xdr:rowOff>134471</xdr:rowOff>
    </xdr:to>
    <xdr:sp macro="" textlink="">
      <xdr:nvSpPr>
        <xdr:cNvPr id="3" name="1 CuadroTexto"/>
        <xdr:cNvSpPr txBox="1"/>
      </xdr:nvSpPr>
      <xdr:spPr>
        <a:xfrm>
          <a:off x="22413" y="739588"/>
          <a:ext cx="10443882" cy="758638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periodo 2005 a enero 2015 es de 172,126 reportes.  El 98.43% de los reportes son de accidentes laborales y el 1.57% por enfermedades profesionales.   El incremento promedio anual de los reportes  de accidentes es de 27.5%, en el periodo enero 2005 a diciembre 2014.   En el mismo periodo, las provincias Altagracia, Santiago de los Caballeros, La Romana y Distrito Nacional han,  ha reportado  el 70.8%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Para enero 2015 el total de reportes de accidentes laborales y enfermedades profesionales fue de 2,248, de los cuales 86% de los reportes provenían de la zona urbana y el 14% de la rural.    Las empresas del sector público reportaron el 15.48% y el 84.52% del privado.  Del total de afiliados al ARL que sufrió algún tipo de accidente en el período enero-diciembre 2014, sector público reporto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 enero 2015, el 73.1% de los accidentes son del sexo femenino y el 26.9% al masculino.  En el período enero- diciembre 2005 se registro que el 87.0% de los accidentes eran del sexo masculino,  comparada con el porcentaje de enero-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7.5% de  los afiliados tenían edades menores de 20 años y mayor de 60 años.  </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En cuanto al nivel educativo de los accidentados, el promedio histórico estimado en el período enero 2005 a enero 2015 es que, el 3.09% de ellos no tiene ninguna educación; el 32.49%  tiene una básica; el 45.44% a llegado a la educación media y el 9.10%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para enero 2015,  se calificaron el 91.0%,  siendo un total de 2,046  expedientes. El 94.43% de los casos calificados fueron aprobados y el 5.57% declinados.  Solo en el 2013 se calificaron el 100% de los casos reportados.  El porcentaje promedio de los casos calificados desde el 2009 a enero 2015 fue de 97.5%. </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el  65.40% fue un accidente  en el trabajo; el 28.01% en el trayecto y el 1.03% conexo,  y el 5.57% de los accidentes no fueron especificados.  Del total de accidentes el  90.1%  fue  de leve a moderado, el 3.9%  fueron grave o mortales, y el 0.5% sin lesión en el mes de enero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 enero 2015, según las circunstancias de los imprevistos el 82.52% de los accidentes fue por factor de trabajo; el  2.25% por falta de organización y el 9.09% fue por factores o actos fuera de normas o personal.  En cuanto al agente dañino productor del accidente el 26.71% fue por medio de transporte; el 22.81% ambiente de trabajo; el 22.94% por herramientas e implementación; el 9.35% por maquinarias y equipos, entre otros.  Asimismo,  el  42.54% de los accidentes  reportados fueron en el área de producción y el 27.19% en el área de circulación vehicular o parqueos.  A enero 2015 el 3.64% de los casos reportados como calificados tenían lesiones Discapacitantes.  El año que  se reporto mayores lesiones Discapacitantes fue el año 2014, con un total de 25,583 representando el 22.46% de los casos calificados.</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 enero 2015, el 100% de los casos  en proceso de investigación, el 69.2% fueron declinados y el 30.8% aprobados.  Asimismo, para los casos calificados en proceso de Reinvestigación el 36.4% fueron aprobados.</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16</xdr:row>
      <xdr:rowOff>26094</xdr:rowOff>
    </xdr:from>
    <xdr:to>
      <xdr:col>9</xdr:col>
      <xdr:colOff>1135171</xdr:colOff>
      <xdr:row>44</xdr:row>
      <xdr:rowOff>78286</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469725</xdr:colOff>
      <xdr:row>42</xdr:row>
      <xdr:rowOff>78285</xdr:rowOff>
    </xdr:from>
    <xdr:to>
      <xdr:col>3</xdr:col>
      <xdr:colOff>287056</xdr:colOff>
      <xdr:row>44</xdr:row>
      <xdr:rowOff>13047</xdr:rowOff>
    </xdr:to>
    <xdr:sp macro="" textlink="">
      <xdr:nvSpPr>
        <xdr:cNvPr id="2" name="1 CuadroTexto"/>
        <xdr:cNvSpPr txBox="1"/>
      </xdr:nvSpPr>
      <xdr:spPr>
        <a:xfrm>
          <a:off x="469725" y="8598593"/>
          <a:ext cx="3170653" cy="32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9</xdr:col>
      <xdr:colOff>1265650</xdr:colOff>
      <xdr:row>0</xdr:row>
      <xdr:rowOff>769829</xdr:rowOff>
    </xdr:to>
    <xdr:sp macro="" textlink="">
      <xdr:nvSpPr>
        <xdr:cNvPr id="5" name="6 Rectángulo redondeado"/>
        <xdr:cNvSpPr/>
      </xdr:nvSpPr>
      <xdr:spPr>
        <a:xfrm>
          <a:off x="0" y="0"/>
          <a:ext cx="10829794" cy="7698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508870</xdr:colOff>
      <xdr:row>0</xdr:row>
      <xdr:rowOff>156576</xdr:rowOff>
    </xdr:from>
    <xdr:to>
      <xdr:col>1</xdr:col>
      <xdr:colOff>355358</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15</xdr:row>
      <xdr:rowOff>159055</xdr:rowOff>
    </xdr:from>
    <xdr:to>
      <xdr:col>19</xdr:col>
      <xdr:colOff>626300</xdr:colOff>
      <xdr:row>58</xdr:row>
      <xdr:rowOff>26096</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678492</xdr:colOff>
      <xdr:row>0</xdr:row>
      <xdr:rowOff>848116</xdr:rowOff>
    </xdr:to>
    <xdr:sp macro="" textlink="">
      <xdr:nvSpPr>
        <xdr:cNvPr id="4" name="6 Rectángulo redondeado"/>
        <xdr:cNvSpPr/>
      </xdr:nvSpPr>
      <xdr:spPr>
        <a:xfrm>
          <a:off x="0" y="0"/>
          <a:ext cx="13530718"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717637</xdr:colOff>
      <xdr:row>0</xdr:row>
      <xdr:rowOff>221815</xdr:rowOff>
    </xdr:from>
    <xdr:to>
      <xdr:col>1</xdr:col>
      <xdr:colOff>546541</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5" name="6 Rectángulo redondeado"/>
        <xdr:cNvSpPr/>
      </xdr:nvSpPr>
      <xdr:spPr>
        <a:xfrm>
          <a:off x="0" y="0"/>
          <a:ext cx="13171714"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42370</xdr:colOff>
      <xdr:row>15</xdr:row>
      <xdr:rowOff>163286</xdr:rowOff>
    </xdr:from>
    <xdr:to>
      <xdr:col>11</xdr:col>
      <xdr:colOff>1137745</xdr:colOff>
      <xdr:row>45</xdr:row>
      <xdr:rowOff>130573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Sector</a:t>
          </a:r>
        </a:p>
        <a:p>
          <a:pPr algn="ctr" eaLnBrk="1" fontAlgn="auto" latinLnBrk="0" hangingPunct="1"/>
          <a:r>
            <a:rPr lang="es-DO" sz="1400" b="1">
              <a:solidFill>
                <a:schemeClr val="lt1"/>
              </a:solidFill>
              <a:effectLst/>
              <a:latin typeface="+mn-lt"/>
              <a:ea typeface="+mn-ea"/>
              <a:cs typeface="+mn-cs"/>
            </a:rPr>
            <a:t>Período: Período: 2005 -  Enero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xdr:colOff>
      <xdr:row>15</xdr:row>
      <xdr:rowOff>172494</xdr:rowOff>
    </xdr:from>
    <xdr:to>
      <xdr:col>13</xdr:col>
      <xdr:colOff>991644</xdr:colOff>
      <xdr:row>59</xdr:row>
      <xdr:rowOff>130480</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495823</xdr:colOff>
      <xdr:row>0</xdr:row>
      <xdr:rowOff>156575</xdr:rowOff>
    </xdr:from>
    <xdr:to>
      <xdr:col>1</xdr:col>
      <xdr:colOff>451202</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Enero 2015</a:t>
          </a:r>
          <a:endParaRPr lang="es-DO" sz="60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51953</xdr:colOff>
      <xdr:row>20</xdr:row>
      <xdr:rowOff>74466</xdr:rowOff>
    </xdr:from>
    <xdr:to>
      <xdr:col>13</xdr:col>
      <xdr:colOff>2060863</xdr:colOff>
      <xdr:row>61</xdr:row>
      <xdr:rowOff>17318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39144</xdr:colOff>
      <xdr:row>15</xdr:row>
      <xdr:rowOff>156575</xdr:rowOff>
    </xdr:from>
    <xdr:to>
      <xdr:col>12</xdr:col>
      <xdr:colOff>822021</xdr:colOff>
      <xdr:row>50</xdr:row>
      <xdr:rowOff>104382</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Enero 2015</a:t>
          </a:r>
          <a:endParaRPr lang="es-DO" sz="2000">
            <a:effectLst/>
          </a:endParaRPr>
        </a:p>
      </xdr:txBody>
    </xdr:sp>
    <xdr:clientData/>
  </xdr:twoCellAnchor>
  <xdr:twoCellAnchor editAs="oneCell">
    <xdr:from>
      <xdr:col>0</xdr:col>
      <xdr:colOff>352294</xdr:colOff>
      <xdr:row>0</xdr:row>
      <xdr:rowOff>117431</xdr:rowOff>
    </xdr:from>
    <xdr:to>
      <xdr:col>1</xdr:col>
      <xdr:colOff>227034</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Enero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794098</xdr:colOff>
      <xdr:row>42</xdr:row>
      <xdr:rowOff>14484</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 Enero 2015</a:t>
          </a:r>
          <a:endParaRPr lang="es-DO" sz="2000">
            <a:effectLst/>
          </a:endParaRPr>
        </a:p>
      </xdr:txBody>
    </xdr:sp>
    <xdr:clientData/>
  </xdr:twoCellAnchor>
  <xdr:twoCellAnchor editAs="oneCell">
    <xdr:from>
      <xdr:col>0</xdr:col>
      <xdr:colOff>443629</xdr:colOff>
      <xdr:row>0</xdr:row>
      <xdr:rowOff>169623</xdr:rowOff>
    </xdr:from>
    <xdr:to>
      <xdr:col>1</xdr:col>
      <xdr:colOff>403013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Enero 2015</a:t>
          </a:r>
          <a:endParaRPr lang="es-DO" sz="2000">
            <a:effectLst/>
          </a:endParaRPr>
        </a:p>
      </xdr:txBody>
    </xdr:sp>
    <xdr:clientData/>
  </xdr:twoCellAnchor>
  <xdr:twoCellAnchor editAs="oneCell">
    <xdr:from>
      <xdr:col>0</xdr:col>
      <xdr:colOff>598714</xdr:colOff>
      <xdr:row>0</xdr:row>
      <xdr:rowOff>163285</xdr:rowOff>
    </xdr:from>
    <xdr:to>
      <xdr:col>1</xdr:col>
      <xdr:colOff>462643</xdr:colOff>
      <xdr:row>0</xdr:row>
      <xdr:rowOff>633880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63285"/>
          <a:ext cx="693965" cy="47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247912</xdr:colOff>
      <xdr:row>0</xdr:row>
      <xdr:rowOff>169624</xdr:rowOff>
    </xdr:from>
    <xdr:to>
      <xdr:col>1</xdr:col>
      <xdr:colOff>50720</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13</xdr:row>
      <xdr:rowOff>176893</xdr:rowOff>
    </xdr:from>
    <xdr:to>
      <xdr:col>11</xdr:col>
      <xdr:colOff>1592036</xdr:colOff>
      <xdr:row>44</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20</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489857</xdr:colOff>
      <xdr:row>0</xdr:row>
      <xdr:rowOff>242008</xdr:rowOff>
    </xdr:from>
    <xdr:to>
      <xdr:col>1</xdr:col>
      <xdr:colOff>367393</xdr:colOff>
      <xdr:row>0</xdr:row>
      <xdr:rowOff>764265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404487</xdr:colOff>
      <xdr:row>0</xdr:row>
      <xdr:rowOff>195719</xdr:rowOff>
    </xdr:from>
    <xdr:to>
      <xdr:col>1</xdr:col>
      <xdr:colOff>143528</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911679</xdr:colOff>
      <xdr:row>0</xdr:row>
      <xdr:rowOff>911679</xdr:rowOff>
    </xdr:to>
    <xdr:sp macro="" textlink="">
      <xdr:nvSpPr>
        <xdr:cNvPr id="5" name="6 Rectángulo redondeado"/>
        <xdr:cNvSpPr/>
      </xdr:nvSpPr>
      <xdr:spPr>
        <a:xfrm>
          <a:off x="0" y="13607"/>
          <a:ext cx="1143000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381000</xdr:colOff>
      <xdr:row>0</xdr:row>
      <xdr:rowOff>204107</xdr:rowOff>
    </xdr:from>
    <xdr:to>
      <xdr:col>1</xdr:col>
      <xdr:colOff>266241</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544286</xdr:colOff>
      <xdr:row>9</xdr:row>
      <xdr:rowOff>176893</xdr:rowOff>
    </xdr:from>
    <xdr:to>
      <xdr:col>9</xdr:col>
      <xdr:colOff>368382</xdr:colOff>
      <xdr:row>33</xdr:row>
      <xdr:rowOff>97723</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30286" y="1891393"/>
          <a:ext cx="4532167" cy="4492830"/>
        </a:xfrm>
        <a:prstGeom prst="rect">
          <a:avLst/>
        </a:prstGeom>
        <a:noFill/>
        <a:ln>
          <a:noFill/>
        </a:ln>
      </xdr:spPr>
    </xdr:pic>
    <xdr:clientData/>
  </xdr:twoCellAnchor>
  <xdr:twoCellAnchor>
    <xdr:from>
      <xdr:col>0</xdr:col>
      <xdr:colOff>554184</xdr:colOff>
      <xdr:row>13</xdr:row>
      <xdr:rowOff>69271</xdr:rowOff>
    </xdr:from>
    <xdr:to>
      <xdr:col>12</xdr:col>
      <xdr:colOff>450273</xdr:colOff>
      <xdr:row>28</xdr:row>
      <xdr:rowOff>122464</xdr:rowOff>
    </xdr:to>
    <xdr:sp macro="" textlink="">
      <xdr:nvSpPr>
        <xdr:cNvPr id="2" name="1 CuadroTexto"/>
        <xdr:cNvSpPr txBox="1"/>
      </xdr:nvSpPr>
      <xdr:spPr>
        <a:xfrm>
          <a:off x="554184" y="2545771"/>
          <a:ext cx="9176160" cy="2910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SFS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accent3">
                  <a:lumMod val="50000"/>
                </a:schemeClr>
              </a:solidFill>
            </a:rPr>
            <a:t>Afiliación del Seguro Familiar de Salud </a:t>
          </a:r>
          <a:endParaRPr lang="es-DO" sz="48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13</xdr:row>
      <xdr:rowOff>91335</xdr:rowOff>
    </xdr:from>
    <xdr:to>
      <xdr:col>12</xdr:col>
      <xdr:colOff>665445</xdr:colOff>
      <xdr:row>43</xdr:row>
      <xdr:rowOff>156575</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743733</xdr:colOff>
      <xdr:row>0</xdr:row>
      <xdr:rowOff>769829</xdr:rowOff>
    </xdr:to>
    <xdr:sp macro="" textlink="">
      <xdr:nvSpPr>
        <xdr:cNvPr id="5" name="6 Rectángulo redondeado"/>
        <xdr:cNvSpPr/>
      </xdr:nvSpPr>
      <xdr:spPr>
        <a:xfrm>
          <a:off x="0" y="0"/>
          <a:ext cx="14313596" cy="7698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76200</xdr:colOff>
      <xdr:row>11</xdr:row>
      <xdr:rowOff>149679</xdr:rowOff>
    </xdr:from>
    <xdr:to>
      <xdr:col>13</xdr:col>
      <xdr:colOff>666750</xdr:colOff>
      <xdr:row>43</xdr:row>
      <xdr:rowOff>68036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13</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con Lesiones Discapacitantes                                                                                                                                                                                                                                                         Período: 2009 - Enero 2015</a:t>
          </a:r>
          <a:endParaRPr lang="es-DO" sz="2400">
            <a:effectLst/>
          </a:endParaRPr>
        </a:p>
      </xdr:txBody>
    </xdr:sp>
    <xdr:clientData/>
  </xdr:twoCellAnchor>
  <xdr:twoCellAnchor editAs="oneCell">
    <xdr:from>
      <xdr:col>0</xdr:col>
      <xdr:colOff>394606</xdr:colOff>
      <xdr:row>0</xdr:row>
      <xdr:rowOff>217715</xdr:rowOff>
    </xdr:from>
    <xdr:to>
      <xdr:col>1</xdr:col>
      <xdr:colOff>163285</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157693</xdr:rowOff>
    </xdr:from>
    <xdr:to>
      <xdr:col>11</xdr:col>
      <xdr:colOff>896470</xdr:colOff>
      <xdr:row>43</xdr:row>
      <xdr:rowOff>105654</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44824</xdr:colOff>
      <xdr:row>0</xdr:row>
      <xdr:rowOff>0</xdr:rowOff>
    </xdr:from>
    <xdr:to>
      <xdr:col>11</xdr:col>
      <xdr:colOff>930088</xdr:colOff>
      <xdr:row>0</xdr:row>
      <xdr:rowOff>829234</xdr:rowOff>
    </xdr:to>
    <xdr:sp macro="" textlink="">
      <xdr:nvSpPr>
        <xdr:cNvPr id="5" name="6 Rectángulo redondeado"/>
        <xdr:cNvSpPr/>
      </xdr:nvSpPr>
      <xdr:spPr>
        <a:xfrm>
          <a:off x="44824" y="0"/>
          <a:ext cx="10836088"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280148</xdr:colOff>
      <xdr:row>0</xdr:row>
      <xdr:rowOff>100853</xdr:rowOff>
    </xdr:from>
    <xdr:to>
      <xdr:col>1</xdr:col>
      <xdr:colOff>78442</xdr:colOff>
      <xdr:row>0</xdr:row>
      <xdr:rowOff>547377</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148" y="100853"/>
          <a:ext cx="717176" cy="446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287054</xdr:colOff>
      <xdr:row>0</xdr:row>
      <xdr:rowOff>104383</xdr:rowOff>
    </xdr:from>
    <xdr:to>
      <xdr:col>1</xdr:col>
      <xdr:colOff>78287</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11</xdr:row>
      <xdr:rowOff>313150</xdr:rowOff>
    </xdr:from>
    <xdr:to>
      <xdr:col>12</xdr:col>
      <xdr:colOff>691542</xdr:colOff>
      <xdr:row>43</xdr:row>
      <xdr:rowOff>13048</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9590240"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378390</xdr:colOff>
      <xdr:row>0</xdr:row>
      <xdr:rowOff>143527</xdr:rowOff>
    </xdr:from>
    <xdr:to>
      <xdr:col>1</xdr:col>
      <xdr:colOff>355872</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Enero 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9525</xdr:colOff>
      <xdr:row>13</xdr:row>
      <xdr:rowOff>57149</xdr:rowOff>
    </xdr:from>
    <xdr:to>
      <xdr:col>10</xdr:col>
      <xdr:colOff>495300</xdr:colOff>
      <xdr:row>37</xdr:row>
      <xdr:rowOff>161924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600075</xdr:rowOff>
    </xdr:to>
    <xdr:sp macro="" textlink="">
      <xdr:nvSpPr>
        <xdr:cNvPr id="4" name="4 Rectángulo redondeado"/>
        <xdr:cNvSpPr/>
      </xdr:nvSpPr>
      <xdr:spPr>
        <a:xfrm>
          <a:off x="0" y="0"/>
          <a:ext cx="9658350" cy="600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Apelaciones por Entidad Receptora y Orígen</a:t>
          </a:r>
        </a:p>
        <a:p>
          <a:pPr algn="ctr" eaLnBrk="1" fontAlgn="auto" latinLnBrk="0" hangingPunct="1"/>
          <a:r>
            <a:rPr lang="es-DO" sz="1400" b="1">
              <a:solidFill>
                <a:schemeClr val="lt1"/>
              </a:solidFill>
              <a:effectLst/>
              <a:latin typeface="+mn-lt"/>
              <a:ea typeface="+mn-ea"/>
              <a:cs typeface="+mn-cs"/>
            </a:rPr>
            <a:t> Período: Octubre 2009 - Enero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9.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123825</xdr:colOff>
      <xdr:row>8</xdr:row>
      <xdr:rowOff>38102</xdr:rowOff>
    </xdr:from>
    <xdr:to>
      <xdr:col>7</xdr:col>
      <xdr:colOff>704850</xdr:colOff>
      <xdr:row>19</xdr:row>
      <xdr:rowOff>180976</xdr:rowOff>
    </xdr:to>
    <xdr:sp macro="" textlink="">
      <xdr:nvSpPr>
        <xdr:cNvPr id="3" name="2 CuadroTexto"/>
        <xdr:cNvSpPr txBox="1"/>
      </xdr:nvSpPr>
      <xdr:spPr>
        <a:xfrm>
          <a:off x="885825" y="1562102"/>
          <a:ext cx="6772275" cy="2238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438149</xdr:colOff>
      <xdr:row>2</xdr:row>
      <xdr:rowOff>38100</xdr:rowOff>
    </xdr:from>
    <xdr:to>
      <xdr:col>1</xdr:col>
      <xdr:colOff>581024</xdr:colOff>
      <xdr:row>5</xdr:row>
      <xdr:rowOff>38100</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38149" y="419100"/>
          <a:ext cx="904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0</xdr:colOff>
      <xdr:row>3</xdr:row>
      <xdr:rowOff>159284</xdr:rowOff>
    </xdr:from>
    <xdr:to>
      <xdr:col>12</xdr:col>
      <xdr:colOff>0</xdr:colOff>
      <xdr:row>39</xdr:row>
      <xdr:rowOff>104855</xdr:rowOff>
    </xdr:to>
    <xdr:sp macro="" textlink="">
      <xdr:nvSpPr>
        <xdr:cNvPr id="3" name="1 CuadroTexto"/>
        <xdr:cNvSpPr txBox="1"/>
      </xdr:nvSpPr>
      <xdr:spPr>
        <a:xfrm>
          <a:off x="0" y="730784"/>
          <a:ext cx="9771528" cy="680357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2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 </a:t>
          </a:r>
          <a:r>
            <a:rPr lang="es-DO" sz="1400">
              <a:solidFill>
                <a:schemeClr val="dk1"/>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 interesado.</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2008por las Administradoras de Fondos de Pensiones (AFP), que estén en proceso de evaluación en el esquema transitorio aprobado por el CNSS  mediante Resolución 97-03 del 5 de febrero de 2004, se continuarán evaluando por el mismo esquema hasta su conclusión final.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Desde el inicio de sus operaciones hasta enero de 2015 las Comisiones Médicas Regionales  han recibido 10,208 solicitudes de evaluación de grado de discapacidad permanente, de los cuales 8,929 han sido emitidos y notificados a las Comisiones Técnicas de Discapacidad y a las AFP correspondientes, representando un 87.5% del total de las solicitudes.</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De los 8,929 dictámenes emitidos y notificado, 2,050 han sido apelados representando un 23%. Dichas apelaciones han sido realizadas en un 67 por afiliados (1,374),  un 29% por las compañías aseguradoras (591) y 85 con orígenes no especificados equivalente a un 4%. </a:t>
          </a:r>
          <a:endParaRPr lang="es-ES" sz="14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aseline="0">
              <a:solidFill>
                <a:sysClr val="windowText" lastClr="000000"/>
              </a:solidFill>
              <a:effectLst/>
              <a:latin typeface="+mn-lt"/>
              <a:ea typeface="+mn-ea"/>
              <a:cs typeface="+mn-cs"/>
            </a:rPr>
            <a:t>                                                                                                                                                                       </a:t>
          </a:r>
          <a:r>
            <a:rPr lang="es-DO" sz="1200" b="0" baseline="0">
              <a:solidFill>
                <a:sysClr val="windowText" lastClr="000000"/>
              </a:solidFill>
            </a:rPr>
            <a:t>                </a:t>
          </a:r>
          <a:endParaRPr lang="es-DO" sz="12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168088</xdr:colOff>
      <xdr:row>0</xdr:row>
      <xdr:rowOff>100854</xdr:rowOff>
    </xdr:from>
    <xdr:to>
      <xdr:col>1</xdr:col>
      <xdr:colOff>133536</xdr:colOff>
      <xdr:row>2</xdr:row>
      <xdr:rowOff>179295</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68088" y="100854"/>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12</xdr:row>
      <xdr:rowOff>23531</xdr:rowOff>
    </xdr:from>
    <xdr:to>
      <xdr:col>11</xdr:col>
      <xdr:colOff>616323</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Enero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2.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15875</xdr:colOff>
      <xdr:row>1</xdr:row>
      <xdr:rowOff>15875</xdr:rowOff>
    </xdr:to>
    <xdr:sp macro="" textlink="">
      <xdr:nvSpPr>
        <xdr:cNvPr id="6" name="6 Rectángulo redondeado"/>
        <xdr:cNvSpPr/>
      </xdr:nvSpPr>
      <xdr:spPr>
        <a:xfrm>
          <a:off x="0" y="0"/>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Enero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3.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60511</xdr:colOff>
      <xdr:row>15</xdr:row>
      <xdr:rowOff>145676</xdr:rowOff>
    </xdr:from>
    <xdr:to>
      <xdr:col>15</xdr:col>
      <xdr:colOff>705970</xdr:colOff>
      <xdr:row>45</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829236</xdr:rowOff>
    </xdr:to>
    <xdr:sp macro="" textlink="">
      <xdr:nvSpPr>
        <xdr:cNvPr id="4" name="6 Rectángulo redondeado"/>
        <xdr:cNvSpPr/>
      </xdr:nvSpPr>
      <xdr:spPr>
        <a:xfrm>
          <a:off x="0" y="0"/>
          <a:ext cx="10981764" cy="8292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xdr:colOff>
      <xdr:row>0</xdr:row>
      <xdr:rowOff>0</xdr:rowOff>
    </xdr:from>
    <xdr:to>
      <xdr:col>12</xdr:col>
      <xdr:colOff>680358</xdr:colOff>
      <xdr:row>53</xdr:row>
      <xdr:rowOff>68036</xdr:rowOff>
    </xdr:to>
    <xdr:sp macro="" textlink="">
      <xdr:nvSpPr>
        <xdr:cNvPr id="2" name="1 CuadroTexto"/>
        <xdr:cNvSpPr txBox="1"/>
      </xdr:nvSpPr>
      <xdr:spPr>
        <a:xfrm>
          <a:off x="1" y="0"/>
          <a:ext cx="10341428" cy="10164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endParaRPr lang="es-DO" sz="1400" b="1">
            <a:solidFill>
              <a:schemeClr val="dk1"/>
            </a:solidFill>
            <a:effectLst/>
            <a:latin typeface="+mn-lt"/>
            <a:ea typeface="+mn-ea"/>
            <a:cs typeface="+mn-cs"/>
          </a:endParaRPr>
        </a:p>
        <a:p>
          <a:r>
            <a:rPr lang="es-DO" sz="1400" b="1">
              <a:solidFill>
                <a:schemeClr val="dk1"/>
              </a:solidFill>
              <a:effectLst/>
              <a:latin typeface="+mn-lt"/>
              <a:ea typeface="+mn-ea"/>
              <a:cs typeface="+mn-cs"/>
            </a:rPr>
            <a:t>Art. 125  Serán beneficiarios del Seguro Familiar de Salud del Régimen Subsidiado:</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a) Los desempleados, urbanos y rurales, así como sus familiares;</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endParaRPr lang="es-ES" sz="1400">
            <a:solidFill>
              <a:schemeClr val="dk1"/>
            </a:solidFill>
            <a:effectLst/>
            <a:latin typeface="+mn-lt"/>
            <a:ea typeface="+mn-ea"/>
            <a:cs typeface="+mn-cs"/>
          </a:endParaRPr>
        </a:p>
        <a:p>
          <a:endParaRPr lang="es-ES" sz="1400" b="1">
            <a:solidFill>
              <a:schemeClr val="dk1"/>
            </a:solidFill>
            <a:effectLst/>
            <a:latin typeface="+mn-lt"/>
            <a:ea typeface="+mn-ea"/>
            <a:cs typeface="+mn-cs"/>
          </a:endParaRPr>
        </a:p>
        <a:p>
          <a:r>
            <a:rPr lang="es-ES" sz="1400" b="1">
              <a:solidFill>
                <a:schemeClr val="dk1"/>
              </a:solidFill>
              <a:effectLst/>
              <a:latin typeface="+mn-lt"/>
              <a:ea typeface="+mn-ea"/>
              <a:cs typeface="+mn-cs"/>
            </a:rPr>
            <a:t>Art. 126.- Beneficiarios del Régimen Contributivo Subsidiado serán Beneficiarios del Seguro Familiar de Salud del Régimen Contributivo Subsidiado:</a:t>
          </a: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a) Los profesionales y técnicos que trabajan en forma independiente, así como sus familiares;</a:t>
          </a:r>
        </a:p>
        <a:p>
          <a:r>
            <a:rPr lang="es-ES" sz="1400">
              <a:solidFill>
                <a:schemeClr val="dk1"/>
              </a:solidFill>
              <a:effectLst/>
              <a:latin typeface="+mn-lt"/>
              <a:ea typeface="+mn-ea"/>
              <a:cs typeface="+mn-cs"/>
            </a:rPr>
            <a:t>b) Los trabajadores por cuentas propias, urbanas y rurales, así como sus familiares;</a:t>
          </a:r>
        </a:p>
        <a:p>
          <a:r>
            <a:rPr lang="es-ES" sz="1400">
              <a:solidFill>
                <a:schemeClr val="dk1"/>
              </a:solidFill>
              <a:effectLst/>
              <a:latin typeface="+mn-lt"/>
              <a:ea typeface="+mn-ea"/>
              <a:cs typeface="+mn-cs"/>
            </a:rPr>
            <a:t>c) Los trabajadores a domicilio, así como sus familiares;</a:t>
          </a:r>
        </a:p>
        <a:p>
          <a:r>
            <a:rPr lang="es-ES" sz="1400">
              <a:solidFill>
                <a:schemeClr val="dk1"/>
              </a:solidFill>
              <a:effectLst/>
              <a:latin typeface="+mn-lt"/>
              <a:ea typeface="+mn-ea"/>
              <a:cs typeface="+mn-cs"/>
            </a:rPr>
            <a:t>d) Los jubilados y pensionados del Régimen Contributivo Subsidiado. </a:t>
          </a:r>
        </a:p>
        <a:p>
          <a:r>
            <a:rPr lang="es-ES" sz="1400">
              <a:solidFill>
                <a:schemeClr val="dk1"/>
              </a:solidFill>
              <a:effectLst/>
              <a:latin typeface="+mn-lt"/>
              <a:ea typeface="+mn-ea"/>
              <a:cs typeface="+mn-cs"/>
            </a:rPr>
            <a:t>(Este régimen aún no se ha implementado)</a:t>
          </a:r>
        </a:p>
        <a:p>
          <a:endParaRPr lang="es-ES" sz="1400" b="1">
            <a:solidFill>
              <a:schemeClr val="dk1"/>
            </a:solidFill>
            <a:effectLst/>
            <a:latin typeface="+mn-lt"/>
            <a:ea typeface="+mn-ea"/>
            <a:cs typeface="+mn-cs"/>
          </a:endParaRPr>
        </a:p>
        <a:p>
          <a:r>
            <a:rPr lang="es-ES" sz="1400" b="1">
              <a:solidFill>
                <a:schemeClr val="dk1"/>
              </a:solidFill>
              <a:effectLst/>
              <a:latin typeface="+mn-lt"/>
              <a:ea typeface="+mn-ea"/>
              <a:cs typeface="+mn-cs"/>
            </a:rPr>
            <a:t>Régimen Especial Transitorio:</a:t>
          </a: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a:t>
          </a:r>
        </a:p>
        <a:p>
          <a:endParaRPr lang="es-ES" sz="1400" b="1">
            <a:solidFill>
              <a:schemeClr val="dk1"/>
            </a:solidFill>
            <a:effectLst/>
            <a:latin typeface="+mn-lt"/>
            <a:ea typeface="+mn-ea"/>
            <a:cs typeface="+mn-cs"/>
          </a:endParaRPr>
        </a:p>
        <a:p>
          <a:r>
            <a:rPr lang="es-ES" sz="1400" b="1">
              <a:solidFill>
                <a:schemeClr val="dk1"/>
              </a:solidFill>
              <a:effectLst/>
              <a:latin typeface="+mn-lt"/>
              <a:ea typeface="+mn-ea"/>
              <a:cs typeface="+mn-cs"/>
            </a:rPr>
            <a:t>Pago de Cápitas por los Afiliados al SFS (Cobertura de Afiliación)</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 Tesorería de Seguridad Social realiza el pago a las Administradoras de Riesgos de Salud  por el Plan Básico de Salud  en base a un per cápita establecido por afiliado, lo que le da el derecho a cobertura.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Por último es importante aclarar que  la cantidad de afiliados titulares  del Seguro Familiar de Salud, los afiliados  cotizantes del Seguro de Vejez, Discapacidad y Sobrevivencia y los del Seguro de Riesgos  Laborales  del Régimen Contributivo, que en principio pudieran coincidir, con regularidad muestran   algunas diferencias debido a los siguientes aspectos:   </a:t>
          </a:r>
          <a:endParaRPr lang="es-ES" sz="1400">
            <a:solidFill>
              <a:schemeClr val="dk1"/>
            </a:solidFill>
            <a:effectLst/>
            <a:latin typeface="+mn-lt"/>
            <a:ea typeface="+mn-ea"/>
            <a:cs typeface="+mn-cs"/>
          </a:endParaRPr>
        </a:p>
        <a:p>
          <a:r>
            <a:rPr lang="es-DO" sz="1400" b="1">
              <a:solidFill>
                <a:schemeClr val="dk1"/>
              </a:solidFill>
              <a:effectLst/>
              <a:latin typeface="+mn-lt"/>
              <a:ea typeface="+mn-ea"/>
              <a:cs typeface="+mn-cs"/>
            </a:rPr>
            <a:t>                a)</a:t>
          </a:r>
          <a:r>
            <a:rPr lang="es-DO" sz="1400">
              <a:solidFill>
                <a:schemeClr val="dk1"/>
              </a:solidFill>
              <a:effectLst/>
              <a:latin typeface="+mn-lt"/>
              <a:ea typeface="+mn-ea"/>
              <a:cs typeface="+mn-cs"/>
            </a:rPr>
            <a:t>   De acuerdo al Art. 13. del Reglamento sobre Aspectos Generales de Afiliación al Seguro Familiar de Salud del Régimen Contributivo,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en el SVDS y SRL es afiliado cotizante.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                </a:t>
          </a:r>
          <a:r>
            <a:rPr lang="es-DO" sz="1400" b="1">
              <a:solidFill>
                <a:schemeClr val="dk1"/>
              </a:solidFill>
              <a:effectLst/>
              <a:latin typeface="+mn-lt"/>
              <a:ea typeface="+mn-ea"/>
              <a:cs typeface="+mn-cs"/>
            </a:rPr>
            <a:t>b)</a:t>
          </a:r>
          <a:r>
            <a:rPr lang="es-DO" sz="1400">
              <a:solidFill>
                <a:schemeClr val="dk1"/>
              </a:solidFill>
              <a:effectLst/>
              <a:latin typeface="+mn-lt"/>
              <a:ea typeface="+mn-ea"/>
              <a:cs typeface="+mn-cs"/>
            </a:rPr>
            <a:t>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a:t>
          </a:r>
          <a:endParaRPr lang="es-ES" sz="1400">
            <a:solidFill>
              <a:schemeClr val="dk1"/>
            </a:solidFill>
            <a:effectLst/>
            <a:latin typeface="+mn-lt"/>
            <a:ea typeface="+mn-ea"/>
            <a:cs typeface="+mn-cs"/>
          </a:endParaRPr>
        </a:p>
        <a:p>
          <a:r>
            <a:rPr lang="es-DO" sz="1400" b="1">
              <a:solidFill>
                <a:schemeClr val="dk1"/>
              </a:solidFill>
              <a:effectLst/>
              <a:latin typeface="+mn-lt"/>
              <a:ea typeface="+mn-ea"/>
              <a:cs typeface="+mn-cs"/>
            </a:rPr>
            <a:t>                c) </a:t>
          </a:r>
          <a:r>
            <a:rPr lang="es-DO" sz="1400">
              <a:solidFill>
                <a:schemeClr val="dk1"/>
              </a:solidFill>
              <a:effectLst/>
              <a:latin typeface="+mn-lt"/>
              <a:ea typeface="+mn-ea"/>
              <a:cs typeface="+mn-cs"/>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endParaRPr lang="es-ES" sz="1400">
            <a:solidFill>
              <a:schemeClr val="dk1"/>
            </a:solidFill>
            <a:effectLst/>
            <a:latin typeface="+mn-lt"/>
            <a:ea typeface="+mn-ea"/>
            <a:cs typeface="+mn-cs"/>
          </a:endParaRPr>
        </a:p>
        <a:p>
          <a:r>
            <a:rPr lang="es-ES" sz="1100">
              <a:solidFill>
                <a:schemeClr val="dk1"/>
              </a:solidFill>
              <a:effectLst/>
              <a:latin typeface="+mn-lt"/>
              <a:ea typeface="+mn-ea"/>
              <a:cs typeface="+mn-cs"/>
            </a:rPr>
            <a:t>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1.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3.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51</xdr:row>
      <xdr:rowOff>168088</xdr:rowOff>
    </xdr:to>
    <xdr:sp macro="" textlink="">
      <xdr:nvSpPr>
        <xdr:cNvPr id="2" name="1 CuadroTexto"/>
        <xdr:cNvSpPr txBox="1"/>
      </xdr:nvSpPr>
      <xdr:spPr>
        <a:xfrm>
          <a:off x="1" y="0"/>
          <a:ext cx="10264587" cy="9883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endParaRPr lang="es-DO" sz="1100">
            <a:solidFill>
              <a:schemeClr val="dk1"/>
            </a:solidFill>
            <a:effectLst/>
            <a:latin typeface="+mn-lt"/>
            <a:ea typeface="+mn-ea"/>
            <a:cs typeface="+mn-cs"/>
          </a:endParaRPr>
        </a:p>
        <a:p>
          <a:r>
            <a:rPr lang="es-DO" sz="14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Entre 2001 y 2014 el SDSS, tuvo avances y realizaciones, se  han aprobados y publicados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diseño y la aplicación del Sistema </a:t>
          </a:r>
          <a:r>
            <a:rPr lang="es-ES" sz="1400">
              <a:solidFill>
                <a:schemeClr val="dk1"/>
              </a:solidFill>
              <a:effectLst/>
              <a:latin typeface="+mn-lt"/>
              <a:ea typeface="+mn-ea"/>
              <a:cs typeface="+mn-cs"/>
            </a:rPr>
            <a:t>Ú</a:t>
          </a:r>
          <a:r>
            <a:rPr lang="es-DO" sz="14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  quinquenal del SDSS, se conformó una Comisión  Especial conformada por representantes de los sectores gubernamental, empleador, laboral,  profesionales,  personas con discapacidad e indigentes y la participación activa de los funcionarios y técnicos de las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para instruir a la población en deberes y derechos, acceso a los servicios, beneficios y reclamaciones, entre otras.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Además, se crearon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 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 presupuesto nacional para gastos operativos de las instituciones del sistema.</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Hasta el 31 de diciembre de 2014, el Gobierno Dominicano ha aportado RD$</a:t>
          </a:r>
          <a:r>
            <a:rPr lang="es-ES" sz="1400">
              <a:solidFill>
                <a:schemeClr val="dk1"/>
              </a:solidFill>
              <a:effectLst/>
              <a:latin typeface="+mn-lt"/>
              <a:ea typeface="+mn-ea"/>
              <a:cs typeface="+mn-cs"/>
            </a:rPr>
            <a:t>33,013.77 </a:t>
          </a:r>
          <a:r>
            <a:rPr lang="es-DO" sz="1400">
              <a:solidFill>
                <a:schemeClr val="dk1"/>
              </a:solidFill>
              <a:effectLst/>
              <a:latin typeface="+mn-lt"/>
              <a:ea typeface="+mn-ea"/>
              <a:cs typeface="+mn-cs"/>
            </a:rPr>
            <a:t>millones para los servicios de atención a la salud de los afiliados al  Seguro Familiar de Salud  del Régimen Subsidiado en el Sistema Dominicano de Seguridad Social (SDSS). </a:t>
          </a:r>
          <a:endParaRPr lang="es-ES" sz="14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2000" b="0">
            <a:solidFill>
              <a:schemeClr val="accent3">
                <a:lumMod val="50000"/>
              </a:schemeClr>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762000</xdr:colOff>
      <xdr:row>41</xdr:row>
      <xdr:rowOff>134471</xdr:rowOff>
    </xdr:to>
    <xdr:sp macro="" textlink="">
      <xdr:nvSpPr>
        <xdr:cNvPr id="2" name="1 CuadroTexto"/>
        <xdr:cNvSpPr txBox="1"/>
      </xdr:nvSpPr>
      <xdr:spPr>
        <a:xfrm>
          <a:off x="1" y="0"/>
          <a:ext cx="9558617" cy="7944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1">
            <a:solidFill>
              <a:schemeClr val="accent3">
                <a:lumMod val="50000"/>
              </a:schemeClr>
            </a:solidFill>
          </a:endParaRPr>
        </a:p>
        <a:p>
          <a:r>
            <a:rPr lang="es-DO" sz="1400">
              <a:solidFill>
                <a:schemeClr val="dk1"/>
              </a:solidFill>
              <a:effectLst/>
              <a:latin typeface="+mn-lt"/>
              <a:ea typeface="+mn-ea"/>
              <a:cs typeface="+mn-cs"/>
            </a:rPr>
            <a:t>Las operaciones del Sistema Dominicano de Seguridad Social se iniciaron con el Seguro Familiar de Salud  del Régimen Subsidiado, con la entrega de los servicios del Plan Básico de Salud a las personas más pobres y necesitadas en la Región Sanitaria IV  (provincias de Barahona y Bahoruco), el 1ro. de noviembre del 2002 , cumpliendo con el mandato de la Ley 87 01, que en el art. 8  establece  que "el Consejo Nacional de Seguridad Social (CNSS) someterá Poder  Ejecutivo 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índice de pobreza", luego se fueron incorporando gradualmente, las demás provincias del país hasta extenderlo a todo el territorio. Al 31 de enero de 2015 están afiliadas  3,015,646 personas a nivel nacional.</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s-ES" sz="1400">
              <a:solidFill>
                <a:schemeClr val="dk1"/>
              </a:solidFill>
              <a:effectLst/>
              <a:latin typeface="+mn-lt"/>
              <a:ea typeface="+mn-ea"/>
              <a:cs typeface="+mn-cs"/>
            </a:rPr>
            <a:t>3,082,709, de los cuales  solo el 46.2% estaba cotizando activamente.                                                                                                                                                                                                             </a:t>
          </a:r>
          <a:r>
            <a:rPr lang="es-DO" sz="1400">
              <a:solidFill>
                <a:schemeClr val="dk1"/>
              </a:solidFill>
              <a:effectLst/>
              <a:latin typeface="+mn-lt"/>
              <a:ea typeface="+mn-ea"/>
              <a:cs typeface="+mn-cs"/>
            </a:rPr>
            <a:t>Al 31 de enero del 2015, el patrimonio de los fondos de pensiones  de los trabajadores afiliados ascendía a RD$310,482.23 millones, representando alrededor de un 11.1% del Producto Interno Bruto nacional.</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1ero de febrero de 2004 inició el Seguro de Riegos Laborales, desde esa fecha y hasta el 31 de enero de 2015 la Administradora de Riesgos Laborales  ha recibido 172,126 solicitudes de evaluación de las cuales 110,969 corresponden a accidente de trabajo y 1,889 a enfermedades profesionales.</a:t>
          </a:r>
        </a:p>
        <a:p>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cuarenta y cinco días de nacidos hasta los cinco años  en fecha 1ero de junio de 2009 y  el Subsidio por discapacidad temporal por enfermedad o accidente común en fecha 1ero de septiembre de 2009.</a:t>
          </a:r>
        </a:p>
        <a:p>
          <a:r>
            <a:rPr lang="es-ES" sz="1400">
              <a:solidFill>
                <a:schemeClr val="dk1"/>
              </a:solidFill>
              <a:effectLst/>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11</xdr:col>
      <xdr:colOff>862853</xdr:colOff>
      <xdr:row>4</xdr:row>
      <xdr:rowOff>44824</xdr:rowOff>
    </xdr:to>
    <xdr:sp macro="" textlink="">
      <xdr:nvSpPr>
        <xdr:cNvPr id="4" name="6 Rectángulo redondeado"/>
        <xdr:cNvSpPr/>
      </xdr:nvSpPr>
      <xdr:spPr>
        <a:xfrm>
          <a:off x="0" y="0"/>
          <a:ext cx="9659471"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414618</xdr:colOff>
      <xdr:row>0</xdr:row>
      <xdr:rowOff>156883</xdr:rowOff>
    </xdr:from>
    <xdr:to>
      <xdr:col>1</xdr:col>
      <xdr:colOff>369793</xdr:colOff>
      <xdr:row>3</xdr:row>
      <xdr:rowOff>63169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414618" y="156883"/>
          <a:ext cx="717175" cy="4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xdr:colOff>
      <xdr:row>3</xdr:row>
      <xdr:rowOff>100853</xdr:rowOff>
    </xdr:from>
    <xdr:to>
      <xdr:col>12</xdr:col>
      <xdr:colOff>728383</xdr:colOff>
      <xdr:row>36</xdr:row>
      <xdr:rowOff>163286</xdr:rowOff>
    </xdr:to>
    <xdr:sp macro="" textlink="">
      <xdr:nvSpPr>
        <xdr:cNvPr id="3" name="2 CuadroTexto"/>
        <xdr:cNvSpPr txBox="1"/>
      </xdr:nvSpPr>
      <xdr:spPr>
        <a:xfrm>
          <a:off x="1" y="672353"/>
          <a:ext cx="10389453" cy="6376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a:t>
          </a:r>
          <a:r>
            <a:rPr lang="es-DO" sz="1400">
              <a:solidFill>
                <a:sysClr val="windowText" lastClr="000000"/>
              </a:solidFill>
              <a:effectLst/>
              <a:latin typeface="+mn-lt"/>
              <a:ea typeface="+mn-ea"/>
              <a:cs typeface="+mn-cs"/>
            </a:rPr>
            <a:t>n  del Seguro familiar de Salud del Régimen Subsidiado (RS), comenzando el proceso en la Región de Salud IV, en noviembre del año 2002, por considerar esta región una de la zona más deprimida del país.</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Luego continuaron con la Región V, hasta extenderlo a todo el país.  Para finales de 2005 la afiliación total</a:t>
          </a:r>
          <a:r>
            <a:rPr lang="es-DO" sz="1400" baseline="0">
              <a:solidFill>
                <a:sysClr val="windowText" lastClr="000000"/>
              </a:solidFill>
              <a:effectLst/>
              <a:latin typeface="+mn-lt"/>
              <a:ea typeface="+mn-ea"/>
              <a:cs typeface="+mn-cs"/>
            </a:rPr>
            <a:t> del Régimen Subsidiado era de  253,374 personas.</a:t>
          </a:r>
          <a:endParaRPr lang="es-DO" sz="1400">
            <a:solidFill>
              <a:sysClr val="windowText" lastClr="000000"/>
            </a:solidFill>
            <a:effectLst/>
            <a:latin typeface="+mn-lt"/>
            <a:ea typeface="+mn-ea"/>
            <a:cs typeface="+mn-cs"/>
          </a:endParaRPr>
        </a:p>
        <a:p>
          <a:endParaRPr lang="es-DO" sz="1400">
            <a:solidFill>
              <a:schemeClr val="dk1"/>
            </a:solidFill>
            <a:effectLst/>
            <a:latin typeface="+mn-lt"/>
            <a:ea typeface="+mn-ea"/>
            <a:cs typeface="+mn-cs"/>
          </a:endParaRPr>
        </a:p>
        <a:p>
          <a:r>
            <a:rPr lang="es-DO" sz="1400">
              <a:solidFill>
                <a:sysClr val="windowText" lastClr="000000"/>
              </a:solidFill>
              <a:effectLst/>
              <a:latin typeface="+mn-lt"/>
              <a:ea typeface="+mn-ea"/>
              <a:cs typeface="+mn-cs"/>
            </a:rPr>
            <a:t>En septiembre de 2007 inició el Seguro Familiar de Salud (SFS) del Régimen Contributivo (RC)</a:t>
          </a:r>
          <a:r>
            <a:rPr lang="es-DO" sz="1400" baseline="0">
              <a:solidFill>
                <a:sysClr val="windowText" lastClr="000000"/>
              </a:solidFill>
              <a:effectLst/>
              <a:latin typeface="+mn-lt"/>
              <a:ea typeface="+mn-ea"/>
              <a:cs typeface="+mn-cs"/>
            </a:rPr>
            <a:t> afiliando  entre los meses de septiembre y diciembre de ese año un total de 1,477,181 personas de los cuales 919,911 eran titulares y 557,270 dependientes para un índice de dependencia de 0.61(61 dependientes por cada 100 afiliados). Para ese año la afiliación del SFS RC  representaba el 57.7% y del Régimen Subsidiado (RS) eran 1,081,936 siendo el 42.3%.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Por mandato del Decreto  3</a:t>
          </a:r>
          <a:r>
            <a:rPr lang="en-US" sz="1400" baseline="0">
              <a:solidFill>
                <a:sysClr val="windowText" lastClr="000000"/>
              </a:solidFill>
              <a:effectLst/>
              <a:latin typeface="+mn-lt"/>
              <a:ea typeface="+mn-ea"/>
              <a:cs typeface="+mn-cs"/>
            </a:rPr>
            <a:t>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n-US" sz="1400" baseline="0">
            <a:solidFill>
              <a:sysClr val="windowText" lastClr="000000"/>
            </a:solidFill>
            <a:effectLst/>
            <a:latin typeface="+mn-lt"/>
            <a:ea typeface="+mn-ea"/>
            <a:cs typeface="+mn-cs"/>
          </a:endParaRPr>
        </a:p>
        <a:p>
          <a:r>
            <a:rPr lang="es-DO" sz="1400">
              <a:solidFill>
                <a:schemeClr val="dk1"/>
              </a:solidFill>
              <a:effectLst/>
              <a:latin typeface="+mn-lt"/>
              <a:ea typeface="+mn-ea"/>
              <a:cs typeface="+mn-cs"/>
            </a:rPr>
            <a:t>En el mes de enero 2015 la afiliación total del SFS </a:t>
          </a:r>
          <a:r>
            <a:rPr lang="es-DO" sz="1400" baseline="0">
              <a:solidFill>
                <a:schemeClr val="dk1"/>
              </a:solidFill>
              <a:effectLst/>
              <a:latin typeface="+mn-lt"/>
              <a:ea typeface="+mn-ea"/>
              <a:cs typeface="+mn-cs"/>
            </a:rPr>
            <a:t>ascendió a 6,187,785 personas , cubriendo de esta manera al </a:t>
          </a:r>
          <a:r>
            <a:rPr lang="es-DO" sz="1400">
              <a:solidFill>
                <a:schemeClr val="dk1"/>
              </a:solidFill>
              <a:effectLst/>
              <a:latin typeface="+mn-lt"/>
              <a:ea typeface="+mn-ea"/>
              <a:cs typeface="+mn-cs"/>
            </a:rPr>
            <a:t>62.6%.de la población nacional. La</a:t>
          </a:r>
          <a:r>
            <a:rPr lang="es-DO" sz="1400" baseline="0">
              <a:solidFill>
                <a:schemeClr val="dk1"/>
              </a:solidFill>
              <a:effectLst/>
              <a:latin typeface="+mn-lt"/>
              <a:ea typeface="+mn-ea"/>
              <a:cs typeface="+mn-cs"/>
            </a:rPr>
            <a:t> participación de los diferente regímenes de financiamiento es de  51.0% del Régimen Contributivo (RC) el 48.5% </a:t>
          </a:r>
          <a:r>
            <a:rPr lang="es-DO" sz="1400">
              <a:solidFill>
                <a:schemeClr val="dk1"/>
              </a:solidFill>
              <a:effectLst/>
              <a:latin typeface="+mn-lt"/>
              <a:ea typeface="+mn-ea"/>
              <a:cs typeface="+mn-cs"/>
            </a:rPr>
            <a:t>pertenecen al </a:t>
          </a:r>
          <a:r>
            <a:rPr lang="es-DO" sz="1400" baseline="0">
              <a:solidFill>
                <a:schemeClr val="dk1"/>
              </a:solidFill>
              <a:effectLst/>
              <a:latin typeface="+mn-lt"/>
              <a:ea typeface="+mn-ea"/>
              <a:cs typeface="+mn-cs"/>
            </a:rPr>
            <a:t>Régimen Subsidiado (RS) y el 0.5% al Régimen Especial Transitorio (RET).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 composición de la afiliación del Seguro Familiar de Salud (SFS) por sexo  en enero del 2015 es de  51.6% femenino y 48/.4% masculino , esto debido al peso mayor que tienen las mujeres en  la afiliación del Régimen Subsidiado que  en el período diciembre 2007 a enero 2015 fue en promedio de  55.0%, contrario  al Régimen Contributivo donde la participación masculina fue en promedio de  51.3%, para el mismo período,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a:t>
          </a:r>
          <a:r>
            <a:rPr lang="es-DO" sz="1400">
              <a:solidFill>
                <a:sysClr val="windowText" lastClr="000000"/>
              </a:solidFill>
              <a:effectLst/>
              <a:latin typeface="+mn-lt"/>
              <a:ea typeface="+mn-ea"/>
              <a:cs typeface="+mn-cs"/>
            </a:rPr>
            <a:t>población nacional, calculada en base a la tasa de </a:t>
          </a:r>
          <a:r>
            <a:rPr lang="es-DO" sz="1400" baseline="0">
              <a:solidFill>
                <a:sysClr val="windowText" lastClr="000000"/>
              </a:solidFill>
              <a:effectLst/>
              <a:latin typeface="+mn-lt"/>
              <a:ea typeface="+mn-ea"/>
              <a:cs typeface="+mn-cs"/>
            </a:rPr>
            <a:t> cre</a:t>
          </a:r>
          <a:r>
            <a:rPr lang="es-DO" sz="1400">
              <a:solidFill>
                <a:sysClr val="windowText" lastClr="000000"/>
              </a:solidFill>
              <a:effectLst/>
              <a:latin typeface="+mn-lt"/>
              <a:ea typeface="+mn-ea"/>
              <a:cs typeface="+mn-cs"/>
            </a:rPr>
            <a:t>cimiento media anual, se observa que si continua un comportamiento similar en el ritmo de crecimiento de la afiliación,</a:t>
          </a:r>
          <a:r>
            <a:rPr lang="es-DO" sz="1400" baseline="0">
              <a:solidFill>
                <a:sysClr val="windowText" lastClr="000000"/>
              </a:solidFill>
              <a:effectLst/>
              <a:latin typeface="+mn-lt"/>
              <a:ea typeface="+mn-ea"/>
              <a:cs typeface="+mn-cs"/>
            </a:rPr>
            <a:t>  y se da inicio a la afiliación de los trabajadores independientes y cuentas propias  del Régimen Contributivo Subsidiado, </a:t>
          </a:r>
          <a:r>
            <a:rPr lang="es-DO" sz="1400">
              <a:solidFill>
                <a:sysClr val="windowText" lastClr="000000"/>
              </a:solidFill>
              <a:effectLst/>
              <a:latin typeface="+mn-lt"/>
              <a:ea typeface="+mn-ea"/>
              <a:cs typeface="+mn-cs"/>
            </a:rPr>
            <a:t>se </a:t>
          </a:r>
          <a:r>
            <a:rPr lang="es-DO" sz="1400">
              <a:solidFill>
                <a:schemeClr val="dk1"/>
              </a:solidFill>
              <a:effectLst/>
              <a:latin typeface="+mn-lt"/>
              <a:ea typeface="+mn-ea"/>
              <a:cs typeface="+mn-cs"/>
            </a:rPr>
            <a:t>cubriría toda la población aproximadamente para el año 2020.   </a:t>
          </a:r>
        </a:p>
      </xdr:txBody>
    </xdr:sp>
    <xdr:clientData/>
  </xdr:twoCellAnchor>
  <xdr:twoCellAnchor>
    <xdr:from>
      <xdr:col>0</xdr:col>
      <xdr:colOff>0</xdr:colOff>
      <xdr:row>0</xdr:row>
      <xdr:rowOff>0</xdr:rowOff>
    </xdr:from>
    <xdr:to>
      <xdr:col>13</xdr:col>
      <xdr:colOff>0</xdr:colOff>
      <xdr:row>3</xdr:row>
      <xdr:rowOff>145676</xdr:rowOff>
    </xdr:to>
    <xdr:sp macro="" textlink="">
      <xdr:nvSpPr>
        <xdr:cNvPr id="4" name="3 Rectángulo redondeado"/>
        <xdr:cNvSpPr/>
      </xdr:nvSpPr>
      <xdr:spPr>
        <a:xfrm>
          <a:off x="0" y="0"/>
          <a:ext cx="10432676" cy="7171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400" b="1">
              <a:solidFill>
                <a:schemeClr val="lt1"/>
              </a:solidFill>
              <a:effectLst/>
              <a:latin typeface="+mn-lt"/>
              <a:ea typeface="+mn-ea"/>
              <a:cs typeface="+mn-cs"/>
            </a:rPr>
            <a:t> Sistema Dominicano Seguridad Social (SDSS)</a:t>
          </a:r>
          <a:endParaRPr lang="en-US" sz="1800" b="1"/>
        </a:p>
      </xdr:txBody>
    </xdr:sp>
    <xdr:clientData/>
  </xdr:twoCellAnchor>
  <xdr:twoCellAnchor editAs="oneCell">
    <xdr:from>
      <xdr:col>0</xdr:col>
      <xdr:colOff>386130</xdr:colOff>
      <xdr:row>0</xdr:row>
      <xdr:rowOff>109172</xdr:rowOff>
    </xdr:from>
    <xdr:to>
      <xdr:col>0</xdr:col>
      <xdr:colOff>919370</xdr:colOff>
      <xdr:row>2</xdr:row>
      <xdr:rowOff>69511</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86130" y="109172"/>
          <a:ext cx="533240" cy="341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12</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744682</xdr:colOff>
      <xdr:row>1</xdr:row>
      <xdr:rowOff>17318</xdr:rowOff>
    </xdr:to>
    <xdr:sp macro="" textlink="">
      <xdr:nvSpPr>
        <xdr:cNvPr id="4" name="3 Rectángulo redondeado"/>
        <xdr:cNvSpPr/>
      </xdr:nvSpPr>
      <xdr:spPr>
        <a:xfrm>
          <a:off x="0" y="1"/>
          <a:ext cx="20158364" cy="126422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a:t>
          </a: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br>
            <a:rPr lang="es-DO" sz="2400" b="1">
              <a:solidFill>
                <a:schemeClr val="lt1"/>
              </a:solidFill>
              <a:effectLst/>
              <a:latin typeface="+mn-lt"/>
              <a:ea typeface="+mn-ea"/>
              <a:cs typeface="+mn-cs"/>
            </a:rPr>
          </a:br>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2005 - Enero 2015</a:t>
          </a:r>
          <a:endParaRPr lang="es-DO" sz="4800">
            <a:effectLst/>
          </a:endParaRPr>
        </a:p>
      </xdr:txBody>
    </xdr:sp>
    <xdr:clientData/>
  </xdr:twoCellAnchor>
  <xdr:twoCellAnchor editAs="oneCell">
    <xdr:from>
      <xdr:col>0</xdr:col>
      <xdr:colOff>865909</xdr:colOff>
      <xdr:row>0</xdr:row>
      <xdr:rowOff>190501</xdr:rowOff>
    </xdr:from>
    <xdr:to>
      <xdr:col>1</xdr:col>
      <xdr:colOff>519545</xdr:colOff>
      <xdr:row>0</xdr:row>
      <xdr:rowOff>895598</xdr:rowOff>
    </xdr:to>
    <xdr:pic>
      <xdr:nvPicPr>
        <xdr:cNvPr id="5" name="2 Imagen" descr="logo_2x4.bmp"/>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865909"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0.04318</cdr:x>
      <cdr:y>0.92934</cdr:y>
    </cdr:from>
    <cdr:to>
      <cdr:x>0.28468</cdr:x>
      <cdr:y>0.97448</cdr:y>
    </cdr:to>
    <cdr:sp macro="" textlink="">
      <cdr:nvSpPr>
        <cdr:cNvPr id="2" name="2 CuadroTexto"/>
        <cdr:cNvSpPr txBox="1"/>
      </cdr:nvSpPr>
      <cdr:spPr>
        <a:xfrm xmlns:a="http://schemas.openxmlformats.org/drawingml/2006/main">
          <a:off x="830118" y="8200160"/>
          <a:ext cx="4642428" cy="39831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121227</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17317</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Afiliación  al Seguro Familiar de Salud por Regímenes de Financiamiento:                                                                                                                                                                                                                               Contributivo (RC) 51.0% / Subsidiado (RS) 48.5% / Especial (RET) 0.5%</a:t>
          </a:r>
          <a:endParaRPr lang="es-DO" sz="4800">
            <a:effectLst/>
          </a:endParaRPr>
        </a:p>
      </xdr:txBody>
    </xdr:sp>
    <xdr:clientData/>
  </xdr:twoCellAnchor>
  <xdr:oneCellAnchor>
    <xdr:from>
      <xdr:col>0</xdr:col>
      <xdr:colOff>727363</xdr:colOff>
      <xdr:row>0</xdr:row>
      <xdr:rowOff>207819</xdr:rowOff>
    </xdr:from>
    <xdr:ext cx="1141268" cy="818052"/>
    <xdr:pic>
      <xdr:nvPicPr>
        <xdr:cNvPr id="6"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363" y="207819"/>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17</xdr:row>
      <xdr:rowOff>121226</xdr:rowOff>
    </xdr:from>
    <xdr:to>
      <xdr:col>16</xdr:col>
      <xdr:colOff>762000</xdr:colOff>
      <xdr:row>44</xdr:row>
      <xdr:rowOff>311728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al Seguro Familiar de Salud por Regímenes de Financiamiento:                                                                                                                                                                                                                               Contributivo (RC) 51.5% / Subsidiado (RS) 48.0% / Especial (RET) 0.49%</a:t>
          </a:r>
          <a:endParaRPr lang="es-DO" sz="48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7</xdr:col>
      <xdr:colOff>277091</xdr:colOff>
      <xdr:row>44</xdr:row>
      <xdr:rowOff>484909</xdr:rowOff>
    </xdr:to>
    <xdr:sp macro="" textlink="">
      <xdr:nvSpPr>
        <xdr:cNvPr id="7" name="6 CuadroTexto"/>
        <xdr:cNvSpPr txBox="1"/>
      </xdr:nvSpPr>
      <xdr:spPr>
        <a:xfrm>
          <a:off x="952500" y="14824364"/>
          <a:ext cx="75160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1</xdr:row>
      <xdr:rowOff>121226</xdr:rowOff>
    </xdr:to>
    <xdr:sp macro="" textlink="">
      <xdr:nvSpPr>
        <xdr:cNvPr id="3" name="2 Rectángulo redondeado"/>
        <xdr:cNvSpPr/>
      </xdr:nvSpPr>
      <xdr:spPr>
        <a:xfrm>
          <a:off x="0" y="0"/>
          <a:ext cx="18495818" cy="122959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Afiliación al Seguro Familiar de Salud por  Sexo </a:t>
          </a:r>
        </a:p>
        <a:p>
          <a:pPr algn="ctr" eaLnBrk="1" fontAlgn="auto" latinLnBrk="0" hangingPunct="1"/>
          <a:r>
            <a:rPr lang="es-DO" sz="2400" b="1">
              <a:solidFill>
                <a:schemeClr val="lt1"/>
              </a:solidFill>
              <a:effectLst/>
              <a:latin typeface="+mn-lt"/>
              <a:ea typeface="+mn-ea"/>
              <a:cs typeface="+mn-cs"/>
            </a:rPr>
            <a:t>Hombres 48.4% / Mujeres 51.6% </a:t>
          </a:r>
          <a:endParaRPr lang="es-DO" sz="48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11</xdr:col>
      <xdr:colOff>277091</xdr:colOff>
      <xdr:row>44</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17</xdr:row>
      <xdr:rowOff>103909</xdr:rowOff>
    </xdr:from>
    <xdr:to>
      <xdr:col>15</xdr:col>
      <xdr:colOff>883228</xdr:colOff>
      <xdr:row>44</xdr:row>
      <xdr:rowOff>618260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0.02455</cdr:x>
      <cdr:y>0.91453</cdr:y>
    </cdr:from>
    <cdr:to>
      <cdr:x>0.93673</cdr:x>
      <cdr:y>0.97812</cdr:y>
    </cdr:to>
    <cdr:sp macro="" textlink="">
      <cdr:nvSpPr>
        <cdr:cNvPr id="3" name="2 CuadroTexto"/>
        <cdr:cNvSpPr txBox="1"/>
      </cdr:nvSpPr>
      <cdr:spPr>
        <a:xfrm xmlns:a="http://schemas.openxmlformats.org/drawingml/2006/main">
          <a:off x="450273" y="8468591"/>
          <a:ext cx="16729363" cy="588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Incluye SFS RC y RS</a:t>
          </a:r>
        </a:p>
        <a:p xmlns:a="http://schemas.openxmlformats.org/drawingml/2006/main">
          <a:r>
            <a:rPr lang="en-US" sz="1200"/>
            <a:t>Fuente: 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15</xdr:col>
      <xdr:colOff>1143000</xdr:colOff>
      <xdr:row>0</xdr:row>
      <xdr:rowOff>1506682</xdr:rowOff>
    </xdr:to>
    <xdr:sp macro="" textlink="">
      <xdr:nvSpPr>
        <xdr:cNvPr id="9" name="8 Rectángulo redondeado"/>
        <xdr:cNvSpPr/>
      </xdr:nvSpPr>
      <xdr:spPr>
        <a:xfrm>
          <a:off x="0" y="0"/>
          <a:ext cx="18876818" cy="15066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155863</xdr:rowOff>
    </xdr:from>
    <xdr:to>
      <xdr:col>15</xdr:col>
      <xdr:colOff>883226</xdr:colOff>
      <xdr:row>64</xdr:row>
      <xdr:rowOff>173180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393647</xdr:colOff>
      <xdr:row>12</xdr:row>
      <xdr:rowOff>149681</xdr:rowOff>
    </xdr:from>
    <xdr:to>
      <xdr:col>6</xdr:col>
      <xdr:colOff>2286000</xdr:colOff>
      <xdr:row>35</xdr:row>
      <xdr:rowOff>112060</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79647" y="2435681"/>
          <a:ext cx="4178353" cy="4343879"/>
        </a:xfrm>
        <a:prstGeom prst="rect">
          <a:avLst/>
        </a:prstGeom>
        <a:noFill/>
        <a:ln>
          <a:noFill/>
        </a:ln>
      </xdr:spPr>
    </xdr:pic>
    <xdr:clientData/>
  </xdr:twoCellAnchor>
  <xdr:twoCellAnchor>
    <xdr:from>
      <xdr:col>1</xdr:col>
      <xdr:colOff>149519</xdr:colOff>
      <xdr:row>16</xdr:row>
      <xdr:rowOff>188898</xdr:rowOff>
    </xdr:from>
    <xdr:to>
      <xdr:col>9</xdr:col>
      <xdr:colOff>190500</xdr:colOff>
      <xdr:row>27</xdr:row>
      <xdr:rowOff>0</xdr:rowOff>
    </xdr:to>
    <xdr:sp macro="" textlink="">
      <xdr:nvSpPr>
        <xdr:cNvPr id="3" name="2 CuadroTexto"/>
        <xdr:cNvSpPr txBox="1"/>
      </xdr:nvSpPr>
      <xdr:spPr>
        <a:xfrm>
          <a:off x="911519" y="3236898"/>
          <a:ext cx="7756231" cy="1906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Afiliación SFS</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Régimen Contributivo</a:t>
          </a:r>
          <a:endParaRPr lang="es-DO" sz="4000" b="1">
            <a:solidFill>
              <a:schemeClr val="accent3">
                <a:lumMod val="50000"/>
              </a:schemeClr>
            </a:solidFill>
          </a:endParaRPr>
        </a:p>
      </xdr:txBody>
    </xdr:sp>
    <xdr:clientData/>
  </xdr:twoCellAnchor>
  <xdr:twoCellAnchor editAs="oneCell">
    <xdr:from>
      <xdr:col>0</xdr:col>
      <xdr:colOff>326571</xdr:colOff>
      <xdr:row>3</xdr:row>
      <xdr:rowOff>27215</xdr:rowOff>
    </xdr:from>
    <xdr:to>
      <xdr:col>1</xdr:col>
      <xdr:colOff>604797</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26571"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2081892</xdr:colOff>
      <xdr:row>47</xdr:row>
      <xdr:rowOff>108857</xdr:rowOff>
    </xdr:to>
    <xdr:sp macro="" textlink="">
      <xdr:nvSpPr>
        <xdr:cNvPr id="2" name="1 CuadroTexto"/>
        <xdr:cNvSpPr txBox="1"/>
      </xdr:nvSpPr>
      <xdr:spPr>
        <a:xfrm>
          <a:off x="1" y="0"/>
          <a:ext cx="12396105" cy="90623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eaLnBrk="1" fontAlgn="auto" latinLnBrk="0" hangingPunct="1"/>
          <a:endParaRPr lang="en-US" sz="1400">
            <a:effectLst/>
          </a:endParaRPr>
        </a:p>
        <a:p>
          <a:r>
            <a:rPr lang="es-DO"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 madres e hijos mayores de  18 años que no estudian ni trabajan y mayores de 21 años que no son económicamente independiente y tampoco  son discapacitados y además no están afiliados a ningún otro régimen.</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a todos los beneficios de dicho plan, sin ningún tipo de discriminación.</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enero de 2015 la población total afiliada  asciende a  3,155,369 de los cuales  1,426,011 son titulares,  1,568,240  dependientes directos  y  161,118 dependientes adicionales.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 ocho (8) años del Seguro familiar de Salud del Régimen Contributivo (SFS-RC), la población afiliada ha experimentado un incremento progresivo, tanto de titulares como de dependientes directos y adicionales.</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 términos porcentuales para  enero 2015, los  afiliados  titulares representan el 45.2% de la población total registrada en el SFS-RC, los dependientes directos  49.7% y los dependientes adicionales  5.1%; mientras que para septiembre de 2007, los afiliados titulares constituían el 65.1% del total de la población cubierta por el SFS-RC, los dependientes directos el 34.7% y los dependientes adicionales el 0.2%.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1.01 para el índice de dependencia directa (101 dependientes directos por cada 100  titulares) a enero 2015;  para septiembre 2007 el índice de dependencia total era de 0.54 (54 afiliados dependientes por cada 100  afiliados titulares).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 las estadísticas de  afiliación registradas por sexo y tipo, observamos que la población masculina inscrita en  enero de 2015 fue de 1,584,517 y la femenina de 1,570,852 para una participación de 50.2% y 48.8% respectivamente. Si desagregamos la participación de ambos grupos por tipo de afiliación tenemos que en el grupo masculino los titulares representa el 51.6% mientras que para el femenino fue de 38.7%. La relación de dependencia en el grupo masculino es de 0.94 (94 varones afiliados como dependientes por cada 100 afiliados como titulares), mientras que para el grupo femenino es de 1.58 (158 hembras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índice de masculinidad en la afiliación total del Seguro Familiar de Salud del Régimen Contributivo se ha mantenido en promedio en 1.05 desde diciembre de 2007 a enero de 2015. </a:t>
          </a:r>
          <a:endParaRPr lang="es-ES" sz="1400">
            <a:solidFill>
              <a:schemeClr val="dk1"/>
            </a:solidFill>
            <a:effectLst/>
            <a:latin typeface="+mn-lt"/>
            <a:ea typeface="+mn-ea"/>
            <a:cs typeface="+mn-cs"/>
          </a:endParaRPr>
        </a:p>
        <a:p>
          <a:r>
            <a:rPr lang="es-ES" sz="11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27214</xdr:rowOff>
    </xdr:to>
    <xdr:sp macro="" textlink="">
      <xdr:nvSpPr>
        <xdr:cNvPr id="4" name="3 Rectángulo redondeado"/>
        <xdr:cNvSpPr/>
      </xdr:nvSpPr>
      <xdr:spPr>
        <a:xfrm>
          <a:off x="0" y="0"/>
          <a:ext cx="12396107" cy="789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Contributivo (RC)</a:t>
          </a:r>
          <a:endParaRPr lang="es-DO" sz="4400">
            <a:effectLst/>
          </a:endParaRPr>
        </a:p>
      </xdr:txBody>
    </xdr:sp>
    <xdr:clientData/>
  </xdr:twoCellAnchor>
  <xdr:twoCellAnchor editAs="oneCell">
    <xdr:from>
      <xdr:col>0</xdr:col>
      <xdr:colOff>408216</xdr:colOff>
      <xdr:row>0</xdr:row>
      <xdr:rowOff>111259</xdr:rowOff>
    </xdr:from>
    <xdr:to>
      <xdr:col>1</xdr:col>
      <xdr:colOff>454800</xdr:colOff>
      <xdr:row>3</xdr:row>
      <xdr:rowOff>78442</xdr:rowOff>
    </xdr:to>
    <xdr:pic>
      <xdr:nvPicPr>
        <xdr:cNvPr id="6"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408216" y="111259"/>
          <a:ext cx="808584" cy="538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74467</xdr:rowOff>
    </xdr:from>
    <xdr:to>
      <xdr:col>17</xdr:col>
      <xdr:colOff>848591</xdr:colOff>
      <xdr:row>41</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952500</xdr:colOff>
      <xdr:row>1</xdr:row>
      <xdr:rowOff>17318</xdr:rowOff>
    </xdr:to>
    <xdr:sp macro="" textlink="">
      <xdr:nvSpPr>
        <xdr:cNvPr id="10" name="9 Rectángulo redondeado"/>
        <xdr:cNvSpPr/>
      </xdr:nvSpPr>
      <xdr:spPr>
        <a:xfrm>
          <a:off x="0" y="1"/>
          <a:ext cx="21803591"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Enero 2015</a:t>
          </a:r>
          <a:endParaRPr lang="es-DO" sz="4000">
            <a:effectLst/>
          </a:endParaRPr>
        </a:p>
      </xdr:txBody>
    </xdr:sp>
    <xdr:clientData/>
  </xdr:twoCellAnchor>
  <xdr:twoCellAnchor editAs="oneCell">
    <xdr:from>
      <xdr:col>0</xdr:col>
      <xdr:colOff>831273</xdr:colOff>
      <xdr:row>0</xdr:row>
      <xdr:rowOff>243979</xdr:rowOff>
    </xdr:from>
    <xdr:to>
      <xdr:col>1</xdr:col>
      <xdr:colOff>710045</xdr:colOff>
      <xdr:row>0</xdr:row>
      <xdr:rowOff>969818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3" y="243979"/>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35</xdr:row>
      <xdr:rowOff>502227</xdr:rowOff>
    </xdr:from>
    <xdr:to>
      <xdr:col>17</xdr:col>
      <xdr:colOff>762000</xdr:colOff>
      <xdr:row>57</xdr:row>
      <xdr:rowOff>17318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Enero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2015</a:t>
          </a:r>
          <a:endParaRPr lang="es-DO" sz="40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12</xdr:row>
      <xdr:rowOff>207816</xdr:rowOff>
    </xdr:from>
    <xdr:to>
      <xdr:col>17</xdr:col>
      <xdr:colOff>727362</xdr:colOff>
      <xdr:row>39</xdr:row>
      <xdr:rowOff>51953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(cápitas pagadas) Anual por Tipo  </a:t>
          </a:r>
        </a:p>
        <a:p>
          <a:pPr algn="ctr" eaLnBrk="1" fontAlgn="auto" latinLnBrk="0" hangingPunct="1"/>
          <a:r>
            <a:rPr lang="es-DO" sz="2000" b="1">
              <a:solidFill>
                <a:schemeClr val="lt1"/>
              </a:solidFill>
              <a:effectLst/>
              <a:latin typeface="+mn-lt"/>
              <a:ea typeface="+mn-ea"/>
              <a:cs typeface="+mn-cs"/>
            </a:rPr>
            <a:t>Período:  Diciembre 2007 -  Enero 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xdr:cNvPicPr>
          <a:picLocks noChangeAspect="1"/>
        </xdr:cNvPicPr>
      </xdr:nvPicPr>
      <xdr:blipFill>
        <a:blip xmlns:r="http://schemas.openxmlformats.org/officeDocument/2006/relationships" r:embed="rId2"/>
        <a:stretch>
          <a:fillRect/>
        </a:stretch>
      </xdr:blipFill>
      <xdr:spPr>
        <a:xfrm>
          <a:off x="1229592" y="329045"/>
          <a:ext cx="1056408" cy="77539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51956</xdr:colOff>
      <xdr:row>39</xdr:row>
      <xdr:rowOff>0</xdr:rowOff>
    </xdr:from>
    <xdr:to>
      <xdr:col>17</xdr:col>
      <xdr:colOff>692729</xdr:colOff>
      <xdr:row>62</xdr:row>
      <xdr:rowOff>103908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(cápitas pagadas) Mensual por Tipo </a:t>
          </a:r>
        </a:p>
        <a:p>
          <a:pPr algn="ctr" eaLnBrk="1" fontAlgn="auto" latinLnBrk="0" hangingPunct="1"/>
          <a:r>
            <a:rPr lang="es-DO" sz="2000" b="1">
              <a:solidFill>
                <a:schemeClr val="lt1"/>
              </a:solidFill>
              <a:effectLst/>
              <a:latin typeface="+mn-lt"/>
              <a:ea typeface="+mn-ea"/>
              <a:cs typeface="+mn-cs"/>
            </a:rPr>
            <a:t>Período: Enero 2014 - Enero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1281545</xdr:rowOff>
    </xdr:to>
    <xdr:sp macro="" textlink="">
      <xdr:nvSpPr>
        <xdr:cNvPr id="3" name="2 Rectángulo redondeado"/>
        <xdr:cNvSpPr/>
      </xdr:nvSpPr>
      <xdr:spPr>
        <a:xfrm>
          <a:off x="0" y="0"/>
          <a:ext cx="20845896"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a:t>
          </a:r>
        </a:p>
        <a:p>
          <a:pPr algn="ctr" eaLnBrk="1" fontAlgn="auto" latinLnBrk="0" hangingPunct="1"/>
          <a:r>
            <a:rPr lang="es-DO" sz="2000" b="1">
              <a:solidFill>
                <a:schemeClr val="lt1"/>
              </a:solidFill>
              <a:effectLst/>
              <a:latin typeface="+mn-lt"/>
              <a:ea typeface="+mn-ea"/>
              <a:cs typeface="+mn-cs"/>
            </a:rPr>
            <a:t>Período: Diciembre 2007- Enero 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50224"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17</xdr:col>
      <xdr:colOff>710044</xdr:colOff>
      <xdr:row>60</xdr:row>
      <xdr:rowOff>103909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779318</xdr:colOff>
      <xdr:row>57</xdr:row>
      <xdr:rowOff>155863</xdr:rowOff>
    </xdr:from>
    <xdr:to>
      <xdr:col>10</xdr:col>
      <xdr:colOff>900545</xdr:colOff>
      <xdr:row>59</xdr:row>
      <xdr:rowOff>121227</xdr:rowOff>
    </xdr:to>
    <xdr:sp macro="" textlink="">
      <xdr:nvSpPr>
        <xdr:cNvPr id="8" name="7 CuadroTexto"/>
        <xdr:cNvSpPr txBox="1"/>
      </xdr:nvSpPr>
      <xdr:spPr>
        <a:xfrm>
          <a:off x="779318" y="12070772"/>
          <a:ext cx="12434454"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Superintendencia de Salud y RiesgosL 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1</xdr:col>
      <xdr:colOff>694765</xdr:colOff>
      <xdr:row>9</xdr:row>
      <xdr:rowOff>44823</xdr:rowOff>
    </xdr:from>
    <xdr:to>
      <xdr:col>10</xdr:col>
      <xdr:colOff>605118</xdr:colOff>
      <xdr:row>23</xdr:row>
      <xdr:rowOff>123265</xdr:rowOff>
    </xdr:to>
    <xdr:sp macro="" textlink="">
      <xdr:nvSpPr>
        <xdr:cNvPr id="3" name="2 CuadroTexto"/>
        <xdr:cNvSpPr txBox="1"/>
      </xdr:nvSpPr>
      <xdr:spPr>
        <a:xfrm>
          <a:off x="1467971" y="1759323"/>
          <a:ext cx="6936441" cy="2745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Afiliación                                SFS</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Régimen Subsidiado</a:t>
          </a:r>
          <a:endParaRPr lang="es-DO" sz="4800" b="1">
            <a:solidFill>
              <a:schemeClr val="accent3">
                <a:lumMod val="50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728382</xdr:colOff>
      <xdr:row>45</xdr:row>
      <xdr:rowOff>168088</xdr:rowOff>
    </xdr:to>
    <xdr:sp macro="" textlink="">
      <xdr:nvSpPr>
        <xdr:cNvPr id="2" name="1 CuadroTexto"/>
        <xdr:cNvSpPr txBox="1"/>
      </xdr:nvSpPr>
      <xdr:spPr>
        <a:xfrm>
          <a:off x="0" y="0"/>
          <a:ext cx="10389453" cy="87405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a:t>
          </a:r>
          <a:r>
            <a:rPr lang="es-ES" sz="1400" b="0" baseline="0">
              <a:solidFill>
                <a:sysClr val="windowText" lastClr="000000"/>
              </a:solidFill>
              <a:latin typeface="+mn-lt"/>
              <a:ea typeface="+mn-ea"/>
              <a:cs typeface="+mn-cs"/>
            </a:rPr>
            <a:t>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E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a:t>
          </a:r>
        </a:p>
        <a:p>
          <a:pPr marL="0" marR="0" indent="0" algn="l" defTabSz="914400" eaLnBrk="1" fontAlgn="auto" latinLnBrk="0" hangingPunct="1">
            <a:lnSpc>
              <a:spcPct val="100000"/>
            </a:lnSpc>
            <a:spcBef>
              <a:spcPts val="0"/>
            </a:spcBef>
            <a:spcAft>
              <a:spcPts val="0"/>
            </a:spcAft>
            <a:buClrTx/>
            <a:buSzTx/>
            <a:buFontTx/>
            <a:buNone/>
            <a:tabLst/>
            <a:defRPr/>
          </a:pPr>
          <a:endParaRPr lang="es-E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 sz="1400" b="0" baseline="0">
              <a:solidFill>
                <a:sysClr val="windowText" lastClr="000000"/>
              </a:solidFill>
              <a:latin typeface="+mn-lt"/>
              <a:ea typeface="+mn-ea"/>
              <a:cs typeface="+mn-cs"/>
            </a:rPr>
            <a:t>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E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a:t>
          </a:r>
          <a:r>
            <a:rPr lang="es-ES" sz="1400" b="0" baseline="0">
              <a:solidFill>
                <a:schemeClr val="dk1"/>
              </a:solidFill>
              <a:effectLst/>
              <a:latin typeface="+mn-lt"/>
              <a:ea typeface="+mn-ea"/>
              <a:cs typeface="+mn-cs"/>
            </a:rPr>
            <a:t>en el año 2003 </a:t>
          </a:r>
          <a:r>
            <a:rPr lang="es-ES" sz="1400" b="0" baseline="0">
              <a:solidFill>
                <a:sysClr val="windowText" lastClr="000000"/>
              </a:solidFill>
              <a:latin typeface="+mn-lt"/>
              <a:ea typeface="+mn-ea"/>
              <a:cs typeface="+mn-cs"/>
            </a:rPr>
            <a:t>(38,517 eran titulares y  13,533 dependientes),  a un total  de 3,000,981 de enero de 2015, de los cuales 1,786,117 eran titulares y 1,214,864 dependientes , para un índice de dependencia de 0.68 (68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ES" sz="1400" b="0" baseline="0">
              <a:solidFill>
                <a:sysClr val="windowText" lastClr="000000"/>
              </a:solidFill>
              <a:latin typeface="+mn-lt"/>
              <a:ea typeface="+mn-ea"/>
              <a:cs typeface="+mn-cs"/>
            </a:rPr>
            <a:t/>
          </a:r>
          <a:br>
            <a:rPr lang="es-ES" sz="1400" b="0" baseline="0">
              <a:solidFill>
                <a:sysClr val="windowText" lastClr="000000"/>
              </a:solidFill>
              <a:latin typeface="+mn-lt"/>
              <a:ea typeface="+mn-ea"/>
              <a:cs typeface="+mn-cs"/>
            </a:rPr>
          </a:br>
          <a:r>
            <a:rPr lang="es-ES" sz="1400">
              <a:solidFill>
                <a:sysClr val="windowText" lastClr="000000"/>
              </a:solidFill>
              <a:effectLst/>
              <a:latin typeface="+mn-lt"/>
              <a:ea typeface="+mn-ea"/>
              <a:cs typeface="+mn-cs"/>
            </a:rPr>
            <a:t>Es importante destacar que el índice de dependencia ha experimentado un descenso con relación a períodos anteriores, su nivel máximo lo alcanzó en julio de 2009 de 1.60, una de las  barreras principales que enfrentan la afiliación de dependientes, sobre todo de los menores de edad es la  falta de documento de identidad.   La población pobre estimada a enero 2015 es de 4,133,526 habitantes a nivel nacional, el porcentaje  de población pobre cubierta es de 72.6%, utilizando el porcentaje de pobreza  monetaria publicado por la MEPYD de un 41.8%.</a:t>
          </a:r>
        </a:p>
        <a:p>
          <a:pPr marL="0" marR="0" indent="0" algn="l" defTabSz="914400" eaLnBrk="1" fontAlgn="auto" latinLnBrk="0" hangingPunct="1">
            <a:lnSpc>
              <a:spcPct val="100000"/>
            </a:lnSpc>
            <a:spcBef>
              <a:spcPts val="0"/>
            </a:spcBef>
            <a:spcAft>
              <a:spcPts val="0"/>
            </a:spcAft>
            <a:buClrTx/>
            <a:buSzTx/>
            <a:buFontTx/>
            <a:buNone/>
            <a:tabLst/>
            <a:defRPr/>
          </a:pPr>
          <a:endParaRPr lang="es-E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 sz="1400">
              <a:solidFill>
                <a:sysClr val="windowText" lastClr="000000"/>
              </a:solidFill>
              <a:effectLst/>
              <a:latin typeface="+mn-lt"/>
              <a:ea typeface="+mn-ea"/>
              <a:cs typeface="+mn-cs"/>
            </a:rPr>
            <a:t>En la afiliación del SFS</a:t>
          </a:r>
          <a:r>
            <a:rPr lang="es-ES" sz="1400" baseline="0">
              <a:solidFill>
                <a:sysClr val="windowText" lastClr="000000"/>
              </a:solidFill>
              <a:effectLst/>
              <a:latin typeface="+mn-lt"/>
              <a:ea typeface="+mn-ea"/>
              <a:cs typeface="+mn-cs"/>
            </a:rPr>
            <a:t> del RS las mujeres tienen una mayor participación representando en el mes de enero de 2015 un 53.6%, el índice de dependencia de la afiliación femenina es de 0.56 lo que significa que por cada 100 mujeres afiliadas como titulares hay 56 dependiente,  en cuanto a la población masculina afiliada  fue de  1,393,730 de los cuales 756,929 eran titulares representando  un 54.3% del total de hombres afiliados.  El índice de masculinidad para dicho período fue de  0.87 (87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E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 sz="1400">
              <a:solidFill>
                <a:sysClr val="windowText" lastClr="000000"/>
              </a:solidFill>
              <a:effectLst/>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a:t>
          </a:r>
          <a:r>
            <a:rPr lang="en-US" sz="1400">
              <a:solidFill>
                <a:sysClr val="windowText" lastClr="000000"/>
              </a:solidFill>
              <a:effectLst/>
              <a:latin typeface="+mn-lt"/>
              <a:ea typeface="+mn-ea"/>
              <a:cs typeface="+mn-cs"/>
            </a:rPr>
            <a:t> </a:t>
          </a:r>
          <a:r>
            <a:rPr lang="es-ES" sz="1400">
              <a:solidFill>
                <a:sysClr val="windowText" lastClr="000000"/>
              </a:solidFill>
              <a:effectLst/>
              <a:latin typeface="+mn-lt"/>
              <a:ea typeface="+mn-ea"/>
              <a:cs typeface="+mn-cs"/>
            </a:rPr>
            <a:t>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a:t>
          </a:r>
        </a:p>
        <a:p>
          <a:pPr marL="0" indent="0"/>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1</xdr:rowOff>
    </xdr:from>
    <xdr:to>
      <xdr:col>12</xdr:col>
      <xdr:colOff>750795</xdr:colOff>
      <xdr:row>4</xdr:row>
      <xdr:rowOff>67235</xdr:rowOff>
    </xdr:to>
    <xdr:sp macro="" textlink="">
      <xdr:nvSpPr>
        <xdr:cNvPr id="4" name="3 Rectángulo redondeado"/>
        <xdr:cNvSpPr/>
      </xdr:nvSpPr>
      <xdr:spPr>
        <a:xfrm>
          <a:off x="0" y="1"/>
          <a:ext cx="10421471"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Subsidiado (RS)</a:t>
          </a:r>
          <a:endParaRPr lang="es-DO" sz="4400">
            <a:effectLst/>
          </a:endParaRPr>
        </a:p>
      </xdr:txBody>
    </xdr:sp>
    <xdr:clientData/>
  </xdr:twoCellAnchor>
  <xdr:twoCellAnchor editAs="oneCell">
    <xdr:from>
      <xdr:col>0</xdr:col>
      <xdr:colOff>336178</xdr:colOff>
      <xdr:row>0</xdr:row>
      <xdr:rowOff>145677</xdr:rowOff>
    </xdr:from>
    <xdr:to>
      <xdr:col>1</xdr:col>
      <xdr:colOff>347918</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36178"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16</xdr:row>
      <xdr:rowOff>136072</xdr:rowOff>
    </xdr:from>
    <xdr:to>
      <xdr:col>13</xdr:col>
      <xdr:colOff>1537606</xdr:colOff>
      <xdr:row>47</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5212786"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Anual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Enero 2015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xdr:cNvPicPr>
          <a:picLocks noChangeAspect="1"/>
        </xdr:cNvPicPr>
      </xdr:nvPicPr>
      <xdr:blipFill>
        <a:blip xmlns:r="http://schemas.openxmlformats.org/officeDocument/2006/relationships" r:embed="rId2"/>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39</xdr:row>
      <xdr:rowOff>44303</xdr:rowOff>
    </xdr:from>
    <xdr:to>
      <xdr:col>13</xdr:col>
      <xdr:colOff>476249</xdr:colOff>
      <xdr:row>60</xdr:row>
      <xdr:rowOff>587005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66675</xdr:rowOff>
    </xdr:from>
    <xdr:to>
      <xdr:col>14</xdr:col>
      <xdr:colOff>9524</xdr:colOff>
      <xdr:row>2</xdr:row>
      <xdr:rowOff>28575</xdr:rowOff>
    </xdr:to>
    <xdr:sp macro="" textlink="">
      <xdr:nvSpPr>
        <xdr:cNvPr id="4" name="5 Rectángulo redondeado"/>
        <xdr:cNvSpPr/>
      </xdr:nvSpPr>
      <xdr:spPr>
        <a:xfrm>
          <a:off x="0" y="66675"/>
          <a:ext cx="11515724" cy="7715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Familiar de Salud (SFS) del Régimen Subsidiado (RS)</a:t>
          </a:r>
        </a:p>
        <a:p>
          <a:pPr marL="0" marR="0" indent="0" algn="ctr" defTabSz="914400" eaLnBrk="1" fontAlgn="auto" latinLnBrk="0" hangingPunct="1">
            <a:lnSpc>
              <a:spcPct val="100000"/>
            </a:lnSpc>
            <a:spcBef>
              <a:spcPts val="0"/>
            </a:spcBef>
            <a:spcAft>
              <a:spcPts val="0"/>
            </a:spcAft>
            <a:buClrTx/>
            <a:buSzTx/>
            <a:buFontTx/>
            <a:buNone/>
            <a:tabLst/>
            <a:defRPr/>
          </a:pPr>
          <a:r>
            <a:rPr lang="es-DO" sz="1200" b="1">
              <a:solidFill>
                <a:schemeClr val="lt1"/>
              </a:solidFill>
              <a:effectLst/>
              <a:latin typeface="+mn-lt"/>
              <a:ea typeface="+mn-ea"/>
              <a:cs typeface="+mn-cs"/>
            </a:rPr>
            <a:t>Afiliación Mensual del Seguro Familiar de Salud del Régimen Subsidiado por Tipo</a:t>
          </a:r>
          <a:endParaRPr lang="es-ES" sz="1400" b="1">
            <a:effectLst/>
          </a:endParaRPr>
        </a:p>
        <a:p>
          <a:pPr algn="ctr" eaLnBrk="1" fontAlgn="auto" latinLnBrk="0" hangingPunct="1"/>
          <a:r>
            <a:rPr lang="es-DO" sz="1200" b="1">
              <a:solidFill>
                <a:schemeClr val="lt1"/>
              </a:solidFill>
              <a:effectLst/>
              <a:latin typeface="+mn-lt"/>
              <a:ea typeface="+mn-ea"/>
              <a:cs typeface="+mn-cs"/>
            </a:rPr>
            <a:t>Período: Enero 2014</a:t>
          </a:r>
          <a:r>
            <a:rPr lang="es-DO" sz="1200" b="1" baseline="0">
              <a:solidFill>
                <a:schemeClr val="lt1"/>
              </a:solidFill>
              <a:effectLst/>
              <a:latin typeface="+mn-lt"/>
              <a:ea typeface="+mn-ea"/>
              <a:cs typeface="+mn-cs"/>
            </a:rPr>
            <a:t> - Enero 2015</a:t>
          </a:r>
          <a:endParaRPr lang="es-DO" sz="2800" b="1">
            <a:effectLst/>
          </a:endParaRPr>
        </a:p>
      </xdr:txBody>
    </xdr:sp>
    <xdr:clientData/>
  </xdr:twoCellAnchor>
  <xdr:twoCellAnchor editAs="oneCell">
    <xdr:from>
      <xdr:col>0</xdr:col>
      <xdr:colOff>542925</xdr:colOff>
      <xdr:row>0</xdr:row>
      <xdr:rowOff>95250</xdr:rowOff>
    </xdr:from>
    <xdr:to>
      <xdr:col>1</xdr:col>
      <xdr:colOff>465396</xdr:colOff>
      <xdr:row>0</xdr:row>
      <xdr:rowOff>637953</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2925" y="95250"/>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112058</xdr:rowOff>
    </xdr:from>
    <xdr:to>
      <xdr:col>13</xdr:col>
      <xdr:colOff>1524000</xdr:colOff>
      <xdr:row>45</xdr:row>
      <xdr:rowOff>17317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a:t>
          </a:r>
          <a:r>
            <a:rPr lang="es-DO" sz="1100" b="1">
              <a:solidFill>
                <a:schemeClr val="lt1"/>
              </a:solidFill>
              <a:effectLst/>
              <a:latin typeface="+mn-lt"/>
              <a:ea typeface="+mn-ea"/>
              <a:cs typeface="+mn-cs"/>
            </a:rPr>
            <a:t>(</a:t>
          </a:r>
          <a:r>
            <a:rPr lang="es-DO" sz="1400" b="1">
              <a:solidFill>
                <a:schemeClr val="lt1"/>
              </a:solidFill>
              <a:effectLst/>
              <a:latin typeface="+mn-lt"/>
              <a:ea typeface="+mn-ea"/>
              <a:cs typeface="+mn-cs"/>
            </a:rPr>
            <a:t>cápitas pagadas) Anual del 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Enero 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42</xdr:row>
      <xdr:rowOff>75947</xdr:rowOff>
    </xdr:from>
    <xdr:to>
      <xdr:col>13</xdr:col>
      <xdr:colOff>188284</xdr:colOff>
      <xdr:row>67</xdr:row>
      <xdr:rowOff>144616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(cápitas pagadas)  Mensual  al  SFS del  RS por Tipo</a:t>
          </a:r>
        </a:p>
        <a:p>
          <a:pPr algn="ctr" eaLnBrk="1" fontAlgn="auto" latinLnBrk="0" hangingPunct="1"/>
          <a:r>
            <a:rPr lang="es-DO" sz="1400" b="1">
              <a:solidFill>
                <a:schemeClr val="lt1"/>
              </a:solidFill>
              <a:effectLst/>
              <a:latin typeface="+mn-lt"/>
              <a:ea typeface="+mn-ea"/>
              <a:cs typeface="+mn-cs"/>
            </a:rPr>
            <a:t>Período: Enero 2014 -  Enero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61</xdr:row>
      <xdr:rowOff>107869</xdr:rowOff>
    </xdr:to>
    <xdr:grpSp>
      <xdr:nvGrpSpPr>
        <xdr:cNvPr id="7" name="6 Grupo"/>
        <xdr:cNvGrpSpPr/>
      </xdr:nvGrpSpPr>
      <xdr:grpSpPr>
        <a:xfrm>
          <a:off x="0" y="18025"/>
          <a:ext cx="15846553" cy="11276780"/>
          <a:chOff x="1" y="27215"/>
          <a:chExt cx="11430000" cy="1171105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52599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39400"/>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40031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05209"/>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571500</xdr:colOff>
      <xdr:row>0</xdr:row>
      <xdr:rowOff>121228</xdr:rowOff>
    </xdr:from>
    <xdr:to>
      <xdr:col>2</xdr:col>
      <xdr:colOff>281827</xdr:colOff>
      <xdr:row>4</xdr:row>
      <xdr:rowOff>99378</xdr:rowOff>
    </xdr:to>
    <xdr:pic>
      <xdr:nvPicPr>
        <xdr:cNvPr id="49"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71500" y="121228"/>
          <a:ext cx="1234327" cy="74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15</xdr:col>
      <xdr:colOff>710044</xdr:colOff>
      <xdr:row>60</xdr:row>
      <xdr:rowOff>103909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779318</xdr:colOff>
      <xdr:row>58</xdr:row>
      <xdr:rowOff>69272</xdr:rowOff>
    </xdr:from>
    <xdr:to>
      <xdr:col>8</xdr:col>
      <xdr:colOff>900545</xdr:colOff>
      <xdr:row>60</xdr:row>
      <xdr:rowOff>34636</xdr:rowOff>
    </xdr:to>
    <xdr:sp macro="" textlink="">
      <xdr:nvSpPr>
        <xdr:cNvPr id="5" name="4 CuadroTexto"/>
        <xdr:cNvSpPr txBox="1"/>
      </xdr:nvSpPr>
      <xdr:spPr>
        <a:xfrm>
          <a:off x="779318" y="12232697"/>
          <a:ext cx="11808402"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Superintendencia de Salud y RiesgosL 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17</xdr:row>
      <xdr:rowOff>13607</xdr:rowOff>
    </xdr:from>
    <xdr:to>
      <xdr:col>10</xdr:col>
      <xdr:colOff>1374322</xdr:colOff>
      <xdr:row>46</xdr:row>
      <xdr:rowOff>108858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Enero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666752</xdr:colOff>
      <xdr:row>10</xdr:row>
      <xdr:rowOff>68034</xdr:rowOff>
    </xdr:from>
    <xdr:to>
      <xdr:col>11</xdr:col>
      <xdr:colOff>517073</xdr:colOff>
      <xdr:row>31</xdr:row>
      <xdr:rowOff>122463</xdr:rowOff>
    </xdr:to>
    <xdr:sp macro="" textlink="">
      <xdr:nvSpPr>
        <xdr:cNvPr id="3" name="2 CuadroTexto"/>
        <xdr:cNvSpPr txBox="1"/>
      </xdr:nvSpPr>
      <xdr:spPr>
        <a:xfrm>
          <a:off x="666752" y="1973034"/>
          <a:ext cx="8477250" cy="405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AFILIACIÓN</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rPr>
            <a:t>Régimen Especial Transitorio (RET)              Salud de Pensionados </a:t>
          </a:r>
          <a:br>
            <a:rPr lang="es-DO" sz="4400" b="1">
              <a:solidFill>
                <a:schemeClr val="accent3">
                  <a:lumMod val="50000"/>
                </a:schemeClr>
              </a:solidFill>
            </a:rPr>
          </a:br>
          <a:r>
            <a:rPr lang="es-DO" sz="4400" b="1">
              <a:solidFill>
                <a:schemeClr val="accent3">
                  <a:lumMod val="50000"/>
                </a:schemeClr>
              </a:solidFill>
            </a:rPr>
            <a:t>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748392</xdr:colOff>
      <xdr:row>36</xdr:row>
      <xdr:rowOff>163286</xdr:rowOff>
    </xdr:to>
    <xdr:sp macro="" textlink="">
      <xdr:nvSpPr>
        <xdr:cNvPr id="2" name="1 CuadroTexto"/>
        <xdr:cNvSpPr txBox="1"/>
      </xdr:nvSpPr>
      <xdr:spPr>
        <a:xfrm>
          <a:off x="0" y="0"/>
          <a:ext cx="10137321" cy="70212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 por el plan, los pensionados y jubilados no pueden estar activos en alguna base de datos  registradas en la Tesorería de la Seguridad Social, ya sea del Régimen Contributivo  o del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afiliados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enero 2015 la afiliación a este régimen especial asciende a  30,435 afiliados, para un nivel de ejecución de afiliación de la población objetivo de  35.80%.    La distribución de la afiliación  por ARS para este período es como sigue:SEMMA  4,834 afiliados  (15.9%); Salud Segura  115,082 afiliados (49.6%) y SENASA  10,519  afiliados  </a:t>
          </a:r>
          <a:r>
            <a:rPr lang="es-DO" sz="1500" b="0" baseline="0">
              <a:solidFill>
                <a:sysClr val="windowText" lastClr="000000"/>
              </a:solidFill>
            </a:rPr>
            <a:t>(34.6%).</a:t>
          </a:r>
          <a:endParaRPr lang="es-DO" sz="1500" b="0">
            <a:solidFill>
              <a:sysClr val="windowText" lastClr="000000"/>
            </a:solidFill>
          </a:endParaRPr>
        </a:p>
      </xdr:txBody>
    </xdr:sp>
    <xdr:clientData/>
  </xdr:twoCellAnchor>
  <xdr:twoCellAnchor>
    <xdr:from>
      <xdr:col>0</xdr:col>
      <xdr:colOff>0</xdr:colOff>
      <xdr:row>0</xdr:row>
      <xdr:rowOff>0</xdr:rowOff>
    </xdr:from>
    <xdr:to>
      <xdr:col>13</xdr:col>
      <xdr:colOff>0</xdr:colOff>
      <xdr:row>4</xdr:row>
      <xdr:rowOff>67235</xdr:rowOff>
    </xdr:to>
    <xdr:sp macro="" textlink="">
      <xdr:nvSpPr>
        <xdr:cNvPr id="4" name="3 Rectángulo redondeado"/>
        <xdr:cNvSpPr/>
      </xdr:nvSpPr>
      <xdr:spPr>
        <a:xfrm>
          <a:off x="0" y="0"/>
          <a:ext cx="10141324" cy="82923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Régimen Especial Transitorio (RET)  </a:t>
          </a:r>
        </a:p>
        <a:p>
          <a:pPr algn="ctr" eaLnBrk="1" fontAlgn="auto" latinLnBrk="0" hangingPunct="1"/>
          <a:r>
            <a:rPr lang="es-DO" sz="1800" b="1">
              <a:solidFill>
                <a:schemeClr val="lt1"/>
              </a:solidFill>
              <a:effectLst/>
              <a:latin typeface="+mn-lt"/>
              <a:ea typeface="+mn-ea"/>
              <a:cs typeface="+mn-cs"/>
            </a:rPr>
            <a:t>Salud de Pensionados Ley 1896-379</a:t>
          </a:r>
          <a:endParaRPr lang="es-DO" sz="3600">
            <a:effectLst/>
          </a:endParaRPr>
        </a:p>
      </xdr:txBody>
    </xdr:sp>
    <xdr:clientData/>
  </xdr:twoCellAnchor>
  <xdr:twoCellAnchor editAs="oneCell">
    <xdr:from>
      <xdr:col>0</xdr:col>
      <xdr:colOff>448235</xdr:colOff>
      <xdr:row>0</xdr:row>
      <xdr:rowOff>179294</xdr:rowOff>
    </xdr:from>
    <xdr:to>
      <xdr:col>1</xdr:col>
      <xdr:colOff>336176</xdr:colOff>
      <xdr:row>3</xdr:row>
      <xdr:rowOff>99129</xdr:rowOff>
    </xdr:to>
    <xdr:pic>
      <xdr:nvPicPr>
        <xdr:cNvPr id="5" name="5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703" t="11446" r="21116" b="25200"/>
        <a:stretch/>
      </xdr:blipFill>
      <xdr:spPr bwMode="auto">
        <a:xfrm>
          <a:off x="448235" y="179294"/>
          <a:ext cx="649941" cy="49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149038</xdr:colOff>
      <xdr:row>0</xdr:row>
      <xdr:rowOff>246530</xdr:rowOff>
    </xdr:from>
    <xdr:to>
      <xdr:col>1</xdr:col>
      <xdr:colOff>179294</xdr:colOff>
      <xdr:row>0</xdr:row>
      <xdr:rowOff>762001</xdr:rowOff>
    </xdr:to>
    <xdr:pic>
      <xdr:nvPicPr>
        <xdr:cNvPr id="2"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038" y="246530"/>
          <a:ext cx="713815"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78442</xdr:rowOff>
    </xdr:from>
    <xdr:to>
      <xdr:col>13</xdr:col>
      <xdr:colOff>638735</xdr:colOff>
      <xdr:row>36</xdr:row>
      <xdr:rowOff>100854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42</xdr:row>
      <xdr:rowOff>33618</xdr:rowOff>
    </xdr:from>
    <xdr:to>
      <xdr:col>11</xdr:col>
      <xdr:colOff>1008530</xdr:colOff>
      <xdr:row>67</xdr:row>
      <xdr:rowOff>145678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22411</xdr:colOff>
      <xdr:row>1</xdr:row>
      <xdr:rowOff>44824</xdr:rowOff>
    </xdr:to>
    <xdr:sp macro="" textlink="">
      <xdr:nvSpPr>
        <xdr:cNvPr id="5" name="4 Rectángulo redondeado"/>
        <xdr:cNvSpPr/>
      </xdr:nvSpPr>
      <xdr:spPr>
        <a:xfrm>
          <a:off x="0" y="0"/>
          <a:ext cx="11329146"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Enero 2014 - Enero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56029</xdr:colOff>
      <xdr:row>42</xdr:row>
      <xdr:rowOff>34737</xdr:rowOff>
    </xdr:from>
    <xdr:to>
      <xdr:col>12</xdr:col>
      <xdr:colOff>907676</xdr:colOff>
      <xdr:row>67</xdr:row>
      <xdr:rowOff>156882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885265</xdr:rowOff>
    </xdr:to>
    <xdr:sp macro="" textlink="">
      <xdr:nvSpPr>
        <xdr:cNvPr id="4" name="3 Rectángulo redondeado"/>
        <xdr:cNvSpPr/>
      </xdr:nvSpPr>
      <xdr:spPr>
        <a:xfrm>
          <a:off x="0" y="0"/>
          <a:ext cx="11631706" cy="88526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5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500" b="1">
              <a:solidFill>
                <a:schemeClr val="lt1"/>
              </a:solidFill>
              <a:effectLst/>
              <a:latin typeface="+mn-lt"/>
              <a:ea typeface="+mn-ea"/>
              <a:cs typeface="+mn-cs"/>
            </a:rPr>
            <a:t>Cobertura de Afiliación (cápitas pagadas)  de Pensionados al SFS</a:t>
          </a:r>
        </a:p>
        <a:p>
          <a:pPr algn="ctr" eaLnBrk="1" fontAlgn="auto" latinLnBrk="0" hangingPunct="1"/>
          <a:r>
            <a:rPr lang="es-DO" sz="1500" b="1">
              <a:solidFill>
                <a:schemeClr val="lt1"/>
              </a:solidFill>
              <a:effectLst/>
              <a:latin typeface="+mn-lt"/>
              <a:ea typeface="+mn-ea"/>
              <a:cs typeface="+mn-cs"/>
            </a:rPr>
            <a:t>Período: Enero 2014 -  Enero 2015</a:t>
          </a:r>
          <a:endParaRPr lang="es-DO" sz="1500">
            <a:effectLst/>
          </a:endParaRPr>
        </a:p>
      </xdr:txBody>
    </xdr:sp>
    <xdr:clientData/>
  </xdr:twoCellAnchor>
  <xdr:twoCellAnchor editAs="oneCell">
    <xdr:from>
      <xdr:col>0</xdr:col>
      <xdr:colOff>627528</xdr:colOff>
      <xdr:row>0</xdr:row>
      <xdr:rowOff>224117</xdr:rowOff>
    </xdr:from>
    <xdr:to>
      <xdr:col>1</xdr:col>
      <xdr:colOff>562873</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0</xdr:colOff>
      <xdr:row>14</xdr:row>
      <xdr:rowOff>17318</xdr:rowOff>
    </xdr:from>
    <xdr:to>
      <xdr:col>15</xdr:col>
      <xdr:colOff>640773</xdr:colOff>
      <xdr:row>40</xdr:row>
      <xdr:rowOff>17318</xdr:rowOff>
    </xdr:to>
    <xdr:sp macro="" textlink="">
      <xdr:nvSpPr>
        <xdr:cNvPr id="3" name="2 CuadroTexto"/>
        <xdr:cNvSpPr txBox="1"/>
      </xdr:nvSpPr>
      <xdr:spPr>
        <a:xfrm>
          <a:off x="0" y="2684318"/>
          <a:ext cx="12157364" cy="495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AFILIACIÓN</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a:solidFill>
                <a:schemeClr val="accent3">
                  <a:lumMod val="50000"/>
                </a:schemeClr>
              </a:solidFill>
            </a:rPr>
            <a:t>Seguro de Vejez, Discapacidad y Sobrevivencia (SVDS)  del Régimen Contributivo           </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privadas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fondos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48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0</xdr:colOff>
      <xdr:row>43</xdr:row>
      <xdr:rowOff>1</xdr:rowOff>
    </xdr:to>
    <xdr:sp macro="" textlink="">
      <xdr:nvSpPr>
        <xdr:cNvPr id="2" name="1 CuadroTexto"/>
        <xdr:cNvSpPr txBox="1"/>
      </xdr:nvSpPr>
      <xdr:spPr>
        <a:xfrm>
          <a:off x="0" y="1"/>
          <a:ext cx="10432676" cy="8191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500" b="0" i="0" u="none" strike="noStrike" kern="0" cap="none" spc="0" normalizeH="0" baseline="0">
              <a:ln>
                <a:noFill/>
              </a:ln>
              <a:solidFill>
                <a:sysClr val="windowText" lastClr="000000"/>
              </a:solidFill>
              <a:effectLst/>
              <a:uLnTx/>
              <a:uFillTx/>
              <a:latin typeface="+mn-lt"/>
              <a:ea typeface="+mn-ea"/>
              <a:cs typeface="+mn-cs"/>
            </a:rPr>
            <a:t>Cabe destacar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5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afiliación inicial al sistema previsional fue significativa a, a diciembre de 2003 contaba con  986,538 personas de las cuales 576,869 eran trabajadores cotizantes activos representando un 40.6% de la población ocupada formal.</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evolución en cifras del número de afiliados al SVDS, que constituye una variable acumulativa ha registrado un crecimiento promedio anual hasta  enero 2015  de un 10.1% , situándose para esa fecha en 3,082,709 . El crecimiento medio anual de los afiliados cotizantes activos  fue de 8.2%  pasando de 576,869 en diciembre de 2003 a 1,423,196 en enero de 2015.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relación de cotizantes/afiliados , conocida como densidad de cotizantes , ha pasado de 58.5% en  diciembre de 2003 a 46.2% en enero de 2015, reflejando una baja de 12.3%, debido principalmente a que  la afiliación se acumula  y los cotizantes son los trabajadores que están activo al momento de producirse la información.</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finalizar el mes de enero de 2015, el 1.25% de los cotizantes eran menores de 19 años,  estando la mayor agrupación de cotizantes  entre las edades de 20 a 49 años que representan el 78%; el 13.34% corresponde al grupo etario  de las edades de 50 a 59 años y un aspecto a destacar es que el 7.24% de los cotizantes tienen más de 60 años. Con relación al sexo se tiene el 55.5% son varones y el 44.5% mujeres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El  68.7%  de los cotizantes del sistema están dentro del rango de salario mínimos cotizables de 0-2 salarios;  el 26.0% entre 2-3 salarios mínimos y el 5.3% más de 6 salarios mínimos.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 las cinco (5)  Administradoras de Fondos de Pensiones, el 58.24% de los cotizantes están afiliados a dos AFP's;  Popular con un 29.6% y Scotia Crecer con un 28.6%.  En el  Sistema de Reparto cotizan  alrededor de un 8.82% (6.0% en Reparto Individualizado y 2.9% en el Ministerio de Hacienda).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Desde el año 2004  hasta enero 2015 se efectuaron un total de 107,775  traspasos de afiliados, de los cuales 38,456 corresponden a  los traspasos de los docentes de la Secretaría de Estado de Educación afiliados a las AFP’s, al Instituto Nacional de Bienestar Magisterial (INABIMA).  Entre el enero 2005 a enero 2015, las AFP cedieron 46,463 traspasos de afiliados, observándose que  se distribuyeron en las siguientes entidades de reparto:  Ministerio de Hacienda e INABIMA.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evaluar la distribución geográfica de los afiliados al Sistema de Capitalización Individual, al 31 de diciembre de 2014 se observa una mayor concentración de los trabajadores en el Distrito Nacional, con un 22.0% del total de afiliados a nivel nacional, seguido por la provincia de Santo Domingo , con un 14.1% y la provincia de Santiago con un 11.1%, el resto de las provincias del país presentan una participación de  menos del 5.0% del total de  la afiliación nacional cada una.</a:t>
          </a:r>
        </a:p>
      </xdr:txBody>
    </xdr:sp>
    <xdr:clientData/>
  </xdr:twoCellAnchor>
  <xdr:twoCellAnchor>
    <xdr:from>
      <xdr:col>0</xdr:col>
      <xdr:colOff>0</xdr:colOff>
      <xdr:row>0</xdr:row>
      <xdr:rowOff>0</xdr:rowOff>
    </xdr:from>
    <xdr:to>
      <xdr:col>13</xdr:col>
      <xdr:colOff>11206</xdr:colOff>
      <xdr:row>4</xdr:row>
      <xdr:rowOff>112059</xdr:rowOff>
    </xdr:to>
    <xdr:sp macro="" textlink="">
      <xdr:nvSpPr>
        <xdr:cNvPr id="3" name="2 Rectángulo redondeado"/>
        <xdr:cNvSpPr/>
      </xdr:nvSpPr>
      <xdr:spPr>
        <a:xfrm>
          <a:off x="0" y="0"/>
          <a:ext cx="10443882"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179294</xdr:colOff>
      <xdr:row>1</xdr:row>
      <xdr:rowOff>33617</xdr:rowOff>
    </xdr:from>
    <xdr:to>
      <xdr:col>1</xdr:col>
      <xdr:colOff>106932</xdr:colOff>
      <xdr:row>3</xdr:row>
      <xdr:rowOff>145676</xdr:rowOff>
    </xdr:to>
    <xdr:pic>
      <xdr:nvPicPr>
        <xdr:cNvPr id="4"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179294" y="224117"/>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576449</xdr:colOff>
      <xdr:row>1</xdr:row>
      <xdr:rowOff>38348</xdr:rowOff>
    </xdr:from>
    <xdr:to>
      <xdr:col>2</xdr:col>
      <xdr:colOff>143738</xdr:colOff>
      <xdr:row>4</xdr:row>
      <xdr:rowOff>121227</xdr:rowOff>
    </xdr:to>
    <xdr:pic>
      <xdr:nvPicPr>
        <xdr:cNvPr id="27" name="1 Imagen" descr="Logo_2x4.bmp"/>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76449" y="228848"/>
          <a:ext cx="1091289" cy="65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100852</xdr:rowOff>
    </xdr:from>
    <xdr:to>
      <xdr:col>13</xdr:col>
      <xdr:colOff>705970</xdr:colOff>
      <xdr:row>49</xdr:row>
      <xdr:rowOff>123263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Enero 2015</a:t>
          </a:r>
          <a:endParaRPr lang="es-DO" sz="1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12</xdr:col>
      <xdr:colOff>0</xdr:colOff>
      <xdr:row>30</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42</xdr:row>
      <xdr:rowOff>8659</xdr:rowOff>
    </xdr:from>
    <xdr:to>
      <xdr:col>13</xdr:col>
      <xdr:colOff>1264227</xdr:colOff>
      <xdr:row>80</xdr:row>
      <xdr:rowOff>22266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664276</xdr:colOff>
      <xdr:row>78</xdr:row>
      <xdr:rowOff>189263</xdr:rowOff>
    </xdr:from>
    <xdr:to>
      <xdr:col>5</xdr:col>
      <xdr:colOff>963633</xdr:colOff>
      <xdr:row>80</xdr:row>
      <xdr:rowOff>134835</xdr:rowOff>
    </xdr:to>
    <xdr:sp macro="" textlink="">
      <xdr:nvSpPr>
        <xdr:cNvPr id="6" name="5 CuadroTexto"/>
        <xdr:cNvSpPr txBox="1"/>
      </xdr:nvSpPr>
      <xdr:spPr>
        <a:xfrm>
          <a:off x="664276" y="11394127"/>
          <a:ext cx="4923312"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a:t>
          </a:r>
          <a:r>
            <a:rPr lang="es-DO" sz="1400" baseline="0"/>
            <a:t> SIPEN</a:t>
          </a:r>
          <a:endParaRPr lang="es-DO" sz="1400"/>
        </a:p>
      </xdr:txBody>
    </xdr:sp>
    <xdr:clientData/>
  </xdr:twoCellAnchor>
  <xdr:twoCellAnchor>
    <xdr:from>
      <xdr:col>4</xdr:col>
      <xdr:colOff>269669</xdr:colOff>
      <xdr:row>43</xdr:row>
      <xdr:rowOff>24741</xdr:rowOff>
    </xdr:from>
    <xdr:to>
      <xdr:col>11</xdr:col>
      <xdr:colOff>165761</xdr:colOff>
      <xdr:row>45</xdr:row>
      <xdr:rowOff>7423</xdr:rowOff>
    </xdr:to>
    <xdr:sp macro="" textlink="">
      <xdr:nvSpPr>
        <xdr:cNvPr id="7" name="6 CuadroTexto"/>
        <xdr:cNvSpPr txBox="1"/>
      </xdr:nvSpPr>
      <xdr:spPr>
        <a:xfrm>
          <a:off x="4828062" y="5113812"/>
          <a:ext cx="6345878"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000" b="1"/>
            <a:t>Afiliación Mensual al SVDS del RC</a:t>
          </a:r>
        </a:p>
      </xdr:txBody>
    </xdr:sp>
    <xdr:clientData/>
  </xdr:twoCellAnchor>
  <xdr:twoCellAnchor>
    <xdr:from>
      <xdr:col>0</xdr:col>
      <xdr:colOff>0</xdr:colOff>
      <xdr:row>0</xdr:row>
      <xdr:rowOff>0</xdr:rowOff>
    </xdr:from>
    <xdr:to>
      <xdr:col>13</xdr:col>
      <xdr:colOff>1428750</xdr:colOff>
      <xdr:row>1</xdr:row>
      <xdr:rowOff>68036</xdr:rowOff>
    </xdr:to>
    <xdr:sp macro="" textlink="">
      <xdr:nvSpPr>
        <xdr:cNvPr id="8" name="7 Rectángulo redondeado"/>
        <xdr:cNvSpPr/>
      </xdr:nvSpPr>
      <xdr:spPr>
        <a:xfrm>
          <a:off x="0" y="0"/>
          <a:ext cx="15335250"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Afiliación Mensual al SVDS del RC</a:t>
          </a:r>
        </a:p>
        <a:p>
          <a:pPr algn="ctr" eaLnBrk="1" fontAlgn="auto" latinLnBrk="0" hangingPunct="1"/>
          <a:r>
            <a:rPr lang="es-DO" sz="1600" b="1">
              <a:solidFill>
                <a:schemeClr val="lt1"/>
              </a:solidFill>
              <a:effectLst/>
              <a:latin typeface="+mn-lt"/>
              <a:ea typeface="+mn-ea"/>
              <a:cs typeface="+mn-cs"/>
            </a:rPr>
            <a:t>Período:  Enero 2014 - Enero 2015</a:t>
          </a:r>
          <a:endParaRPr lang="es-DO" sz="3600">
            <a:effectLst/>
          </a:endParaRPr>
        </a:p>
      </xdr:txBody>
    </xdr:sp>
    <xdr:clientData/>
  </xdr:twoCellAnchor>
  <xdr:twoCellAnchor editAs="oneCell">
    <xdr:from>
      <xdr:col>0</xdr:col>
      <xdr:colOff>476250</xdr:colOff>
      <xdr:row>0</xdr:row>
      <xdr:rowOff>176893</xdr:rowOff>
    </xdr:from>
    <xdr:to>
      <xdr:col>1</xdr:col>
      <xdr:colOff>569178</xdr:colOff>
      <xdr:row>0</xdr:row>
      <xdr:rowOff>774353</xdr:rowOff>
    </xdr:to>
    <xdr:pic>
      <xdr:nvPicPr>
        <xdr:cNvPr id="2" name="1 Imagen"/>
        <xdr:cNvPicPr>
          <a:picLocks noChangeAspect="1"/>
        </xdr:cNvPicPr>
      </xdr:nvPicPr>
      <xdr:blipFill>
        <a:blip xmlns:r="http://schemas.openxmlformats.org/officeDocument/2006/relationships" r:embed="rId3"/>
        <a:stretch>
          <a:fillRect/>
        </a:stretch>
      </xdr:blipFill>
      <xdr:spPr>
        <a:xfrm>
          <a:off x="476250" y="176893"/>
          <a:ext cx="841321" cy="59746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739589</xdr:colOff>
      <xdr:row>55</xdr:row>
      <xdr:rowOff>123265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Enero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3.xml><?xml version="1.0" encoding="utf-8"?>
<c:userShapes xmlns:c="http://schemas.openxmlformats.org/drawingml/2006/chart">
  <cdr:relSizeAnchor xmlns:cdr="http://schemas.openxmlformats.org/drawingml/2006/chartDrawing">
    <cdr:from>
      <cdr:x>0.19984</cdr:x>
      <cdr:y>0.02189</cdr:y>
    </cdr:from>
    <cdr:to>
      <cdr:x>0.83255</cdr:x>
      <cdr:y>0.10693</cdr:y>
    </cdr:to>
    <cdr:sp macro="" textlink="">
      <cdr:nvSpPr>
        <cdr:cNvPr id="2" name="1 CuadroTexto"/>
        <cdr:cNvSpPr txBox="1"/>
      </cdr:nvSpPr>
      <cdr:spPr>
        <a:xfrm xmlns:a="http://schemas.openxmlformats.org/drawingml/2006/main">
          <a:off x="2393955" y="162848"/>
          <a:ext cx="7579279" cy="63277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14</xdr:row>
      <xdr:rowOff>135590</xdr:rowOff>
    </xdr:from>
    <xdr:to>
      <xdr:col>11</xdr:col>
      <xdr:colOff>2326821</xdr:colOff>
      <xdr:row>35</xdr:row>
      <xdr:rowOff>163286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11</xdr:col>
      <xdr:colOff>2476501</xdr:colOff>
      <xdr:row>0</xdr:row>
      <xdr:rowOff>1034143</xdr:rowOff>
    </xdr:to>
    <xdr:sp macro="" textlink="">
      <xdr:nvSpPr>
        <xdr:cNvPr id="5" name="4 Rectángulo redondeado"/>
        <xdr:cNvSpPr/>
      </xdr:nvSpPr>
      <xdr:spPr>
        <a:xfrm>
          <a:off x="1" y="0"/>
          <a:ext cx="14165036"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Enero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202408</xdr:rowOff>
    </xdr:from>
    <xdr:to>
      <xdr:col>11</xdr:col>
      <xdr:colOff>1211035</xdr:colOff>
      <xdr:row>37</xdr:row>
      <xdr:rowOff>54430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1292677</xdr:colOff>
      <xdr:row>1</xdr:row>
      <xdr:rowOff>27214</xdr:rowOff>
    </xdr:to>
    <xdr:sp macro="" textlink="">
      <xdr:nvSpPr>
        <xdr:cNvPr id="4" name="3 Rectángulo redondeado"/>
        <xdr:cNvSpPr/>
      </xdr:nvSpPr>
      <xdr:spPr>
        <a:xfrm>
          <a:off x="0" y="0"/>
          <a:ext cx="12518570"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Cotizantes del SVDS RC por Cantidad de Salario Mínimo Cotizable</a:t>
          </a:r>
        </a:p>
        <a:p>
          <a:pPr algn="ctr" eaLnBrk="1" fontAlgn="auto" latinLnBrk="0" hangingPunct="1"/>
          <a:r>
            <a:rPr lang="es-DO" sz="1600" b="1">
              <a:solidFill>
                <a:schemeClr val="lt1"/>
              </a:solidFill>
              <a:effectLst/>
              <a:latin typeface="+mn-lt"/>
              <a:ea typeface="+mn-ea"/>
              <a:cs typeface="+mn-cs"/>
            </a:rPr>
            <a:t>Período: Enero 2015</a:t>
          </a:r>
          <a:endParaRPr lang="es-DO" sz="36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0.04058</cdr:x>
      <cdr:y>0.93384</cdr:y>
    </cdr:from>
    <cdr:to>
      <cdr:x>0.7996</cdr:x>
      <cdr:y>0.96817</cdr:y>
    </cdr:to>
    <cdr:sp macro="" textlink="">
      <cdr:nvSpPr>
        <cdr:cNvPr id="2" name="1 CuadroTexto"/>
        <cdr:cNvSpPr txBox="1"/>
      </cdr:nvSpPr>
      <cdr:spPr>
        <a:xfrm xmlns:a="http://schemas.openxmlformats.org/drawingml/2006/main">
          <a:off x="442165" y="6514599"/>
          <a:ext cx="8270373" cy="239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Portal de SIPEN</a:t>
          </a:r>
        </a:p>
        <a:p xmlns:a="http://schemas.openxmlformats.org/drawingml/2006/main">
          <a:r>
            <a:rPr lang="en-US" sz="1100">
              <a:solidFill>
                <a:sysClr val="windowText" lastClr="000000"/>
              </a:solidFill>
            </a:rPr>
            <a:t>)</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40820</xdr:colOff>
      <xdr:row>5</xdr:row>
      <xdr:rowOff>136072</xdr:rowOff>
    </xdr:from>
    <xdr:to>
      <xdr:col>11</xdr:col>
      <xdr:colOff>952500</xdr:colOff>
      <xdr:row>45</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Distribución de Afiliados Cotizantes por AFP's y Fondos de Reparto</a:t>
          </a:r>
        </a:p>
        <a:p>
          <a:pPr algn="ctr" eaLnBrk="1" fontAlgn="auto" latinLnBrk="0" hangingPunct="1"/>
          <a:r>
            <a:rPr lang="es-DO" sz="1400" b="1">
              <a:solidFill>
                <a:schemeClr val="lt1"/>
              </a:solidFill>
              <a:effectLst/>
              <a:latin typeface="+mn-lt"/>
              <a:ea typeface="+mn-ea"/>
              <a:cs typeface="+mn-cs"/>
            </a:rPr>
            <a:t>Período: Enero 2015</a:t>
          </a:r>
          <a:endParaRPr lang="es-DO" sz="3200">
            <a:effectLst/>
          </a:endParaRPr>
        </a:p>
      </xdr:txBody>
    </xdr:sp>
    <xdr:clientData/>
  </xdr:twoCellAnchor>
  <xdr:twoCellAnchor editAs="oneCell">
    <xdr:from>
      <xdr:col>0</xdr:col>
      <xdr:colOff>437029</xdr:colOff>
      <xdr:row>0</xdr:row>
      <xdr:rowOff>201706</xdr:rowOff>
    </xdr:from>
    <xdr:to>
      <xdr:col>1</xdr:col>
      <xdr:colOff>362286</xdr:colOff>
      <xdr:row>0</xdr:row>
      <xdr:rowOff>637135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76904" cy="43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17</xdr:row>
      <xdr:rowOff>38100</xdr:rowOff>
    </xdr:from>
    <xdr:to>
      <xdr:col>13</xdr:col>
      <xdr:colOff>695324</xdr:colOff>
      <xdr:row>47</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838199</xdr:rowOff>
    </xdr:to>
    <xdr:sp macro="" textlink="">
      <xdr:nvSpPr>
        <xdr:cNvPr id="4" name="3 Rectángulo redondeado"/>
        <xdr:cNvSpPr/>
      </xdr:nvSpPr>
      <xdr:spPr>
        <a:xfrm>
          <a:off x="0" y="0"/>
          <a:ext cx="91725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Enero 2015</a:t>
          </a:r>
          <a:endParaRPr lang="es-DO" sz="2800">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18</xdr:row>
      <xdr:rowOff>87457</xdr:rowOff>
    </xdr:from>
    <xdr:to>
      <xdr:col>14</xdr:col>
      <xdr:colOff>704850</xdr:colOff>
      <xdr:row>47</xdr:row>
      <xdr:rowOff>144607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14</xdr:col>
      <xdr:colOff>742950</xdr:colOff>
      <xdr:row>0</xdr:row>
      <xdr:rowOff>819150</xdr:rowOff>
    </xdr:to>
    <xdr:sp macro="" textlink="">
      <xdr:nvSpPr>
        <xdr:cNvPr id="4" name="3 Rectángulo redondeado"/>
        <xdr:cNvSpPr/>
      </xdr:nvSpPr>
      <xdr:spPr>
        <a:xfrm>
          <a:off x="1" y="0"/>
          <a:ext cx="10153649" cy="8191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300" b="1">
              <a:solidFill>
                <a:schemeClr val="lt1"/>
              </a:solidFill>
              <a:effectLst/>
              <a:latin typeface="+mn-lt"/>
              <a:ea typeface="+mn-ea"/>
              <a:cs typeface="+mn-cs"/>
            </a:rPr>
            <a:t>Seguro de Vejez, Discapacidad y Sobrevivencia (SVDS)</a:t>
          </a:r>
        </a:p>
        <a:p>
          <a:pPr algn="ctr" eaLnBrk="1" fontAlgn="auto" latinLnBrk="0" hangingPunct="1"/>
          <a:r>
            <a:rPr lang="es-DO" sz="1300" b="1">
              <a:solidFill>
                <a:schemeClr val="lt1"/>
              </a:solidFill>
              <a:effectLst/>
              <a:latin typeface="+mn-lt"/>
              <a:ea typeface="+mn-ea"/>
              <a:cs typeface="+mn-cs"/>
            </a:rPr>
            <a:t>Afiliados y Cotizantes del SVDS por Género</a:t>
          </a:r>
        </a:p>
        <a:p>
          <a:pPr algn="ctr" eaLnBrk="1" fontAlgn="auto" latinLnBrk="0" hangingPunct="1"/>
          <a:r>
            <a:rPr lang="es-DO" sz="1300" b="1">
              <a:solidFill>
                <a:schemeClr val="lt1"/>
              </a:solidFill>
              <a:effectLst/>
              <a:latin typeface="+mn-lt"/>
              <a:ea typeface="+mn-ea"/>
              <a:cs typeface="+mn-cs"/>
            </a:rPr>
            <a:t>Periodo: Diciembre 2005 - Enero 2015</a:t>
          </a:r>
          <a:endParaRPr lang="es-DO" sz="13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1</xdr:row>
      <xdr:rowOff>54429</xdr:rowOff>
    </xdr:from>
    <xdr:to>
      <xdr:col>1</xdr:col>
      <xdr:colOff>426876</xdr:colOff>
      <xdr:row>4</xdr:row>
      <xdr:rowOff>0</xdr:rowOff>
    </xdr:to>
    <xdr:pic>
      <xdr:nvPicPr>
        <xdr:cNvPr id="23" name="1 Imagen" descr="Logo_2x4.bmp"/>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6571" y="244929"/>
          <a:ext cx="862305" cy="51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17</xdr:row>
      <xdr:rowOff>136072</xdr:rowOff>
    </xdr:from>
    <xdr:to>
      <xdr:col>16</xdr:col>
      <xdr:colOff>993322</xdr:colOff>
      <xdr:row>57</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2004 - Enero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8</xdr:col>
      <xdr:colOff>653143</xdr:colOff>
      <xdr:row>16</xdr:row>
      <xdr:rowOff>149677</xdr:rowOff>
    </xdr:from>
    <xdr:to>
      <xdr:col>16</xdr:col>
      <xdr:colOff>887666</xdr:colOff>
      <xdr:row>52</xdr:row>
      <xdr:rowOff>108056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13607</xdr:rowOff>
    </xdr:from>
    <xdr:to>
      <xdr:col>8</xdr:col>
      <xdr:colOff>693965</xdr:colOff>
      <xdr:row>51</xdr:row>
      <xdr:rowOff>131990</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Enero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Enero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17</xdr:row>
      <xdr:rowOff>13607</xdr:rowOff>
    </xdr:from>
    <xdr:to>
      <xdr:col>10</xdr:col>
      <xdr:colOff>340179</xdr:colOff>
      <xdr:row>50</xdr:row>
      <xdr:rowOff>122464</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299359</xdr:colOff>
      <xdr:row>16</xdr:row>
      <xdr:rowOff>136071</xdr:rowOff>
    </xdr:from>
    <xdr:to>
      <xdr:col>18</xdr:col>
      <xdr:colOff>625930</xdr:colOff>
      <xdr:row>50</xdr:row>
      <xdr:rowOff>68036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Enero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3"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47726"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30</xdr:row>
      <xdr:rowOff>0</xdr:rowOff>
    </xdr:from>
    <xdr:to>
      <xdr:col>11</xdr:col>
      <xdr:colOff>9525</xdr:colOff>
      <xdr:row>30</xdr:row>
      <xdr:rowOff>9525</xdr:rowOff>
    </xdr:to>
    <xdr:pic>
      <xdr:nvPicPr>
        <xdr:cNvPr id="4"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20450" y="198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235324</xdr:colOff>
      <xdr:row>10</xdr:row>
      <xdr:rowOff>78440</xdr:rowOff>
    </xdr:from>
    <xdr:to>
      <xdr:col>11</xdr:col>
      <xdr:colOff>481854</xdr:colOff>
      <xdr:row>21</xdr:row>
      <xdr:rowOff>89646</xdr:rowOff>
    </xdr:to>
    <xdr:sp macro="" textlink="">
      <xdr:nvSpPr>
        <xdr:cNvPr id="3" name="2 CuadroTexto"/>
        <xdr:cNvSpPr txBox="1"/>
      </xdr:nvSpPr>
      <xdr:spPr>
        <a:xfrm>
          <a:off x="235324" y="1983440"/>
          <a:ext cx="8460442" cy="2106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ARL</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del Seguro de Riesgos Laborales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0"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593910</xdr:colOff>
      <xdr:row>5</xdr:row>
      <xdr:rowOff>104854</xdr:rowOff>
    </xdr:from>
    <xdr:to>
      <xdr:col>6</xdr:col>
      <xdr:colOff>560293</xdr:colOff>
      <xdr:row>24</xdr:row>
      <xdr:rowOff>78441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17910" y="1057354"/>
          <a:ext cx="3014383" cy="3593087"/>
        </a:xfrm>
        <a:prstGeom prst="rect">
          <a:avLst/>
        </a:prstGeom>
        <a:noFill/>
        <a:ln>
          <a:noFill/>
        </a:ln>
      </xdr:spPr>
    </xdr:pic>
    <xdr:clientData/>
  </xdr:twoCellAnchor>
  <xdr:twoCellAnchor>
    <xdr:from>
      <xdr:col>0</xdr:col>
      <xdr:colOff>22415</xdr:colOff>
      <xdr:row>4</xdr:row>
      <xdr:rowOff>134471</xdr:rowOff>
    </xdr:from>
    <xdr:to>
      <xdr:col>9</xdr:col>
      <xdr:colOff>605117</xdr:colOff>
      <xdr:row>27</xdr:row>
      <xdr:rowOff>44824</xdr:rowOff>
    </xdr:to>
    <xdr:sp macro="" textlink="">
      <xdr:nvSpPr>
        <xdr:cNvPr id="2" name="1 CuadroTexto"/>
        <xdr:cNvSpPr txBox="1"/>
      </xdr:nvSpPr>
      <xdr:spPr>
        <a:xfrm>
          <a:off x="22415" y="896471"/>
          <a:ext cx="7575173" cy="429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200">
              <a:solidFill>
                <a:schemeClr val="dk1"/>
              </a:solidFill>
              <a:effectLst/>
              <a:latin typeface="+mn-lt"/>
              <a:ea typeface="+mn-ea"/>
              <a:cs typeface="+mn-cs"/>
            </a:rPr>
            <a:t>El Seguro de Riesgos Laborales inició en febrero de 2004, a enero de 2015se presenta una afiliación de  1,654,484 trabajadores asalariados,  equivalente al 88.7% de  la población ocupada del sector formal,  de acuerdo a los datos de la Encuesta Nacional de Fuerza de Trabajo del Banco Central del año 2014.</a:t>
          </a:r>
          <a:endParaRPr lang="es-ES" sz="1200">
            <a:solidFill>
              <a:schemeClr val="dk1"/>
            </a:solidFill>
            <a:effectLst/>
            <a:latin typeface="+mn-lt"/>
            <a:ea typeface="+mn-ea"/>
            <a:cs typeface="+mn-cs"/>
          </a:endParaRPr>
        </a:p>
        <a:p>
          <a:r>
            <a:rPr lang="es-DO" sz="1200">
              <a:solidFill>
                <a:schemeClr val="dk1"/>
              </a:solidFill>
              <a:effectLst/>
              <a:latin typeface="+mn-lt"/>
              <a:ea typeface="+mn-ea"/>
              <a:cs typeface="+mn-cs"/>
            </a:rPr>
            <a:t>De acuerdo a la participación de los trabajadores afiliados por rango de edad en  enero de 2015, el  1.3% de los afiliados al SRL es menor o igual a 19 años, el 91.5% está entre las edades de 20 - 59 años y el 7.3% es mayor de 60 años.</a:t>
          </a:r>
        </a:p>
        <a:p>
          <a:endParaRPr lang="es-ES" sz="1200">
            <a:solidFill>
              <a:schemeClr val="dk1"/>
            </a:solidFill>
            <a:effectLst/>
            <a:latin typeface="+mn-lt"/>
            <a:ea typeface="+mn-ea"/>
            <a:cs typeface="+mn-cs"/>
          </a:endParaRPr>
        </a:p>
        <a:p>
          <a:r>
            <a:rPr lang="es-DO" sz="1200">
              <a:solidFill>
                <a:schemeClr val="dk1"/>
              </a:solidFill>
              <a:effectLst/>
              <a:latin typeface="+mn-lt"/>
              <a:ea typeface="+mn-ea"/>
              <a:cs typeface="+mn-cs"/>
            </a:rPr>
            <a:t>El porcentaje de afiliados activos  al SRL por tipo de riesgos laborales de las empresas,   el 17.18% realizan actividades de riesgos I, ( aquel en el cual su gravedad potencial es la de generar lesiones que solo requieren de primeros auxilios); el 37.76% de riesgo de tipo II (cuya gravedad potencial es la de generar lesiones serias no incapacitantes y que solo requieran atención médica o produzcan una incapacidad de corta duración);  y el 45.07% realizan actividades con riesgos de tipo III y IV, que son las categorías de mayor peligro en las cuales los accidentes pueden causar lesiones graves, incapacitantes o pueden ser fatales.</a:t>
          </a:r>
        </a:p>
        <a:p>
          <a:endParaRPr lang="es-ES" sz="1200">
            <a:solidFill>
              <a:schemeClr val="dk1"/>
            </a:solidFill>
            <a:effectLst/>
            <a:latin typeface="+mn-lt"/>
            <a:ea typeface="+mn-ea"/>
            <a:cs typeface="+mn-cs"/>
          </a:endParaRPr>
        </a:p>
        <a:p>
          <a:r>
            <a:rPr lang="es-DO" sz="1200">
              <a:solidFill>
                <a:schemeClr val="dk1"/>
              </a:solidFill>
              <a:effectLst/>
              <a:latin typeface="+mn-lt"/>
              <a:ea typeface="+mn-ea"/>
              <a:cs typeface="+mn-cs"/>
            </a:rPr>
            <a:t>En cuanto a la composición de la afiliación por sexo  a enero de 2015, habían 923,36 3hombres y 731,121 mujeres para una participación de 55.8% y 44.2% respectivamente. En ambos sexo la mayor concentración de afiliados se encuentra entre las edades de 20 a 49 años, representando los mayores de 60 años un 8.33% para los hombres y un 5.91% para las mujeres.</a:t>
          </a:r>
          <a:endParaRPr lang="es-ES" sz="1200">
            <a:solidFill>
              <a:schemeClr val="dk1"/>
            </a:solidFill>
            <a:effectLst/>
            <a:latin typeface="+mn-lt"/>
            <a:ea typeface="+mn-ea"/>
            <a:cs typeface="+mn-cs"/>
          </a:endParaRPr>
        </a:p>
        <a:p>
          <a:r>
            <a:rPr lang="es-ES" sz="12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4</xdr:row>
      <xdr:rowOff>0</xdr:rowOff>
    </xdr:to>
    <xdr:sp macro="" textlink="">
      <xdr:nvSpPr>
        <xdr:cNvPr id="5" name="4 Rectángulo redondeado"/>
        <xdr:cNvSpPr/>
      </xdr:nvSpPr>
      <xdr:spPr>
        <a:xfrm>
          <a:off x="0" y="0"/>
          <a:ext cx="9663545" cy="762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de Riesgos Laborales Régimen Contributivo</a:t>
          </a:r>
          <a:endParaRPr lang="es-DO" sz="4000">
            <a:effectLst/>
          </a:endParaRPr>
        </a:p>
      </xdr:txBody>
    </xdr:sp>
    <xdr:clientData/>
  </xdr:twoCellAnchor>
  <xdr:twoCellAnchor editAs="oneCell">
    <xdr:from>
      <xdr:col>0</xdr:col>
      <xdr:colOff>91168</xdr:colOff>
      <xdr:row>0</xdr:row>
      <xdr:rowOff>169067</xdr:rowOff>
    </xdr:from>
    <xdr:to>
      <xdr:col>0</xdr:col>
      <xdr:colOff>752475</xdr:colOff>
      <xdr:row>3</xdr:row>
      <xdr:rowOff>38134</xdr:rowOff>
    </xdr:to>
    <xdr:pic>
      <xdr:nvPicPr>
        <xdr:cNvPr id="6"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91168" y="169067"/>
          <a:ext cx="661307" cy="440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11</xdr:row>
      <xdr:rowOff>128650</xdr:rowOff>
    </xdr:from>
    <xdr:to>
      <xdr:col>16</xdr:col>
      <xdr:colOff>1437409</xdr:colOff>
      <xdr:row>49</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1627909</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Enero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0.06103</cdr:x>
      <cdr:y>0.91159</cdr:y>
    </cdr:from>
    <cdr:to>
      <cdr:x>0.56683</cdr:x>
      <cdr:y>0.96424</cdr:y>
    </cdr:to>
    <cdr:sp macro="" textlink="">
      <cdr:nvSpPr>
        <cdr:cNvPr id="2" name="1 CuadroTexto"/>
        <cdr:cNvSpPr txBox="1"/>
      </cdr:nvSpPr>
      <cdr:spPr>
        <a:xfrm xmlns:a="http://schemas.openxmlformats.org/drawingml/2006/main">
          <a:off x="833732" y="5197314"/>
          <a:ext cx="6910023" cy="30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19</xdr:row>
      <xdr:rowOff>95253</xdr:rowOff>
    </xdr:from>
    <xdr:to>
      <xdr:col>11</xdr:col>
      <xdr:colOff>1212271</xdr:colOff>
      <xdr:row>71</xdr:row>
      <xdr:rowOff>155863</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105148</xdr:colOff>
      <xdr:row>47</xdr:row>
      <xdr:rowOff>97722</xdr:rowOff>
    </xdr:from>
    <xdr:to>
      <xdr:col>7</xdr:col>
      <xdr:colOff>294410</xdr:colOff>
      <xdr:row>62</xdr:row>
      <xdr:rowOff>155865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7829057" y="11839449"/>
          <a:ext cx="1072489" cy="2932961"/>
        </a:xfrm>
        <a:prstGeom prst="rect">
          <a:avLst/>
        </a:prstGeom>
        <a:noFill/>
        <a:ln>
          <a:noFill/>
        </a:ln>
        <a:extLst/>
      </xdr:spPr>
    </xdr:pic>
    <xdr:clientData/>
  </xdr:twoCellAnchor>
  <xdr:twoCellAnchor editAs="oneCell">
    <xdr:from>
      <xdr:col>4</xdr:col>
      <xdr:colOff>363682</xdr:colOff>
      <xdr:row>47</xdr:row>
      <xdr:rowOff>103912</xdr:rowOff>
    </xdr:from>
    <xdr:to>
      <xdr:col>5</xdr:col>
      <xdr:colOff>329046</xdr:colOff>
      <xdr:row>62</xdr:row>
      <xdr:rowOff>17319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403273" y="11845639"/>
          <a:ext cx="1333500" cy="2788225"/>
        </a:xfrm>
        <a:prstGeom prst="rect">
          <a:avLst/>
        </a:prstGeom>
        <a:noFill/>
        <a:extLst/>
      </xdr:spPr>
    </xdr:pic>
    <xdr:clientData/>
  </xdr:twoCellAnchor>
  <xdr:twoCellAnchor>
    <xdr:from>
      <xdr:col>0</xdr:col>
      <xdr:colOff>0</xdr:colOff>
      <xdr:row>0</xdr:row>
      <xdr:rowOff>0</xdr:rowOff>
    </xdr:from>
    <xdr:to>
      <xdr:col>12</xdr:col>
      <xdr:colOff>0</xdr:colOff>
      <xdr:row>1</xdr:row>
      <xdr:rowOff>51955</xdr:rowOff>
    </xdr:to>
    <xdr:sp macro="" textlink="">
      <xdr:nvSpPr>
        <xdr:cNvPr id="12" name="11 Rectángulo redondeado"/>
        <xdr:cNvSpPr/>
      </xdr:nvSpPr>
      <xdr:spPr>
        <a:xfrm>
          <a:off x="0" y="0"/>
          <a:ext cx="15828818" cy="12122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Sexo</a:t>
          </a:r>
        </a:p>
        <a:p>
          <a:pPr algn="ctr" eaLnBrk="1" fontAlgn="auto" latinLnBrk="0" hangingPunct="1"/>
          <a:r>
            <a:rPr lang="es-DO" sz="2000" b="1">
              <a:solidFill>
                <a:schemeClr val="lt1"/>
              </a:solidFill>
              <a:effectLst/>
              <a:latin typeface="+mn-lt"/>
              <a:ea typeface="+mn-ea"/>
              <a:cs typeface="+mn-cs"/>
            </a:rPr>
            <a:t>Enero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0.22046</cdr:x>
      <cdr:y>0.01995</cdr:y>
    </cdr:from>
    <cdr:to>
      <cdr:x>0.70157</cdr:x>
      <cdr:y>0.09583</cdr:y>
    </cdr:to>
    <cdr:sp macro="" textlink="">
      <cdr:nvSpPr>
        <cdr:cNvPr id="2" name="1 CuadroTexto"/>
        <cdr:cNvSpPr txBox="1"/>
      </cdr:nvSpPr>
      <cdr:spPr>
        <a:xfrm xmlns:a="http://schemas.openxmlformats.org/drawingml/2006/main">
          <a:off x="3432342" y="199155"/>
          <a:ext cx="7490423" cy="75756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000" b="1">
              <a:effectLst/>
              <a:latin typeface="+mn-lt"/>
              <a:ea typeface="+mn-ea"/>
              <a:cs typeface="+mn-cs"/>
            </a:rPr>
            <a:t>Seguro de Riesgos Laborales</a:t>
          </a:r>
          <a:endParaRPr lang="es-ES" sz="4000">
            <a:effectLst/>
          </a:endParaRPr>
        </a:p>
        <a:p xmlns:a="http://schemas.openxmlformats.org/drawingml/2006/main">
          <a:pPr algn="ctr" eaLnBrk="1" fontAlgn="auto" latinLnBrk="0" hangingPunct="1"/>
          <a:r>
            <a:rPr lang="es-DO" sz="2000" b="1">
              <a:effectLst/>
              <a:latin typeface="+mn-lt"/>
              <a:ea typeface="+mn-ea"/>
              <a:cs typeface="+mn-cs"/>
            </a:rPr>
            <a:t>Afiliación al SRL por Grupo de Edad y  Sexo</a:t>
          </a:r>
          <a:endParaRPr lang="es-ES" sz="4000">
            <a:effectLs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43</xdr:row>
      <xdr:rowOff>54429</xdr:rowOff>
    </xdr:from>
    <xdr:to>
      <xdr:col>13</xdr:col>
      <xdr:colOff>571500</xdr:colOff>
      <xdr:row>75</xdr:row>
      <xdr:rowOff>108858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Enero 2014 - Enero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0.04124</cdr:x>
      <cdr:y>0.9192</cdr:y>
    </cdr:from>
    <cdr:to>
      <cdr:x>0.43585</cdr:x>
      <cdr:y>0.96209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9374" y="5278242"/>
          <a:ext cx="5256755" cy="246258"/>
        </a:xfrm>
        <a:prstGeom xmlns:a="http://schemas.openxmlformats.org/drawingml/2006/main" prst="rect">
          <a:avLst/>
        </a:prstGeom>
      </cdr:spPr>
    </cdr:pic>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16</xdr:row>
      <xdr:rowOff>156576</xdr:rowOff>
    </xdr:from>
    <xdr:to>
      <xdr:col>9</xdr:col>
      <xdr:colOff>965548</xdr:colOff>
      <xdr:row>46</xdr:row>
      <xdr:rowOff>39146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Enero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INGRESOS y EGRESOS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centralizado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1">
              <a:solidFill>
                <a:schemeClr val="dk1"/>
              </a:solidFill>
              <a:effectLst/>
              <a:latin typeface="+mn-lt"/>
              <a:ea typeface="+mn-ea"/>
              <a:cs typeface="+mn-cs"/>
            </a:rPr>
            <a:t>),</a:t>
          </a:r>
          <a:r>
            <a:rPr lang="en-US" sz="1400" b="1" baseline="0">
              <a:solidFill>
                <a:schemeClr val="dk1"/>
              </a:solidFill>
              <a:effectLst/>
              <a:latin typeface="+mn-lt"/>
              <a:ea typeface="+mn-ea"/>
              <a:cs typeface="+mn-cs"/>
            </a:rPr>
            <a:t> e</a:t>
          </a:r>
          <a:r>
            <a:rPr lang="en-US" sz="1400"/>
            <a:t>l empleador 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5</xdr:row>
      <xdr:rowOff>22412</xdr:rowOff>
    </xdr:to>
    <xdr:sp macro="" textlink="">
      <xdr:nvSpPr>
        <xdr:cNvPr id="5" name="4 Rectángulo redondeado"/>
        <xdr:cNvSpPr/>
      </xdr:nvSpPr>
      <xdr:spPr>
        <a:xfrm>
          <a:off x="0" y="0"/>
          <a:ext cx="1130673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1</xdr:col>
      <xdr:colOff>11205</xdr:colOff>
      <xdr:row>1</xdr:row>
      <xdr:rowOff>100855</xdr:rowOff>
    </xdr:from>
    <xdr:to>
      <xdr:col>1</xdr:col>
      <xdr:colOff>583100</xdr:colOff>
      <xdr:row>3</xdr:row>
      <xdr:rowOff>100855</xdr:rowOff>
    </xdr:to>
    <xdr:pic>
      <xdr:nvPicPr>
        <xdr:cNvPr id="7"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773205" y="291355"/>
          <a:ext cx="5718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0" marR="0"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para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de Pensiones y de </a:t>
          </a:r>
          <a:r>
            <a:rPr lang="es-DO" sz="1400" b="0" baseline="0">
              <a:solidFill>
                <a:sysClr val="windowText" lastClr="000000"/>
              </a:solidFill>
              <a:latin typeface="+mn-lt"/>
              <a:ea typeface="+mn-ea"/>
              <a:cs typeface="+mn-cs"/>
            </a:rPr>
            <a:t>Salud y Riesgos Laborales y a la Administradora de Estancias Infantiles.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761999</xdr:colOff>
      <xdr:row>5</xdr:row>
      <xdr:rowOff>0</xdr:rowOff>
    </xdr:to>
    <xdr:sp macro="" textlink="">
      <xdr:nvSpPr>
        <xdr:cNvPr id="5" name="4 Rectángulo redondeado"/>
        <xdr:cNvSpPr/>
      </xdr:nvSpPr>
      <xdr:spPr>
        <a:xfrm>
          <a:off x="0" y="0"/>
          <a:ext cx="1129552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endParaRPr>
        </a:p>
        <a:p>
          <a:r>
            <a:rPr lang="es-DO" sz="1400" b="1">
              <a:solidFill>
                <a:sysClr val="windowText" lastClr="000000"/>
              </a:solidFill>
            </a:rPr>
            <a:t>Régimen</a:t>
          </a:r>
          <a:r>
            <a:rPr lang="es-DO" sz="1400" b="1" baseline="0">
              <a:solidFill>
                <a:sysClr val="windowText" lastClr="000000"/>
              </a:solidFill>
            </a:rPr>
            <a:t> Contributivo</a:t>
          </a:r>
          <a:r>
            <a:rPr lang="es-DO" sz="1400" b="1" baseline="0">
              <a:solidFill>
                <a:schemeClr val="accent3">
                  <a:lumMod val="50000"/>
                </a:schemeClr>
              </a:solidFill>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Porporciona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lvl="1"/>
          <a:endParaRPr lang="es-DO" sz="1200" b="1" i="0" u="none" strike="noStrike" baseline="0">
            <a:solidFill>
              <a:schemeClr val="dk1"/>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410615</xdr:colOff>
      <xdr:row>0</xdr:row>
      <xdr:rowOff>100853</xdr:rowOff>
    </xdr:from>
    <xdr:to>
      <xdr:col>1</xdr:col>
      <xdr:colOff>358588</xdr:colOff>
      <xdr:row>2</xdr:row>
      <xdr:rowOff>186430</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4752" b="15505"/>
        <a:stretch/>
      </xdr:blipFill>
      <xdr:spPr bwMode="auto">
        <a:xfrm>
          <a:off x="410615" y="100853"/>
          <a:ext cx="709973" cy="466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103910</xdr:colOff>
      <xdr:row>10</xdr:row>
      <xdr:rowOff>123265</xdr:rowOff>
    </xdr:from>
    <xdr:to>
      <xdr:col>7</xdr:col>
      <xdr:colOff>33618</xdr:colOff>
      <xdr:row>35</xdr:row>
      <xdr:rowOff>36453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89910" y="1949824"/>
          <a:ext cx="4524120" cy="4675688"/>
        </a:xfrm>
        <a:prstGeom prst="rect">
          <a:avLst/>
        </a:prstGeom>
        <a:noFill/>
        <a:ln>
          <a:noFill/>
        </a:ln>
      </xdr:spPr>
    </xdr:pic>
    <xdr:clientData/>
  </xdr:twoCellAnchor>
  <xdr:twoCellAnchor>
    <xdr:from>
      <xdr:col>0</xdr:col>
      <xdr:colOff>0</xdr:colOff>
      <xdr:row>5</xdr:row>
      <xdr:rowOff>22412</xdr:rowOff>
    </xdr:from>
    <xdr:to>
      <xdr:col>11</xdr:col>
      <xdr:colOff>784411</xdr:colOff>
      <xdr:row>42</xdr:row>
      <xdr:rowOff>112060</xdr:rowOff>
    </xdr:to>
    <xdr:sp macro="" textlink="">
      <xdr:nvSpPr>
        <xdr:cNvPr id="3" name="2 CuadroTexto"/>
        <xdr:cNvSpPr txBox="1"/>
      </xdr:nvSpPr>
      <xdr:spPr>
        <a:xfrm>
          <a:off x="0" y="896471"/>
          <a:ext cx="9905999" cy="7138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Desde el año 2003 hasta enero 2015  ha ingresado al Sistema Dominicano de la Seguridad Social (SDSS)  por concepto de recaudo ( incluyendo intereses recargo y multas), aportes del Gobierno Central y rendimiento de inversiones, la suma de RD$</a:t>
          </a:r>
          <a:r>
            <a:rPr lang="es-ES" sz="1400">
              <a:solidFill>
                <a:schemeClr val="dk1"/>
              </a:solidFill>
              <a:effectLst/>
              <a:latin typeface="+mn-lt"/>
              <a:ea typeface="+mn-ea"/>
              <a:cs typeface="+mn-cs"/>
            </a:rPr>
            <a:t>446,579,014,017.18 de</a:t>
          </a:r>
          <a:r>
            <a:rPr lang="es-DO" sz="1400">
              <a:solidFill>
                <a:schemeClr val="dk1"/>
              </a:solidFill>
              <a:effectLst/>
              <a:latin typeface="+mn-lt"/>
              <a:ea typeface="+mn-ea"/>
              <a:cs typeface="+mn-cs"/>
            </a:rPr>
            <a:t> los cuales el 91.3% (RD$</a:t>
          </a:r>
          <a:r>
            <a:rPr lang="es-ES" sz="1400">
              <a:solidFill>
                <a:schemeClr val="dk1"/>
              </a:solidFill>
              <a:effectLst/>
              <a:latin typeface="+mn-lt"/>
              <a:ea typeface="+mn-ea"/>
              <a:cs typeface="+mn-cs"/>
            </a:rPr>
            <a:t>407,545,578,220.76)</a:t>
          </a:r>
          <a:r>
            <a:rPr lang="es-DO" sz="1400">
              <a:solidFill>
                <a:schemeClr val="dk1"/>
              </a:solidFill>
              <a:effectLst/>
              <a:latin typeface="+mn-lt"/>
              <a:ea typeface="+mn-ea"/>
              <a:cs typeface="+mn-cs"/>
            </a:rPr>
            <a:t> pertenece al recaudo del Régimen Contributivo y el 7.4%  (RD$33,053,776,336.00 ) aportes del gobierno para  cubrir a los afiliados del Seguro Familiar de Salud del Régimen Subsidiado</a:t>
          </a:r>
          <a:r>
            <a:rPr lang="es-DO" sz="1400" baseline="0">
              <a:solidFill>
                <a:schemeClr val="dk1"/>
              </a:solidFill>
              <a:effectLst/>
              <a:latin typeface="+mn-lt"/>
              <a:ea typeface="+mn-ea"/>
              <a:cs typeface="+mn-cs"/>
            </a:rPr>
            <a:t>.</a:t>
          </a:r>
          <a:endParaRPr lang="es-DO" sz="1400">
            <a:solidFill>
              <a:schemeClr val="dk1"/>
            </a:solidFill>
            <a:effectLst/>
            <a:latin typeface="+mn-lt"/>
            <a:ea typeface="+mn-ea"/>
            <a:cs typeface="+mn-cs"/>
          </a:endParaRPr>
        </a:p>
        <a:p>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Los aportes del gobierno entre el año 2003 hasta enero 2015 ascienden a un monto de RD$35,139,701,475, constituido por  RD$33,053,776,336.00 para cubrir a los afiliados del Seguro Familiar de Salud del Régimen Subsidiado,  RD$400,000,000.00 para la cobertura del Fondo de Atenciones Médicas por Accidentes de Tránsito (FONAMAT) en el período comprendido entre septiembre 2007 y  diciembre 2009 y  RD$1,685,925,139.45  para cubrir la afiliación al Régimen Especial  Transitorio de salud de los pensionados del Ministerio de Hacienda.</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Del total recaudado desde julio 2003 a enero 2015, un  67.5%  (RD$ 274,923,471,535.87 ) proviene del sector privado y el  32.5%  o sea (RD$132,622,106,684.89 ) del sector público.  Del recaudo por origen de los aportes, el 28.3% proviene de los trabajadores (el 9.2% sectores público y el 19.1% privados y el 71.7% del sector empleador (23.3% público y el 48.4% privado), para el mismo período.  </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Para el período enero - diciembre 2014 los fondos ingresados al Sistema Dominicano de Seguridad Social (SDSS)  por concepto de recaudo  del Régimen Contributivo ascendieron a RD$69,920,892,914.54 y los  pagos a las diferentes entidades que lo componen para cubrir los diferentes seguros alcanzaron un monto total de RD$70,212,118,559.80.  En el mismo período, para el Régimen Subsidiado  se recibieron aportes del gobierno central  por la suma de RD$6,839,999,499.00 y se realizaron pago a SENASA por un monto de RD$7,378,610,518.96.  Es importante destacar que el déficit presentado en la cuenta de salud de ambos regímenes ha sido cubierto por los fondos acumulados en años anteriores en dichas cuentas, que han sido invertidos en diferentes instrumentos financieros o pagos extraordinario del gobierno central.</a:t>
          </a:r>
          <a:endParaRPr lang="es-ES" sz="14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chemeClr val="dk1"/>
            </a:solidFill>
            <a:effectLst/>
            <a:latin typeface="+mn-lt"/>
            <a:ea typeface="+mn-ea"/>
            <a:cs typeface="+mn-cs"/>
          </a:endParaRPr>
        </a:p>
      </xdr:txBody>
    </xdr:sp>
    <xdr:clientData/>
  </xdr:twoCellAnchor>
  <xdr:twoCellAnchor>
    <xdr:from>
      <xdr:col>0</xdr:col>
      <xdr:colOff>1</xdr:colOff>
      <xdr:row>0</xdr:row>
      <xdr:rowOff>0</xdr:rowOff>
    </xdr:from>
    <xdr:to>
      <xdr:col>12</xdr:col>
      <xdr:colOff>1</xdr:colOff>
      <xdr:row>4</xdr:row>
      <xdr:rowOff>33618</xdr:rowOff>
    </xdr:to>
    <xdr:sp macro="" textlink="">
      <xdr:nvSpPr>
        <xdr:cNvPr id="4" name="3 Rectángulo redondeado"/>
        <xdr:cNvSpPr/>
      </xdr:nvSpPr>
      <xdr:spPr>
        <a:xfrm>
          <a:off x="1" y="0"/>
          <a:ext cx="10858500"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425825</xdr:colOff>
      <xdr:row>0</xdr:row>
      <xdr:rowOff>145677</xdr:rowOff>
    </xdr:from>
    <xdr:to>
      <xdr:col>1</xdr:col>
      <xdr:colOff>319820</xdr:colOff>
      <xdr:row>3</xdr:row>
      <xdr:rowOff>11205</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25825" y="145677"/>
          <a:ext cx="655995" cy="43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18</xdr:row>
      <xdr:rowOff>143495</xdr:rowOff>
    </xdr:from>
    <xdr:to>
      <xdr:col>13</xdr:col>
      <xdr:colOff>1333500</xdr:colOff>
      <xdr:row>77</xdr:row>
      <xdr:rowOff>38100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xdr:colOff>
      <xdr:row>0</xdr:row>
      <xdr:rowOff>1214437</xdr:rowOff>
    </xdr:to>
    <xdr:sp macro="" textlink="">
      <xdr:nvSpPr>
        <xdr:cNvPr id="7" name="6 Rectángulo redondeado"/>
        <xdr:cNvSpPr/>
      </xdr:nvSpPr>
      <xdr:spPr>
        <a:xfrm>
          <a:off x="0" y="0"/>
          <a:ext cx="23360062" cy="12144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 Enero 2015</a:t>
          </a:r>
          <a:endParaRPr lang="es-DO" sz="3200">
            <a:effectLst/>
          </a:endParaRPr>
        </a:p>
      </xdr:txBody>
    </xdr:sp>
    <xdr:clientData/>
  </xdr:twoCellAnchor>
  <xdr:twoCellAnchor editAs="oneCell">
    <xdr:from>
      <xdr:col>0</xdr:col>
      <xdr:colOff>917864</xdr:colOff>
      <xdr:row>0</xdr:row>
      <xdr:rowOff>242455</xdr:rowOff>
    </xdr:from>
    <xdr:to>
      <xdr:col>1</xdr:col>
      <xdr:colOff>1006681</xdr:colOff>
      <xdr:row>0</xdr:row>
      <xdr:rowOff>994926</xdr:rowOff>
    </xdr:to>
    <xdr:pic>
      <xdr:nvPicPr>
        <xdr:cNvPr id="8"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864" y="242455"/>
          <a:ext cx="1093272"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17</xdr:row>
      <xdr:rowOff>32497</xdr:rowOff>
    </xdr:from>
    <xdr:to>
      <xdr:col>8</xdr:col>
      <xdr:colOff>600075</xdr:colOff>
      <xdr:row>39</xdr:row>
      <xdr:rowOff>99173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752475</xdr:colOff>
      <xdr:row>0</xdr:row>
      <xdr:rowOff>728381</xdr:rowOff>
    </xdr:to>
    <xdr:sp macro="" textlink="">
      <xdr:nvSpPr>
        <xdr:cNvPr id="6" name="6 Rectángulo redondeado"/>
        <xdr:cNvSpPr/>
      </xdr:nvSpPr>
      <xdr:spPr>
        <a:xfrm>
          <a:off x="0" y="0"/>
          <a:ext cx="10647269" cy="72838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Enero 2015</a:t>
          </a:r>
          <a:endParaRPr lang="es-DO" sz="2400">
            <a:effectLst/>
          </a:endParaRPr>
        </a:p>
      </xdr:txBody>
    </xdr:sp>
    <xdr:clientData/>
  </xdr:twoCellAnchor>
  <xdr:twoCellAnchor editAs="oneCell">
    <xdr:from>
      <xdr:col>0</xdr:col>
      <xdr:colOff>381000</xdr:colOff>
      <xdr:row>0</xdr:row>
      <xdr:rowOff>56031</xdr:rowOff>
    </xdr:from>
    <xdr:to>
      <xdr:col>1</xdr:col>
      <xdr:colOff>39996</xdr:colOff>
      <xdr:row>0</xdr:row>
      <xdr:rowOff>515471</xdr:rowOff>
    </xdr:to>
    <xdr:pic>
      <xdr:nvPicPr>
        <xdr:cNvPr id="4"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56031"/>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0.2458</cdr:x>
      <cdr:y>0.03132</cdr:y>
    </cdr:from>
    <cdr:to>
      <cdr:x>0.80842</cdr:x>
      <cdr:y>0.10514</cdr:y>
    </cdr:to>
    <cdr:sp macro="" textlink="">
      <cdr:nvSpPr>
        <cdr:cNvPr id="2" name="1 CuadroTexto"/>
        <cdr:cNvSpPr txBox="1"/>
      </cdr:nvSpPr>
      <cdr:spPr>
        <a:xfrm xmlns:a="http://schemas.openxmlformats.org/drawingml/2006/main">
          <a:off x="2505086" y="133344"/>
          <a:ext cx="5734083" cy="314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17</xdr:row>
      <xdr:rowOff>78440</xdr:rowOff>
    </xdr:from>
    <xdr:to>
      <xdr:col>9</xdr:col>
      <xdr:colOff>717177</xdr:colOff>
      <xdr:row>44</xdr:row>
      <xdr:rowOff>67794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661146</xdr:rowOff>
    </xdr:to>
    <xdr:sp macro="" textlink="">
      <xdr:nvSpPr>
        <xdr:cNvPr id="3" name="6 Rectángulo redondeado"/>
        <xdr:cNvSpPr/>
      </xdr:nvSpPr>
      <xdr:spPr>
        <a:xfrm>
          <a:off x="0" y="0"/>
          <a:ext cx="10948147" cy="6611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Enero 2015</a:t>
          </a:r>
          <a:endParaRPr lang="es-DO" sz="2400">
            <a:effectLst/>
          </a:endParaRPr>
        </a:p>
      </xdr:txBody>
    </xdr:sp>
    <xdr:clientData/>
  </xdr:twoCellAnchor>
  <xdr:twoCellAnchor editAs="oneCell">
    <xdr:from>
      <xdr:col>0</xdr:col>
      <xdr:colOff>324970</xdr:colOff>
      <xdr:row>0</xdr:row>
      <xdr:rowOff>67236</xdr:rowOff>
    </xdr:from>
    <xdr:to>
      <xdr:col>0</xdr:col>
      <xdr:colOff>1025059</xdr:colOff>
      <xdr:row>0</xdr:row>
      <xdr:rowOff>549089</xdr:rowOff>
    </xdr:to>
    <xdr:pic>
      <xdr:nvPicPr>
        <xdr:cNvPr id="4"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16</xdr:row>
      <xdr:rowOff>123265</xdr:rowOff>
    </xdr:from>
    <xdr:to>
      <xdr:col>8</xdr:col>
      <xdr:colOff>512109</xdr:colOff>
      <xdr:row>43</xdr:row>
      <xdr:rowOff>24653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317126</xdr:colOff>
      <xdr:row>40</xdr:row>
      <xdr:rowOff>39220</xdr:rowOff>
    </xdr:from>
    <xdr:to>
      <xdr:col>5</xdr:col>
      <xdr:colOff>3362</xdr:colOff>
      <xdr:row>41</xdr:row>
      <xdr:rowOff>161925</xdr:rowOff>
    </xdr:to>
    <xdr:sp macro="" textlink="">
      <xdr:nvSpPr>
        <xdr:cNvPr id="3" name="2 CuadroTexto"/>
        <xdr:cNvSpPr txBox="1"/>
      </xdr:nvSpPr>
      <xdr:spPr>
        <a:xfrm>
          <a:off x="317126" y="8059270"/>
          <a:ext cx="6896661" cy="31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Fuentes: </a:t>
          </a:r>
          <a:r>
            <a:rPr lang="es-DO" sz="1100"/>
            <a:t>TSS</a:t>
          </a:r>
        </a:p>
      </xdr:txBody>
    </xdr:sp>
    <xdr:clientData/>
  </xdr:twoCellAnchor>
  <xdr:twoCellAnchor>
    <xdr:from>
      <xdr:col>0</xdr:col>
      <xdr:colOff>0</xdr:colOff>
      <xdr:row>0</xdr:row>
      <xdr:rowOff>0</xdr:rowOff>
    </xdr:from>
    <xdr:to>
      <xdr:col>8</xdr:col>
      <xdr:colOff>1389529</xdr:colOff>
      <xdr:row>2</xdr:row>
      <xdr:rowOff>0</xdr:rowOff>
    </xdr:to>
    <xdr:sp macro="" textlink="">
      <xdr:nvSpPr>
        <xdr:cNvPr id="4" name="6 Rectángulo redondeado"/>
        <xdr:cNvSpPr/>
      </xdr:nvSpPr>
      <xdr:spPr>
        <a:xfrm>
          <a:off x="0" y="0"/>
          <a:ext cx="10477500" cy="6387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Aportes del Gobierno a la Seguridad Social</a:t>
          </a:r>
        </a:p>
        <a:p>
          <a:pPr algn="ctr" eaLnBrk="1" fontAlgn="auto" latinLnBrk="0" hangingPunct="1"/>
          <a:r>
            <a:rPr lang="es-DO" sz="1600" b="1">
              <a:solidFill>
                <a:schemeClr val="lt1"/>
              </a:solidFill>
              <a:effectLst/>
              <a:latin typeface="+mn-lt"/>
              <a:ea typeface="+mn-ea"/>
              <a:cs typeface="+mn-cs"/>
            </a:rPr>
            <a:t>Período: 2005 - Enero 2015  </a:t>
          </a:r>
          <a:endParaRPr lang="es-DO" sz="2400">
            <a:effectLst/>
          </a:endParaRPr>
        </a:p>
      </xdr:txBody>
    </xdr:sp>
    <xdr:clientData/>
  </xdr:twoCellAnchor>
  <xdr:twoCellAnchor editAs="oneCell">
    <xdr:from>
      <xdr:col>0</xdr:col>
      <xdr:colOff>313765</xdr:colOff>
      <xdr:row>0</xdr:row>
      <xdr:rowOff>67235</xdr:rowOff>
    </xdr:from>
    <xdr:to>
      <xdr:col>1</xdr:col>
      <xdr:colOff>100047</xdr:colOff>
      <xdr:row>1</xdr:row>
      <xdr:rowOff>358588</xdr:rowOff>
    </xdr:to>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3765" y="67235"/>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549089</xdr:colOff>
      <xdr:row>5</xdr:row>
      <xdr:rowOff>99878</xdr:rowOff>
    </xdr:from>
    <xdr:to>
      <xdr:col>7</xdr:col>
      <xdr:colOff>120519</xdr:colOff>
      <xdr:row>32</xdr:row>
      <xdr:rowOff>37515</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73089" y="1287702"/>
          <a:ext cx="4423577" cy="5081137"/>
        </a:xfrm>
        <a:prstGeom prst="rect">
          <a:avLst/>
        </a:prstGeom>
        <a:noFill/>
        <a:ln>
          <a:noFill/>
        </a:ln>
      </xdr:spPr>
    </xdr:pic>
    <xdr:clientData/>
  </xdr:twoCellAnchor>
  <xdr:twoCellAnchor>
    <xdr:from>
      <xdr:col>0</xdr:col>
      <xdr:colOff>1</xdr:colOff>
      <xdr:row>0</xdr:row>
      <xdr:rowOff>0</xdr:rowOff>
    </xdr:from>
    <xdr:to>
      <xdr:col>13</xdr:col>
      <xdr:colOff>0</xdr:colOff>
      <xdr:row>2</xdr:row>
      <xdr:rowOff>244928</xdr:rowOff>
    </xdr:to>
    <xdr:sp macro="" textlink="">
      <xdr:nvSpPr>
        <xdr:cNvPr id="2" name="3 Rectángulo redondeado"/>
        <xdr:cNvSpPr/>
      </xdr:nvSpPr>
      <xdr:spPr>
        <a:xfrm>
          <a:off x="1" y="0"/>
          <a:ext cx="9905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0</xdr:colOff>
      <xdr:row>2</xdr:row>
      <xdr:rowOff>256760</xdr:rowOff>
    </xdr:from>
    <xdr:to>
      <xdr:col>12</xdr:col>
      <xdr:colOff>728381</xdr:colOff>
      <xdr:row>46</xdr:row>
      <xdr:rowOff>134470</xdr:rowOff>
    </xdr:to>
    <xdr:sp macro="" textlink="">
      <xdr:nvSpPr>
        <xdr:cNvPr id="3" name="CuadroTexto 2"/>
        <xdr:cNvSpPr txBox="1"/>
      </xdr:nvSpPr>
      <xdr:spPr>
        <a:xfrm>
          <a:off x="0" y="794642"/>
          <a:ext cx="9872381" cy="8338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Desde que inició el Sistema de la Seguridad Social en noviembre de 2002 para el Régimen Subsidiado y en julio de 2003  para el Régimen Contributivo hasta enero de 2015, los egresos del SDSS ascienden a  RD$441,973,328,672.19, los cuales han sido desembolsado a diferentes entidades que componen el sistema, como se detalla a continuación:</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Los fondos pagados al Seguro Familiar de Salud (SFS) del RC en el período comprendido entre septiembre de 2007 fecha en que inició dicho seguro, hasta enero de 2015 asciende a RD$169,896,406,779.90, de los cuales un 93.8% fue asignado para el cuidado de la salud, 0.7%  para cubrir el Fondo Nacional de Atenciones Médicas por Accidentes de Tránsito (FONAMAT),  un  4.3% fue asignado a la Cuenta de Subsidios (Enfermedad Común, Maternidad y Lactancia),</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0.6% pagado como comisión a SISALRIL y por último  un 0.5% destinado para cubrir los servicios de las Estancias Infantiles los cuales iniciaron en junio de 2009.  Los fondos desembolsado para el SFS del RC en el año 2014 fueron superiores a los del 2013 en un 10.81%.</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enero 2015 fue de RD$2,733,025,131.85, distribuidos de la siguiente manera: el 78% del dinero fue pagado a las cuatro ARS que poseen el mayor número de afiliados, son ellas, ARS Humano 34.94%; SENASA Contributivo 14.54%; Palic Salud 15.57%; Universal 12.48%),  el restante 22.46% de los fondos se distribuye entre las veinte ARS  restantes.   El monto total pagado a las ARS desde  2007- enero 2015 alcanza la suma de  RD$ 160,565,691,529.29 para cubrir el Plan de Servicios de Salud  (PDSS) y el Fondo de Atenciones Médicas por Accidentes  de Tránsito (FONAMAT).</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En cuanto a las inversiones de los fondos acumulados en  la Cuenta del Cuidado de la Salud del RC, al mes de enero 2015, RD$5,812,578,854.34 están invertidos diferentes instrumentos financieros.  Con relación al Seguro Familiar de Salud del Régimen Subsidiado, la Ley 87-01 establece en su artículo 7 debe ser financiado fundamentalmente por el Estado Dominicano.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Desde el inicio de este seguro en noviembre de 2002 hasta  el mes de enero 2015 el gobierno ha transferido al sistema la suma de RD$33,053,776,336.00  según</a:t>
          </a:r>
          <a:r>
            <a:rPr lang="es-DO" sz="1400" baseline="0">
              <a:solidFill>
                <a:schemeClr val="dk1"/>
              </a:solidFill>
              <a:effectLst/>
              <a:latin typeface="+mn-lt"/>
              <a:ea typeface="+mn-ea"/>
              <a:cs typeface="+mn-cs"/>
            </a:rPr>
            <a:t> lo presupuestado, </a:t>
          </a:r>
          <a:r>
            <a:rPr lang="es-DO" sz="1400">
              <a:solidFill>
                <a:schemeClr val="dk1"/>
              </a:solidFill>
              <a:effectLst/>
              <a:latin typeface="+mn-lt"/>
              <a:ea typeface="+mn-ea"/>
              <a:cs typeface="+mn-cs"/>
            </a:rPr>
            <a:t> para cubrir la afiliación al Seguro Familiar de Salud de los ciudadanos con menos ingresos del país, así como las personas que viven con discapacidad, personas VIH positivas y  trabajadores por cuenta propia con ingresos inestables e inferiores al salario mínimo nacional de este monto un total de  RD$</a:t>
          </a:r>
          <a:r>
            <a:rPr lang="es-ES" sz="1400">
              <a:solidFill>
                <a:schemeClr val="dk1"/>
              </a:solidFill>
              <a:effectLst/>
              <a:latin typeface="+mn-lt"/>
              <a:ea typeface="+mn-ea"/>
              <a:cs typeface="+mn-cs"/>
            </a:rPr>
            <a:t> 33,177,981,920.49 </a:t>
          </a:r>
          <a:r>
            <a:rPr lang="es-DO" sz="1400">
              <a:solidFill>
                <a:schemeClr val="dk1"/>
              </a:solidFill>
              <a:effectLst/>
              <a:latin typeface="+mn-lt"/>
              <a:ea typeface="+mn-ea"/>
              <a:cs typeface="+mn-cs"/>
            </a:rPr>
            <a:t> ha sido desembolsado a SENASA  (la cual es la ARS estatal que afilia a las personas que pertenecen al Régimen Subsidiado).  El déficit  de esta cuenta ha sido cubierto con los rendimientos obtenidos de los fondos acumulados en años anteriores y los aportes extraordinario.</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El Régimen Especial transitorio de Salud de implemento  en junio 2009 para el servicio de salud de los pensionados y jubilados afiliados, establecido por el decreto 342-09.  De julio 2010 hasta enero 2015 el monto total pagado a las Administradoras de Riesgos de Salud (ARS)  (Salud Segura, SEMMA y SENASA), fue de RD$1,430,478,445.52. A enero 2015, se pagó un total de RD$ </a:t>
          </a:r>
          <a:r>
            <a:rPr lang="es-ES" sz="1400">
              <a:solidFill>
                <a:schemeClr val="dk1"/>
              </a:solidFill>
              <a:effectLst/>
              <a:latin typeface="+mn-lt"/>
              <a:ea typeface="+mn-ea"/>
              <a:cs typeface="+mn-cs"/>
            </a:rPr>
            <a:t>27,894,333.24  de</a:t>
          </a:r>
          <a:r>
            <a:rPr lang="es-DO" sz="1400">
              <a:solidFill>
                <a:schemeClr val="dk1"/>
              </a:solidFill>
              <a:effectLst/>
              <a:latin typeface="+mn-lt"/>
              <a:ea typeface="+mn-ea"/>
              <a:cs typeface="+mn-cs"/>
            </a:rPr>
            <a:t> los cuales el 39.1%  fue pagado  a la ARS Salud Segura; el 48.4% a SENASA y el 12.5% a SEMMA.  </a:t>
          </a: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 </a:t>
          </a:r>
        </a:p>
        <a:p>
          <a:pPr eaLnBrk="1" fontAlgn="auto" latinLnBrk="0" hangingPunct="1"/>
          <a:endParaRPr lang="es-DO" sz="1200" b="0" baseline="0">
            <a:solidFill>
              <a:schemeClr val="dk1"/>
            </a:solidFill>
            <a:effectLst/>
            <a:latin typeface="+mn-lt"/>
            <a:ea typeface="+mn-ea"/>
            <a:cs typeface="+mn-cs"/>
          </a:endParaRPr>
        </a:p>
      </xdr:txBody>
    </xdr:sp>
    <xdr:clientData/>
  </xdr:twoCellAnchor>
  <xdr:twoCellAnchor editAs="oneCell">
    <xdr:from>
      <xdr:col>0</xdr:col>
      <xdr:colOff>381002</xdr:colOff>
      <xdr:row>0</xdr:row>
      <xdr:rowOff>132523</xdr:rowOff>
    </xdr:from>
    <xdr:to>
      <xdr:col>1</xdr:col>
      <xdr:colOff>259400</xdr:colOff>
      <xdr:row>2</xdr:row>
      <xdr:rowOff>41414</xdr:rowOff>
    </xdr:to>
    <xdr:pic>
      <xdr:nvPicPr>
        <xdr:cNvPr id="5" name="5 Imagen" descr="logo_2x4.bmp"/>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2" y="132523"/>
          <a:ext cx="640398" cy="43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10</xdr:row>
      <xdr:rowOff>88446</xdr:rowOff>
    </xdr:from>
    <xdr:to>
      <xdr:col>12</xdr:col>
      <xdr:colOff>357187</xdr:colOff>
      <xdr:row>56</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23813</xdr:rowOff>
    </xdr:from>
    <xdr:to>
      <xdr:col>12</xdr:col>
      <xdr:colOff>502227</xdr:colOff>
      <xdr:row>0</xdr:row>
      <xdr:rowOff>1270722</xdr:rowOff>
    </xdr:to>
    <xdr:sp macro="" textlink="">
      <xdr:nvSpPr>
        <xdr:cNvPr id="5" name="4 Rectángulo redondeado"/>
        <xdr:cNvSpPr/>
      </xdr:nvSpPr>
      <xdr:spPr>
        <a:xfrm>
          <a:off x="0" y="23813"/>
          <a:ext cx="24886227"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Enero 2015</a:t>
          </a:r>
          <a:endParaRPr lang="es-DO" sz="3200">
            <a:effectLst/>
          </a:endParaRPr>
        </a:p>
      </xdr:txBody>
    </xdr:sp>
    <xdr:clientData/>
  </xdr:twoCellAnchor>
  <xdr:twoCellAnchor editAs="oneCell">
    <xdr:from>
      <xdr:col>0</xdr:col>
      <xdr:colOff>1047750</xdr:colOff>
      <xdr:row>0</xdr:row>
      <xdr:rowOff>231321</xdr:rowOff>
    </xdr:from>
    <xdr:to>
      <xdr:col>0</xdr:col>
      <xdr:colOff>1960879</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12</xdr:col>
      <xdr:colOff>750793</xdr:colOff>
      <xdr:row>37</xdr:row>
      <xdr:rowOff>156882</xdr:rowOff>
    </xdr:to>
    <xdr:sp macro="" textlink="">
      <xdr:nvSpPr>
        <xdr:cNvPr id="2" name="1 CuadroTexto"/>
        <xdr:cNvSpPr txBox="1"/>
      </xdr:nvSpPr>
      <xdr:spPr>
        <a:xfrm>
          <a:off x="0" y="2"/>
          <a:ext cx="9995646" cy="731743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Las estadísticas procesadas reflejan que al mes de enero 2015 se contabilizó  un total de 65,877 unidades activas, se observa que desde diciembre 2008 a enero 2015 dicho registro creció 1.6 veces,  el crecimiento promedio anual es de 6.9%.  La cantidad total de empleados afiliados activos al SDSS presenta un comportamiento  similar al de las empresas, alcanzando un total de 1,654,484 en enero de 2015.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Las cifras dan cuenta que la mayoría de las entidades registradas  tienen entre uno y cinco empleados, representando el 58.4% del total de organismos activos. Dicho grupo, constituido por 38,487 unidades, cuenta con un total de 98,303 trabajadores, lo que representa el 5.9% de los asalariados afiliados. Mientras que  el número de empresas que poseen de 1 a 20 empleados representa un 87.24% del total.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Es importante destacar que existen tres  (3) instituciones de gran tamaño, que emplean un total de 229,071 personas, y su empleomanía representa el 13.8%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 El salario promedio registrado por las empresas por sector económico al mes de enero de 2015 es de RD$ 16,524.00 para el sector privado;  RD$ 20,829.00  para el sector público y de RD$ 23,807.00 para el público centralizado. </a:t>
          </a:r>
        </a:p>
        <a:p>
          <a:endParaRPr lang="es-ES" sz="1400">
            <a:solidFill>
              <a:schemeClr val="dk1"/>
            </a:solidFill>
            <a:effectLst/>
            <a:latin typeface="+mn-lt"/>
            <a:ea typeface="+mn-ea"/>
            <a:cs typeface="+mn-cs"/>
          </a:endParaRPr>
        </a:p>
        <a:p>
          <a:r>
            <a:rPr lang="es-DO" sz="1400">
              <a:solidFill>
                <a:schemeClr val="dk1"/>
              </a:solidFill>
              <a:effectLst/>
              <a:latin typeface="+mn-lt"/>
              <a:ea typeface="+mn-ea"/>
              <a:cs typeface="+mn-cs"/>
            </a:rPr>
            <a:t>De acuerdo a la composición por edad de los afiliados al SDSS, al mes de enero de 2015 la mayor cantidad se concentra en el tramo de los grupos que se sitúan  que se sitúa entre los 20 y los 44 años, los cuales representan 68.1% .Por otro lado aunque la participación de los hombres es mayor que las mujeres en todos los rangos de edad, entre las edades de 20 a 59 años el índice de masculinidad es en promedio de 1.26, en los grupos de 60 y más es de 2.0.</a:t>
          </a: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444233</xdr:colOff>
      <xdr:row>0</xdr:row>
      <xdr:rowOff>123265</xdr:rowOff>
    </xdr:from>
    <xdr:to>
      <xdr:col>1</xdr:col>
      <xdr:colOff>392206</xdr:colOff>
      <xdr:row>3</xdr:row>
      <xdr:rowOff>18342</xdr:rowOff>
    </xdr:to>
    <xdr:pic>
      <xdr:nvPicPr>
        <xdr:cNvPr id="4"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4752" b="15505"/>
        <a:stretch/>
      </xdr:blipFill>
      <xdr:spPr bwMode="auto">
        <a:xfrm>
          <a:off x="444233" y="123265"/>
          <a:ext cx="709973" cy="466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18</xdr:row>
      <xdr:rowOff>231322</xdr:rowOff>
    </xdr:from>
    <xdr:to>
      <xdr:col>10</xdr:col>
      <xdr:colOff>1224642</xdr:colOff>
      <xdr:row>45</xdr:row>
      <xdr:rowOff>95251</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1</xdr:row>
      <xdr:rowOff>40822</xdr:rowOff>
    </xdr:to>
    <xdr:sp macro="" textlink="">
      <xdr:nvSpPr>
        <xdr:cNvPr id="4" name="3 Rectángulo redondeado"/>
        <xdr:cNvSpPr/>
      </xdr:nvSpPr>
      <xdr:spPr>
        <a:xfrm>
          <a:off x="0" y="1"/>
          <a:ext cx="15348856"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a:t>
          </a:r>
          <a:r>
            <a:rPr lang="es-DO" sz="1600" b="1">
              <a:solidFill>
                <a:schemeClr val="lt1"/>
              </a:solidFill>
              <a:effectLst/>
              <a:latin typeface="+mn-lt"/>
              <a:ea typeface="+mn-ea"/>
              <a:cs typeface="+mn-cs"/>
            </a:rPr>
            <a:t>SFS</a:t>
          </a:r>
          <a:r>
            <a:rPr lang="es-DO" sz="1800" b="1">
              <a:solidFill>
                <a:schemeClr val="lt1"/>
              </a:solidFill>
              <a:effectLst/>
              <a:latin typeface="+mn-lt"/>
              <a:ea typeface="+mn-ea"/>
              <a:cs typeface="+mn-cs"/>
            </a:rPr>
            <a:t> del RC</a:t>
          </a:r>
        </a:p>
        <a:p>
          <a:pPr algn="ctr" eaLnBrk="1" fontAlgn="auto" latinLnBrk="0" hangingPunct="1"/>
          <a:r>
            <a:rPr lang="es-DO" sz="1800" b="1">
              <a:solidFill>
                <a:schemeClr val="lt1"/>
              </a:solidFill>
              <a:effectLst/>
              <a:latin typeface="+mn-lt"/>
              <a:ea typeface="+mn-ea"/>
              <a:cs typeface="+mn-cs"/>
            </a:rPr>
            <a:t>Período: Enero 2014 - Enero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xdr:colOff>
      <xdr:row>34</xdr:row>
      <xdr:rowOff>56030</xdr:rowOff>
    </xdr:from>
    <xdr:to>
      <xdr:col>10</xdr:col>
      <xdr:colOff>987136</xdr:colOff>
      <xdr:row>81</xdr:row>
      <xdr:rowOff>34635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33618</xdr:colOff>
      <xdr:row>1</xdr:row>
      <xdr:rowOff>22412</xdr:rowOff>
    </xdr:to>
    <xdr:sp macro="" textlink="">
      <xdr:nvSpPr>
        <xdr:cNvPr id="4" name="3 Rectángulo redondeado"/>
        <xdr:cNvSpPr/>
      </xdr:nvSpPr>
      <xdr:spPr>
        <a:xfrm>
          <a:off x="0" y="0"/>
          <a:ext cx="15172765" cy="1064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ARS del SFS del RC</a:t>
          </a:r>
        </a:p>
        <a:p>
          <a:pPr algn="ctr" eaLnBrk="1" fontAlgn="auto" latinLnBrk="0" hangingPunct="1"/>
          <a:r>
            <a:rPr lang="es-DO" sz="1600" b="1">
              <a:solidFill>
                <a:schemeClr val="lt1"/>
              </a:solidFill>
              <a:effectLst/>
              <a:latin typeface="+mn-lt"/>
              <a:ea typeface="+mn-ea"/>
              <a:cs typeface="+mn-cs"/>
            </a:rPr>
            <a:t>Período:  Septiembre 2007 -  Enero 2015</a:t>
          </a:r>
          <a:endParaRPr lang="es-DO" sz="2400">
            <a:effectLst/>
          </a:endParaRPr>
        </a:p>
      </xdr:txBody>
    </xdr:sp>
    <xdr:clientData/>
  </xdr:twoCellAnchor>
  <xdr:twoCellAnchor editAs="oneCell">
    <xdr:from>
      <xdr:col>0</xdr:col>
      <xdr:colOff>851647</xdr:colOff>
      <xdr:row>0</xdr:row>
      <xdr:rowOff>201706</xdr:rowOff>
    </xdr:from>
    <xdr:to>
      <xdr:col>0</xdr:col>
      <xdr:colOff>1581514</xdr:colOff>
      <xdr:row>0</xdr:row>
      <xdr:rowOff>683560</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0.96258</cdr:y>
    </cdr:from>
    <cdr:to>
      <cdr:x>0.21844</cdr:x>
      <cdr:y>0.99793</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19658" y="6315840"/>
          <a:ext cx="1046698" cy="231918"/>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0.38102</cdr:x>
      <cdr:y>0.10638</cdr:y>
    </cdr:from>
    <cdr:to>
      <cdr:x>0.40337</cdr:x>
      <cdr:y>0.11998</cdr:y>
    </cdr:to>
    <cdr:sp macro="" textlink="">
      <cdr:nvSpPr>
        <cdr:cNvPr id="8" name="7 Rectángulo"/>
        <cdr:cNvSpPr/>
      </cdr:nvSpPr>
      <cdr:spPr>
        <a:xfrm xmlns:a="http://schemas.openxmlformats.org/drawingml/2006/main">
          <a:off x="5732972" y="736167"/>
          <a:ext cx="336288" cy="94114"/>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0.40164</cdr:x>
      <cdr:y>0.09201</cdr:y>
    </cdr:from>
    <cdr:to>
      <cdr:x>0.66773</cdr:x>
      <cdr:y>0.12697</cdr:y>
    </cdr:to>
    <cdr:sp macro="" textlink="">
      <cdr:nvSpPr>
        <cdr:cNvPr id="9" name="8 CuadroTexto"/>
        <cdr:cNvSpPr txBox="1"/>
      </cdr:nvSpPr>
      <cdr:spPr>
        <a:xfrm xmlns:a="http://schemas.openxmlformats.org/drawingml/2006/main">
          <a:off x="5405785" y="844526"/>
          <a:ext cx="3581331" cy="3208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sz="1100"/>
            <a:t> ARS de Autogestión                                       Ya no existen    </a:t>
          </a:r>
        </a:p>
      </cdr:txBody>
    </cdr:sp>
  </cdr:relSizeAnchor>
  <cdr:relSizeAnchor xmlns:cdr="http://schemas.openxmlformats.org/drawingml/2006/chartDrawing">
    <cdr:from>
      <cdr:x>0.54289</cdr:x>
      <cdr:y>0.1044</cdr:y>
    </cdr:from>
    <cdr:to>
      <cdr:x>0.56429</cdr:x>
      <cdr:y>0.11763</cdr:y>
    </cdr:to>
    <cdr:sp macro="" textlink="">
      <cdr:nvSpPr>
        <cdr:cNvPr id="10" name="9 Rectángulo"/>
        <cdr:cNvSpPr/>
      </cdr:nvSpPr>
      <cdr:spPr>
        <a:xfrm xmlns:a="http://schemas.openxmlformats.org/drawingml/2006/main" flipH="1" flipV="1">
          <a:off x="8168489" y="722463"/>
          <a:ext cx="322065" cy="9152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0.00338</cdr:x>
      <cdr:y>0.00734</cdr:y>
    </cdr:from>
    <cdr:to>
      <cdr:x>0.02571</cdr:x>
      <cdr:y>0.02064</cdr:y>
    </cdr:to>
    <cdr:sp macro="" textlink="">
      <cdr:nvSpPr>
        <cdr:cNvPr id="12" name="7 Rectángulo"/>
        <cdr:cNvSpPr/>
      </cdr:nvSpPr>
      <cdr:spPr>
        <a:xfrm xmlns:a="http://schemas.openxmlformats.org/drawingml/2006/main">
          <a:off x="50800" y="50800"/>
          <a:ext cx="336106" cy="9205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xdr:row>
      <xdr:rowOff>149679</xdr:rowOff>
    </xdr:from>
    <xdr:to>
      <xdr:col>11</xdr:col>
      <xdr:colOff>585107</xdr:colOff>
      <xdr:row>50</xdr:row>
      <xdr:rowOff>136071</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12</xdr:col>
      <xdr:colOff>1</xdr:colOff>
      <xdr:row>0</xdr:row>
      <xdr:rowOff>1088570</xdr:rowOff>
    </xdr:to>
    <xdr:sp macro="" textlink="">
      <xdr:nvSpPr>
        <xdr:cNvPr id="4" name="3 Rectángulo redondeado"/>
        <xdr:cNvSpPr/>
      </xdr:nvSpPr>
      <xdr:spPr>
        <a:xfrm>
          <a:off x="1" y="0"/>
          <a:ext cx="1495425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a:solidFill>
                <a:schemeClr val="lt1"/>
              </a:solidFill>
              <a:effectLst/>
              <a:latin typeface="+mn-lt"/>
              <a:ea typeface="+mn-ea"/>
              <a:cs typeface="+mn-cs"/>
            </a:rPr>
            <a:t>Enero 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0.05316</cdr:x>
      <cdr:y>0.9549</cdr:y>
    </cdr:from>
    <cdr:to>
      <cdr:x>0.25951</cdr:x>
      <cdr:y>0.98886</cdr:y>
    </cdr:to>
    <cdr:sp macro="" textlink="">
      <cdr:nvSpPr>
        <cdr:cNvPr id="2" name="1 CuadroTexto"/>
        <cdr:cNvSpPr txBox="1"/>
      </cdr:nvSpPr>
      <cdr:spPr>
        <a:xfrm xmlns:a="http://schemas.openxmlformats.org/drawingml/2006/main">
          <a:off x="608218" y="9609018"/>
          <a:ext cx="2360894" cy="3418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7</xdr:row>
      <xdr:rowOff>149678</xdr:rowOff>
    </xdr:from>
    <xdr:to>
      <xdr:col>9</xdr:col>
      <xdr:colOff>625929</xdr:colOff>
      <xdr:row>42</xdr:row>
      <xdr:rowOff>81641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12</xdr:row>
      <xdr:rowOff>118381</xdr:rowOff>
    </xdr:from>
    <xdr:to>
      <xdr:col>10</xdr:col>
      <xdr:colOff>544285</xdr:colOff>
      <xdr:row>49</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1020536</xdr:colOff>
      <xdr:row>0</xdr:row>
      <xdr:rowOff>884464</xdr:rowOff>
    </xdr:to>
    <xdr:sp macro="" textlink="">
      <xdr:nvSpPr>
        <xdr:cNvPr id="4" name="3 Rectángulo redondeado"/>
        <xdr:cNvSpPr/>
      </xdr:nvSpPr>
      <xdr:spPr>
        <a:xfrm>
          <a:off x="0" y="0"/>
          <a:ext cx="1201510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a:t>
          </a:r>
        </a:p>
        <a:p>
          <a:pPr algn="ctr" eaLnBrk="1" fontAlgn="auto" latinLnBrk="0" hangingPunct="1"/>
          <a:r>
            <a:rPr lang="es-DO" sz="1800" b="1">
              <a:solidFill>
                <a:schemeClr val="lt1"/>
              </a:solidFill>
              <a:effectLst/>
              <a:latin typeface="+mn-lt"/>
              <a:ea typeface="+mn-ea"/>
              <a:cs typeface="+mn-cs"/>
            </a:rPr>
            <a:t> Enero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17</xdr:row>
      <xdr:rowOff>78440</xdr:rowOff>
    </xdr:from>
    <xdr:to>
      <xdr:col>11</xdr:col>
      <xdr:colOff>930649</xdr:colOff>
      <xdr:row>46</xdr:row>
      <xdr:rowOff>78441</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13607</xdr:colOff>
      <xdr:row>1</xdr:row>
      <xdr:rowOff>54428</xdr:rowOff>
    </xdr:to>
    <xdr:sp macro="" textlink="">
      <xdr:nvSpPr>
        <xdr:cNvPr id="4" name="3 Rectángulo redondeado"/>
        <xdr:cNvSpPr/>
      </xdr:nvSpPr>
      <xdr:spPr>
        <a:xfrm>
          <a:off x="0" y="27214"/>
          <a:ext cx="14695714"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2003 -  Enero 2015</a:t>
          </a:r>
          <a:endParaRPr lang="es-DO" sz="2800">
            <a:effectLst/>
          </a:endParaRPr>
        </a:p>
      </xdr:txBody>
    </xdr:sp>
    <xdr:clientData/>
  </xdr:twoCellAnchor>
  <xdr:twoCellAnchor editAs="oneCell">
    <xdr:from>
      <xdr:col>0</xdr:col>
      <xdr:colOff>476250</xdr:colOff>
      <xdr:row>0</xdr:row>
      <xdr:rowOff>258536</xdr:rowOff>
    </xdr:from>
    <xdr:to>
      <xdr:col>1</xdr:col>
      <xdr:colOff>332815</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183511</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183511</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del SFS del RC en el</a:t>
          </a:r>
          <a:r>
            <a:rPr lang="es-DO" sz="1800" b="1" baseline="0">
              <a:solidFill>
                <a:schemeClr val="lt1"/>
              </a:solidFill>
              <a:effectLst/>
              <a:latin typeface="+mn-lt"/>
              <a:ea typeface="+mn-ea"/>
              <a:cs typeface="+mn-cs"/>
            </a:rPr>
            <a:t> RS</a:t>
          </a:r>
          <a:endParaRPr lang="es-DO" sz="1800" b="1">
            <a:solidFill>
              <a:schemeClr val="lt1"/>
            </a:solidFill>
            <a:effectLst/>
            <a:latin typeface="+mn-lt"/>
            <a:ea typeface="+mn-ea"/>
            <a:cs typeface="+mn-cs"/>
          </a:endParaRPr>
        </a:p>
        <a:p>
          <a:pPr algn="ctr" eaLnBrk="1" fontAlgn="auto" latinLnBrk="0" hangingPunct="1"/>
          <a:r>
            <a:rPr lang="es-DO" sz="1400" b="1">
              <a:solidFill>
                <a:schemeClr val="lt1"/>
              </a:solidFill>
              <a:effectLst/>
              <a:latin typeface="+mn-lt"/>
              <a:ea typeface="+mn-ea"/>
              <a:cs typeface="+mn-cs"/>
            </a:rPr>
            <a:t>Período: Enero 2014 - Enero 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Copia%20de%20Boletin%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cell r="C14">
            <v>1376966</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row r="14">
          <cell r="D14">
            <v>31032</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9.xml"/><Relationship Id="rId1" Type="http://schemas.openxmlformats.org/officeDocument/2006/relationships/printerSettings" Target="../printerSettings/printerSettings102.bin"/><Relationship Id="rId4" Type="http://schemas.openxmlformats.org/officeDocument/2006/relationships/comments" Target="../comments7.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8.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0.xml"/><Relationship Id="rId1" Type="http://schemas.openxmlformats.org/officeDocument/2006/relationships/printerSettings" Target="../printerSettings/printerSettings62.bin"/><Relationship Id="rId4"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0.xml"/><Relationship Id="rId1" Type="http://schemas.openxmlformats.org/officeDocument/2006/relationships/printerSettings" Target="../printerSettings/printerSettings76.bin"/><Relationship Id="rId4" Type="http://schemas.openxmlformats.org/officeDocument/2006/relationships/comments" Target="../comments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6.xml"/><Relationship Id="rId1" Type="http://schemas.openxmlformats.org/officeDocument/2006/relationships/printerSettings" Target="../printerSettings/printerSettings87.bin"/><Relationship Id="rId4" Type="http://schemas.openxmlformats.org/officeDocument/2006/relationships/comments" Target="../comments4.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0.xml"/><Relationship Id="rId1" Type="http://schemas.openxmlformats.org/officeDocument/2006/relationships/printerSettings" Target="../printerSettings/printerSettings95.bin"/><Relationship Id="rId4" Type="http://schemas.openxmlformats.org/officeDocument/2006/relationships/comments" Target="../comments5.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2.xml"/><Relationship Id="rId1" Type="http://schemas.openxmlformats.org/officeDocument/2006/relationships/printerSettings" Target="../printerSettings/printerSettings96.bin"/><Relationship Id="rId4" Type="http://schemas.openxmlformats.org/officeDocument/2006/relationships/comments" Target="../comments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view="pageBreakPreview" topLeftCell="D16" zoomScale="40" zoomScaleNormal="100" zoomScaleSheetLayoutView="40" workbookViewId="0">
      <selection activeCell="U64" sqref="U64"/>
    </sheetView>
  </sheetViews>
  <sheetFormatPr baseColWidth="10" defaultColWidth="15.140625" defaultRowHeight="15"/>
  <cols>
    <col min="1" max="1" width="17.28515625" style="84" customWidth="1"/>
    <col min="2" max="5" width="15.140625" style="84"/>
    <col min="6" max="6" width="22.28515625" style="84" customWidth="1"/>
    <col min="7" max="7" width="15.140625" style="84"/>
    <col min="8" max="8" width="19.85546875" style="84" customWidth="1"/>
    <col min="9" max="10" width="15.140625" style="84"/>
    <col min="11" max="11" width="24.28515625" style="84" customWidth="1"/>
    <col min="12" max="12" width="16.42578125" style="84" customWidth="1"/>
    <col min="13" max="13" width="18" style="84" customWidth="1"/>
    <col min="14" max="14" width="17.28515625" style="84" customWidth="1"/>
    <col min="15" max="15" width="16.5703125" style="84" customWidth="1"/>
    <col min="16" max="16384" width="15.140625" style="84"/>
  </cols>
  <sheetData>
    <row r="1" ht="42" customHeight="1"/>
  </sheetData>
  <pageMargins left="0.7" right="0.7" top="0.75" bottom="0.75" header="0.3" footer="0.3"/>
  <pageSetup scale="3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Q37"/>
  <sheetViews>
    <sheetView showGridLines="0" view="pageBreakPreview" zoomScale="70" zoomScaleNormal="85" zoomScaleSheetLayoutView="70" workbookViewId="0">
      <selection activeCell="Q13" sqref="Q13"/>
    </sheetView>
  </sheetViews>
  <sheetFormatPr baseColWidth="10" defaultColWidth="11.42578125" defaultRowHeight="45.75" customHeight="1"/>
  <cols>
    <col min="1" max="1" width="11" style="1529" customWidth="1"/>
    <col min="2" max="2" width="11.5703125" style="1529" customWidth="1"/>
    <col min="3" max="3" width="10.42578125" style="1529" customWidth="1"/>
    <col min="4" max="4" width="15.7109375" style="1529" customWidth="1"/>
    <col min="5" max="5" width="14.140625" style="1529" customWidth="1"/>
    <col min="6" max="6" width="13.7109375" style="1529" customWidth="1"/>
    <col min="7" max="7" width="12.85546875" style="1529" customWidth="1"/>
    <col min="8" max="8" width="16.5703125" style="1529" customWidth="1"/>
    <col min="9" max="9" width="15.28515625" style="1529" customWidth="1"/>
    <col min="10" max="10" width="17.85546875" style="1529" customWidth="1"/>
    <col min="11" max="11" width="8" style="1529" customWidth="1"/>
    <col min="12" max="12" width="11.42578125" style="1529"/>
    <col min="13" max="13" width="13" style="1529" customWidth="1"/>
    <col min="14" max="14" width="16.140625" style="1529" customWidth="1"/>
    <col min="15" max="16" width="11.42578125" style="1529"/>
    <col min="17" max="17" width="30.140625" style="1529" customWidth="1"/>
    <col min="18" max="16384" width="11.42578125" style="1529"/>
  </cols>
  <sheetData>
    <row r="2" spans="1:17" s="50" customFormat="1" ht="36.75" customHeight="1">
      <c r="A2" s="1749" t="s">
        <v>485</v>
      </c>
      <c r="B2" s="1749"/>
      <c r="C2" s="1749"/>
      <c r="D2" s="1749"/>
      <c r="E2" s="1749"/>
      <c r="F2" s="1749"/>
      <c r="G2" s="1749"/>
      <c r="H2" s="1749"/>
      <c r="I2" s="1749"/>
      <c r="J2" s="1749"/>
      <c r="K2" s="1749"/>
    </row>
    <row r="3" spans="1:17" s="311" customFormat="1" ht="62.25" customHeight="1">
      <c r="A3" s="1077" t="s">
        <v>25</v>
      </c>
      <c r="B3" s="1077" t="s">
        <v>229</v>
      </c>
      <c r="C3" s="1081" t="s">
        <v>238</v>
      </c>
      <c r="D3" s="1081" t="s">
        <v>239</v>
      </c>
      <c r="E3" s="1081" t="s">
        <v>166</v>
      </c>
      <c r="F3" s="1081" t="s">
        <v>240</v>
      </c>
      <c r="G3" s="1081" t="s">
        <v>241</v>
      </c>
      <c r="H3" s="1081" t="s">
        <v>242</v>
      </c>
      <c r="I3" s="1081" t="s">
        <v>167</v>
      </c>
      <c r="J3" s="1082" t="s">
        <v>243</v>
      </c>
      <c r="K3" s="309"/>
      <c r="L3" s="310"/>
      <c r="P3" s="50"/>
      <c r="Q3" s="50"/>
    </row>
    <row r="4" spans="1:17" ht="15.75">
      <c r="A4" s="1078" t="s">
        <v>500</v>
      </c>
      <c r="B4" s="1085">
        <v>41379</v>
      </c>
      <c r="C4" s="1086">
        <v>304</v>
      </c>
      <c r="D4" s="1086">
        <v>74</v>
      </c>
      <c r="E4" s="492">
        <f t="shared" ref="E4:E10" si="0">+D4+C4+B4</f>
        <v>41757</v>
      </c>
      <c r="F4" s="491">
        <v>863333</v>
      </c>
      <c r="G4" s="491">
        <v>123254</v>
      </c>
      <c r="H4" s="491">
        <v>201642</v>
      </c>
      <c r="I4" s="492">
        <f t="shared" ref="I4:I11" si="1">+H4+G4+F4</f>
        <v>1188229</v>
      </c>
      <c r="J4" s="408">
        <f>I4/E4</f>
        <v>28.455803817324043</v>
      </c>
      <c r="K4" s="116"/>
      <c r="L4" s="220"/>
      <c r="M4" s="223"/>
      <c r="N4" s="1528"/>
      <c r="P4" s="50"/>
      <c r="Q4" s="50"/>
    </row>
    <row r="5" spans="1:17" ht="15.75">
      <c r="A5" s="1079" t="s">
        <v>439</v>
      </c>
      <c r="B5" s="1083">
        <v>41179</v>
      </c>
      <c r="C5" s="324">
        <v>412</v>
      </c>
      <c r="D5" s="324">
        <v>80</v>
      </c>
      <c r="E5" s="490">
        <f t="shared" si="0"/>
        <v>41671</v>
      </c>
      <c r="F5" s="406">
        <v>869750</v>
      </c>
      <c r="G5" s="406">
        <v>148220</v>
      </c>
      <c r="H5" s="406">
        <v>209755</v>
      </c>
      <c r="I5" s="490">
        <f t="shared" si="1"/>
        <v>1227725</v>
      </c>
      <c r="J5" s="325">
        <f t="shared" ref="J5:J10" si="2">I5/E5</f>
        <v>29.462335917064625</v>
      </c>
      <c r="K5" s="116"/>
      <c r="L5" s="168"/>
      <c r="M5" s="222"/>
      <c r="N5" s="1528"/>
      <c r="O5" s="1528"/>
      <c r="P5" s="50"/>
      <c r="Q5" s="50"/>
    </row>
    <row r="6" spans="1:17" ht="13.5" customHeight="1">
      <c r="A6" s="1079" t="s">
        <v>440</v>
      </c>
      <c r="B6" s="1083">
        <v>43682</v>
      </c>
      <c r="C6" s="324">
        <v>418</v>
      </c>
      <c r="D6" s="324">
        <v>79</v>
      </c>
      <c r="E6" s="490">
        <f t="shared" si="0"/>
        <v>44179</v>
      </c>
      <c r="F6" s="406">
        <v>943828</v>
      </c>
      <c r="G6" s="406">
        <v>136553</v>
      </c>
      <c r="H6" s="406">
        <v>218706</v>
      </c>
      <c r="I6" s="490">
        <f t="shared" si="1"/>
        <v>1299087</v>
      </c>
      <c r="J6" s="325">
        <f t="shared" si="2"/>
        <v>29.405079336336268</v>
      </c>
      <c r="K6" s="1530"/>
      <c r="L6" s="168"/>
      <c r="M6" s="185"/>
      <c r="N6" s="1528"/>
      <c r="P6" s="50"/>
      <c r="Q6" s="50"/>
    </row>
    <row r="7" spans="1:17" ht="15" customHeight="1">
      <c r="A7" s="1079" t="s">
        <v>441</v>
      </c>
      <c r="B7" s="1083">
        <v>46674</v>
      </c>
      <c r="C7" s="324">
        <v>469</v>
      </c>
      <c r="D7" s="324">
        <v>79</v>
      </c>
      <c r="E7" s="490">
        <f t="shared" si="0"/>
        <v>47222</v>
      </c>
      <c r="F7" s="406">
        <v>996469</v>
      </c>
      <c r="G7" s="406">
        <v>142319</v>
      </c>
      <c r="H7" s="406">
        <v>225133</v>
      </c>
      <c r="I7" s="490">
        <f t="shared" si="1"/>
        <v>1363921</v>
      </c>
      <c r="J7" s="325">
        <f t="shared" si="2"/>
        <v>28.883168861971114</v>
      </c>
      <c r="K7" s="1530"/>
      <c r="L7" s="185"/>
      <c r="M7" s="170"/>
      <c r="N7" s="1528"/>
      <c r="P7" s="50"/>
      <c r="Q7" s="50"/>
    </row>
    <row r="8" spans="1:17" ht="13.5" customHeight="1">
      <c r="A8" s="1079" t="s">
        <v>501</v>
      </c>
      <c r="B8" s="1083">
        <v>50784</v>
      </c>
      <c r="C8" s="324">
        <v>488</v>
      </c>
      <c r="D8" s="324">
        <v>79</v>
      </c>
      <c r="E8" s="490">
        <f t="shared" si="0"/>
        <v>51351</v>
      </c>
      <c r="F8" s="407">
        <v>1035050</v>
      </c>
      <c r="G8" s="407">
        <v>156354</v>
      </c>
      <c r="H8" s="407">
        <v>236498</v>
      </c>
      <c r="I8" s="490">
        <f t="shared" si="1"/>
        <v>1427902</v>
      </c>
      <c r="J8" s="325">
        <f t="shared" si="2"/>
        <v>27.806702887967127</v>
      </c>
      <c r="K8" s="168"/>
      <c r="M8" s="170"/>
      <c r="P8" s="50"/>
      <c r="Q8" s="50"/>
    </row>
    <row r="9" spans="1:17" ht="15" customHeight="1">
      <c r="A9" s="1079" t="s">
        <v>570</v>
      </c>
      <c r="B9" s="1083">
        <v>58768</v>
      </c>
      <c r="C9" s="324">
        <v>489</v>
      </c>
      <c r="D9" s="324">
        <v>78</v>
      </c>
      <c r="E9" s="490">
        <f t="shared" si="0"/>
        <v>59335</v>
      </c>
      <c r="F9" s="407">
        <v>1110841</v>
      </c>
      <c r="G9" s="407">
        <v>166811</v>
      </c>
      <c r="H9" s="407">
        <v>249006</v>
      </c>
      <c r="I9" s="490">
        <f t="shared" si="1"/>
        <v>1526658</v>
      </c>
      <c r="J9" s="325">
        <f t="shared" si="2"/>
        <v>25.729468273363107</v>
      </c>
      <c r="K9" s="168"/>
      <c r="P9" s="1531"/>
      <c r="Q9" s="50"/>
    </row>
    <row r="10" spans="1:17" ht="15" customHeight="1">
      <c r="A10" s="1079" t="s">
        <v>635</v>
      </c>
      <c r="B10" s="1083">
        <v>65073</v>
      </c>
      <c r="C10" s="324">
        <v>519</v>
      </c>
      <c r="D10" s="324">
        <v>74</v>
      </c>
      <c r="E10" s="490">
        <f t="shared" si="0"/>
        <v>65666</v>
      </c>
      <c r="F10" s="407">
        <v>1193568</v>
      </c>
      <c r="G10" s="407">
        <v>176595</v>
      </c>
      <c r="H10" s="407">
        <v>281039</v>
      </c>
      <c r="I10" s="490">
        <f t="shared" si="1"/>
        <v>1651202</v>
      </c>
      <c r="J10" s="325">
        <f t="shared" si="2"/>
        <v>25.145463405719855</v>
      </c>
      <c r="K10" s="168"/>
      <c r="P10" s="50"/>
      <c r="Q10" s="50"/>
    </row>
    <row r="11" spans="1:17" ht="13.5" customHeight="1">
      <c r="A11" s="1080" t="s">
        <v>636</v>
      </c>
      <c r="B11" s="1084">
        <v>65285</v>
      </c>
      <c r="C11" s="489">
        <v>518</v>
      </c>
      <c r="D11" s="489">
        <v>74</v>
      </c>
      <c r="E11" s="494">
        <f>+D11+C11+B11</f>
        <v>65877</v>
      </c>
      <c r="F11" s="493">
        <v>1199473</v>
      </c>
      <c r="G11" s="493">
        <v>173334</v>
      </c>
      <c r="H11" s="493">
        <v>281677</v>
      </c>
      <c r="I11" s="494">
        <f t="shared" si="1"/>
        <v>1654484</v>
      </c>
      <c r="J11" s="409">
        <f>I11/E11</f>
        <v>25.114744144390304</v>
      </c>
      <c r="K11" s="1528"/>
      <c r="M11" s="50"/>
      <c r="P11" s="1530"/>
      <c r="Q11" s="50"/>
    </row>
    <row r="12" spans="1:17" ht="19.5" customHeight="1">
      <c r="A12" s="116"/>
      <c r="B12" s="1532"/>
      <c r="C12" s="1532"/>
      <c r="D12" s="1532"/>
      <c r="E12" s="116"/>
      <c r="F12" s="1533"/>
      <c r="G12" s="1533"/>
      <c r="H12" s="1533"/>
      <c r="P12" s="50"/>
      <c r="Q12" s="50"/>
    </row>
    <row r="13" spans="1:17" ht="19.5" customHeight="1">
      <c r="P13" s="50"/>
      <c r="Q13" s="50"/>
    </row>
    <row r="14" spans="1:17" ht="19.5" customHeight="1">
      <c r="L14" s="171"/>
      <c r="M14" s="172"/>
      <c r="P14" s="50"/>
      <c r="Q14" s="50"/>
    </row>
    <row r="15" spans="1:17" ht="19.5" customHeight="1">
      <c r="L15" s="171"/>
      <c r="M15" s="171"/>
      <c r="P15" s="50"/>
      <c r="Q15" s="50"/>
    </row>
    <row r="16" spans="1:17" ht="19.5" customHeight="1">
      <c r="M16" s="171"/>
      <c r="P16" s="50"/>
      <c r="Q16" s="50"/>
    </row>
    <row r="17" spans="12:17" ht="19.5" customHeight="1">
      <c r="M17" s="171"/>
      <c r="P17" s="50"/>
      <c r="Q17" s="50"/>
    </row>
    <row r="18" spans="12:17" ht="19.5" customHeight="1">
      <c r="L18" s="170"/>
      <c r="M18" s="171"/>
      <c r="P18" s="50"/>
      <c r="Q18" s="50"/>
    </row>
    <row r="19" spans="12:17" ht="19.5" customHeight="1">
      <c r="L19" s="170"/>
      <c r="P19" s="50"/>
      <c r="Q19" s="50"/>
    </row>
    <row r="20" spans="12:17" ht="19.5" customHeight="1">
      <c r="L20" s="170"/>
      <c r="P20" s="50"/>
      <c r="Q20" s="50"/>
    </row>
    <row r="21" spans="12:17" ht="19.5" customHeight="1">
      <c r="P21" s="50"/>
      <c r="Q21" s="50"/>
    </row>
    <row r="22" spans="12:17" ht="19.5" customHeight="1">
      <c r="P22" s="50"/>
      <c r="Q22" s="50"/>
    </row>
    <row r="23" spans="12:17" ht="19.5" customHeight="1">
      <c r="L23" s="170"/>
      <c r="P23" s="50"/>
      <c r="Q23" s="50"/>
    </row>
    <row r="24" spans="12:17" ht="19.5" customHeight="1">
      <c r="P24" s="50"/>
      <c r="Q24" s="50"/>
    </row>
    <row r="25" spans="12:17" ht="19.5" customHeight="1">
      <c r="P25" s="50"/>
      <c r="Q25" s="50"/>
    </row>
    <row r="26" spans="12:17" ht="19.5" customHeight="1">
      <c r="P26" s="50"/>
      <c r="Q26" s="50"/>
    </row>
    <row r="27" spans="12:17" ht="19.5" customHeight="1"/>
    <row r="28" spans="12:17" ht="19.5" customHeight="1"/>
    <row r="29" spans="12:17" ht="19.5" customHeight="1"/>
    <row r="30" spans="12:17" ht="19.5" customHeight="1">
      <c r="Q30" s="1528"/>
    </row>
    <row r="31" spans="12:17" ht="19.5" customHeight="1"/>
    <row r="32" spans="12:17"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topLeftCell="B4" zoomScaleNormal="100" zoomScaleSheetLayoutView="100" workbookViewId="0">
      <selection activeCell="N10" sqref="N10"/>
    </sheetView>
  </sheetViews>
  <sheetFormatPr baseColWidth="10" defaultColWidth="11.42578125" defaultRowHeight="15"/>
  <cols>
    <col min="1" max="6" width="11.42578125" style="84"/>
    <col min="7" max="7" width="9.42578125" style="84" customWidth="1"/>
    <col min="8" max="12" width="11.42578125" style="84"/>
    <col min="13" max="13" width="15.140625" style="84" bestFit="1" customWidth="1"/>
    <col min="14" max="17" width="11.42578125" style="84"/>
    <col min="18" max="18" width="17.85546875" style="84" customWidth="1"/>
    <col min="19" max="16384" width="11.42578125" style="84"/>
  </cols>
  <sheetData>
    <row r="12" spans="13:13" ht="15.75">
      <c r="M12" s="1512"/>
    </row>
    <row r="40" spans="14:16">
      <c r="P40" s="168"/>
    </row>
    <row r="41" spans="14:16">
      <c r="P41" s="168"/>
    </row>
    <row r="42" spans="14:16">
      <c r="N42" s="253"/>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5"/>
  <sheetViews>
    <sheetView showGridLines="0" view="pageBreakPreview" zoomScale="40" zoomScaleNormal="70" zoomScaleSheetLayoutView="40" workbookViewId="0">
      <selection activeCell="P91" sqref="P91"/>
    </sheetView>
  </sheetViews>
  <sheetFormatPr baseColWidth="10" defaultColWidth="11.5703125" defaultRowHeight="15"/>
  <cols>
    <col min="1" max="1" width="32" style="1298" customWidth="1"/>
    <col min="2" max="2" width="22.42578125" style="1298" customWidth="1"/>
    <col min="3" max="3" width="21.85546875" style="1298" customWidth="1"/>
    <col min="4" max="4" width="27.140625" style="1298" hidden="1" customWidth="1"/>
    <col min="5" max="5" width="27.7109375" style="1298" hidden="1" customWidth="1"/>
    <col min="6" max="6" width="23.140625" style="1298" customWidth="1"/>
    <col min="7" max="7" width="28.5703125" style="1298" hidden="1" customWidth="1"/>
    <col min="8" max="8" width="26.42578125" style="1298" customWidth="1"/>
    <col min="9" max="11" width="20.7109375" style="1298" customWidth="1"/>
    <col min="12" max="12" width="31.7109375" style="1298" customWidth="1"/>
    <col min="13" max="13" width="30" style="1298" customWidth="1"/>
    <col min="14" max="14" width="31.28515625" style="1298" customWidth="1"/>
    <col min="15" max="15" width="15.5703125" style="1298" customWidth="1"/>
    <col min="16" max="16" width="23.42578125" style="1298" customWidth="1"/>
    <col min="17" max="17" width="31.28515625" style="1298" customWidth="1"/>
    <col min="18" max="18" width="28.7109375" style="1298" customWidth="1"/>
    <col min="19" max="19" width="24.7109375" style="1298" customWidth="1"/>
    <col min="20" max="20" width="29.7109375" style="1298" customWidth="1"/>
    <col min="21" max="21" width="41.42578125" style="1298" customWidth="1"/>
    <col min="22" max="22" width="27.5703125" style="1298" customWidth="1"/>
    <col min="23" max="23" width="25.42578125" style="1298" customWidth="1"/>
    <col min="24" max="16384" width="11.5703125" style="1298"/>
  </cols>
  <sheetData>
    <row r="1" spans="1:15" ht="111" customHeight="1">
      <c r="A1" s="1888"/>
      <c r="B1" s="1888"/>
      <c r="C1" s="1888"/>
      <c r="D1" s="1888"/>
      <c r="E1" s="1888"/>
      <c r="F1" s="1888"/>
      <c r="G1" s="1888"/>
      <c r="H1" s="1888"/>
      <c r="I1" s="1888"/>
      <c r="J1" s="1888"/>
      <c r="K1" s="1888"/>
      <c r="L1" s="1888"/>
      <c r="M1" s="1888"/>
      <c r="N1" s="1888"/>
    </row>
    <row r="2" spans="1:15" s="1300" customFormat="1" ht="18" customHeight="1">
      <c r="A2" s="1299"/>
      <c r="B2" s="1299"/>
      <c r="C2" s="1299"/>
      <c r="D2" s="1299"/>
      <c r="E2" s="1299"/>
      <c r="F2" s="1299"/>
      <c r="G2" s="1299"/>
      <c r="H2" s="1299"/>
      <c r="I2" s="1299"/>
      <c r="J2" s="1299"/>
      <c r="K2" s="1299"/>
    </row>
    <row r="3" spans="1:15" s="1300" customFormat="1" ht="37.5">
      <c r="A3" s="1645" t="s">
        <v>48</v>
      </c>
      <c r="B3" s="1646" t="s">
        <v>789</v>
      </c>
      <c r="C3" s="1646" t="s">
        <v>790</v>
      </c>
      <c r="D3" s="1646" t="s">
        <v>791</v>
      </c>
      <c r="E3" s="1646" t="s">
        <v>792</v>
      </c>
      <c r="F3" s="1647" t="s">
        <v>793</v>
      </c>
      <c r="G3" s="1647" t="s">
        <v>794</v>
      </c>
      <c r="H3" s="1648" t="s">
        <v>540</v>
      </c>
      <c r="I3" s="1301"/>
      <c r="J3" s="1302"/>
      <c r="K3" s="1303"/>
      <c r="L3" s="1304"/>
      <c r="M3" s="1304"/>
      <c r="N3" s="1304"/>
      <c r="O3" s="1304"/>
    </row>
    <row r="4" spans="1:15" s="1300" customFormat="1" ht="20.25" customHeight="1">
      <c r="A4" s="1649" t="s">
        <v>610</v>
      </c>
      <c r="B4" s="1650">
        <v>601</v>
      </c>
      <c r="C4" s="1650">
        <v>2000</v>
      </c>
      <c r="D4" s="1650">
        <v>25</v>
      </c>
      <c r="E4" s="1650">
        <f>+B4/D4</f>
        <v>24.04</v>
      </c>
      <c r="F4" s="1650">
        <v>1202000</v>
      </c>
      <c r="G4" s="1650">
        <f>+C4*B4</f>
        <v>1202000</v>
      </c>
      <c r="H4" s="1651">
        <f t="shared" ref="H4:H33" si="0">B4/D4</f>
        <v>24.04</v>
      </c>
      <c r="I4" s="1306"/>
      <c r="J4" s="1303"/>
      <c r="K4" s="1303"/>
      <c r="L4" s="1304"/>
      <c r="M4" s="1304"/>
      <c r="N4" s="1304"/>
      <c r="O4" s="1304"/>
    </row>
    <row r="5" spans="1:15" s="1300" customFormat="1" ht="23.25" hidden="1" customHeight="1">
      <c r="A5" s="1649">
        <v>39965</v>
      </c>
      <c r="B5" s="1650">
        <v>681</v>
      </c>
      <c r="C5" s="1650">
        <v>2000</v>
      </c>
      <c r="D5" s="1650"/>
      <c r="E5" s="1650" t="e">
        <f t="shared" ref="E5:E33" si="1">+B5/D5</f>
        <v>#DIV/0!</v>
      </c>
      <c r="F5" s="1650">
        <v>1362000</v>
      </c>
      <c r="G5" s="1650">
        <f t="shared" ref="G5:G34" si="2">+C5*B5</f>
        <v>1362000</v>
      </c>
      <c r="H5" s="1651" t="e">
        <f t="shared" si="0"/>
        <v>#DIV/0!</v>
      </c>
      <c r="I5" s="1307"/>
      <c r="J5" s="1303"/>
      <c r="K5" s="1303"/>
      <c r="L5" s="1304"/>
      <c r="M5" s="1304"/>
      <c r="N5" s="1304"/>
      <c r="O5" s="1304"/>
    </row>
    <row r="6" spans="1:15" s="1300" customFormat="1" ht="23.25" hidden="1" customHeight="1">
      <c r="A6" s="1649">
        <v>39995</v>
      </c>
      <c r="B6" s="1650">
        <v>670</v>
      </c>
      <c r="C6" s="1650">
        <v>2000</v>
      </c>
      <c r="D6" s="1650">
        <v>86</v>
      </c>
      <c r="E6" s="1650">
        <f t="shared" si="1"/>
        <v>7.7906976744186043</v>
      </c>
      <c r="F6" s="1650">
        <v>1340000</v>
      </c>
      <c r="G6" s="1650">
        <f t="shared" si="2"/>
        <v>1340000</v>
      </c>
      <c r="H6" s="1651">
        <f t="shared" si="0"/>
        <v>7.7906976744186043</v>
      </c>
      <c r="I6" s="1307"/>
      <c r="J6" s="1303"/>
      <c r="K6" s="1303"/>
      <c r="L6" s="1304"/>
      <c r="M6" s="1304"/>
      <c r="N6" s="1304"/>
      <c r="O6" s="1304"/>
    </row>
    <row r="7" spans="1:15" s="1300" customFormat="1" ht="23.25" hidden="1" customHeight="1">
      <c r="A7" s="1649">
        <v>40026</v>
      </c>
      <c r="B7" s="1650">
        <v>739</v>
      </c>
      <c r="C7" s="1650">
        <v>2000</v>
      </c>
      <c r="D7" s="1650">
        <v>86</v>
      </c>
      <c r="E7" s="1650">
        <f t="shared" si="1"/>
        <v>8.5930232558139537</v>
      </c>
      <c r="F7" s="1650">
        <v>1478000</v>
      </c>
      <c r="G7" s="1650">
        <f t="shared" si="2"/>
        <v>1478000</v>
      </c>
      <c r="H7" s="1651">
        <f t="shared" si="0"/>
        <v>8.5930232558139537</v>
      </c>
      <c r="I7" s="1307"/>
      <c r="J7" s="1303"/>
      <c r="K7" s="1303"/>
      <c r="L7" s="1304"/>
      <c r="M7" s="1304"/>
      <c r="N7" s="1304"/>
      <c r="O7" s="1304"/>
    </row>
    <row r="8" spans="1:15" s="1300" customFormat="1" ht="23.25" hidden="1" customHeight="1">
      <c r="A8" s="1649">
        <v>40057</v>
      </c>
      <c r="B8" s="1650">
        <v>793</v>
      </c>
      <c r="C8" s="1650">
        <v>2000</v>
      </c>
      <c r="D8" s="1650">
        <v>87</v>
      </c>
      <c r="E8" s="1650">
        <f t="shared" si="1"/>
        <v>9.1149425287356323</v>
      </c>
      <c r="F8" s="1650">
        <v>1586000</v>
      </c>
      <c r="G8" s="1650">
        <f t="shared" si="2"/>
        <v>1586000</v>
      </c>
      <c r="H8" s="1651">
        <f t="shared" si="0"/>
        <v>9.1149425287356323</v>
      </c>
      <c r="I8" s="1307"/>
      <c r="J8" s="1303"/>
      <c r="K8" s="1303"/>
      <c r="L8" s="1304"/>
      <c r="M8" s="1304"/>
      <c r="N8" s="1304"/>
      <c r="O8" s="1304"/>
    </row>
    <row r="9" spans="1:15" s="1300" customFormat="1" ht="23.25" hidden="1" customHeight="1">
      <c r="A9" s="1649">
        <v>40087</v>
      </c>
      <c r="B9" s="1650">
        <v>1396</v>
      </c>
      <c r="C9" s="1650">
        <v>2000</v>
      </c>
      <c r="D9" s="1650">
        <v>87</v>
      </c>
      <c r="E9" s="1650">
        <f t="shared" si="1"/>
        <v>16.045977011494251</v>
      </c>
      <c r="F9" s="1650">
        <v>2792000</v>
      </c>
      <c r="G9" s="1650">
        <f t="shared" si="2"/>
        <v>2792000</v>
      </c>
      <c r="H9" s="1651">
        <f t="shared" si="0"/>
        <v>16.045977011494251</v>
      </c>
      <c r="I9" s="1307"/>
      <c r="J9" s="1303"/>
      <c r="K9" s="1303"/>
      <c r="L9" s="1304"/>
      <c r="M9" s="1304"/>
      <c r="N9" s="1304"/>
      <c r="O9" s="1304"/>
    </row>
    <row r="10" spans="1:15" s="1300" customFormat="1" ht="23.25" hidden="1" customHeight="1">
      <c r="A10" s="1649">
        <v>40118</v>
      </c>
      <c r="B10" s="1650">
        <v>1634</v>
      </c>
      <c r="C10" s="1650">
        <v>2000</v>
      </c>
      <c r="D10" s="1650">
        <v>87</v>
      </c>
      <c r="E10" s="1650">
        <f t="shared" si="1"/>
        <v>18.7816091954023</v>
      </c>
      <c r="F10" s="1650">
        <v>3268000</v>
      </c>
      <c r="G10" s="1650">
        <f t="shared" si="2"/>
        <v>3268000</v>
      </c>
      <c r="H10" s="1651">
        <f t="shared" si="0"/>
        <v>18.7816091954023</v>
      </c>
      <c r="I10" s="1307"/>
      <c r="J10" s="1303"/>
      <c r="K10" s="1303"/>
      <c r="L10" s="1304"/>
      <c r="M10" s="1304"/>
      <c r="N10" s="1304"/>
      <c r="O10" s="1304"/>
    </row>
    <row r="11" spans="1:15" s="1300" customFormat="1" ht="19.5" customHeight="1">
      <c r="A11" s="1649" t="s">
        <v>439</v>
      </c>
      <c r="B11" s="1650">
        <v>1814</v>
      </c>
      <c r="C11" s="1650">
        <v>2000</v>
      </c>
      <c r="D11" s="1650">
        <v>87</v>
      </c>
      <c r="E11" s="1650">
        <f t="shared" si="1"/>
        <v>20.850574712643677</v>
      </c>
      <c r="F11" s="1650">
        <v>3628000</v>
      </c>
      <c r="G11" s="1650">
        <f t="shared" si="2"/>
        <v>3628000</v>
      </c>
      <c r="H11" s="1651">
        <f t="shared" si="0"/>
        <v>20.850574712643677</v>
      </c>
      <c r="I11" s="1307"/>
      <c r="J11" s="1303"/>
      <c r="L11" s="1304"/>
      <c r="M11" s="1304"/>
      <c r="N11" s="1304"/>
      <c r="O11" s="1304"/>
    </row>
    <row r="12" spans="1:15" s="1300" customFormat="1" ht="23.25" hidden="1" customHeight="1">
      <c r="A12" s="1649">
        <v>40179</v>
      </c>
      <c r="B12" s="1650">
        <v>1876</v>
      </c>
      <c r="C12" s="1650">
        <v>2000</v>
      </c>
      <c r="D12" s="1650">
        <v>88</v>
      </c>
      <c r="E12" s="1650">
        <f t="shared" si="1"/>
        <v>21.318181818181817</v>
      </c>
      <c r="F12" s="1650">
        <v>3752000</v>
      </c>
      <c r="G12" s="1650">
        <f t="shared" si="2"/>
        <v>3752000</v>
      </c>
      <c r="H12" s="1651">
        <f t="shared" si="0"/>
        <v>21.318181818181817</v>
      </c>
      <c r="I12" s="1307"/>
      <c r="J12" s="1303"/>
      <c r="K12" s="1303"/>
      <c r="L12" s="1304"/>
      <c r="M12" s="1304"/>
      <c r="N12" s="1304"/>
      <c r="O12" s="1304"/>
    </row>
    <row r="13" spans="1:15" s="1300" customFormat="1" ht="23.25" hidden="1" customHeight="1">
      <c r="A13" s="1649">
        <v>40210</v>
      </c>
      <c r="B13" s="1650">
        <v>2010</v>
      </c>
      <c r="C13" s="1650">
        <v>2000</v>
      </c>
      <c r="D13" s="1650">
        <v>88</v>
      </c>
      <c r="E13" s="1650">
        <f t="shared" si="1"/>
        <v>22.84090909090909</v>
      </c>
      <c r="F13" s="1650">
        <v>4020000</v>
      </c>
      <c r="G13" s="1650">
        <f t="shared" si="2"/>
        <v>4020000</v>
      </c>
      <c r="H13" s="1651">
        <f t="shared" si="0"/>
        <v>22.84090909090909</v>
      </c>
      <c r="I13" s="1307"/>
      <c r="J13" s="1303"/>
      <c r="K13" s="1303"/>
      <c r="L13" s="1304"/>
      <c r="M13" s="1304"/>
      <c r="N13" s="1304"/>
      <c r="O13" s="1304"/>
    </row>
    <row r="14" spans="1:15" s="1300" customFormat="1" ht="23.25" hidden="1" customHeight="1">
      <c r="A14" s="1649">
        <v>40238</v>
      </c>
      <c r="B14" s="1650">
        <v>2184</v>
      </c>
      <c r="C14" s="1650">
        <v>2000</v>
      </c>
      <c r="D14" s="1650">
        <v>88</v>
      </c>
      <c r="E14" s="1650">
        <f t="shared" si="1"/>
        <v>24.818181818181817</v>
      </c>
      <c r="F14" s="1650">
        <v>4368000</v>
      </c>
      <c r="G14" s="1650">
        <f t="shared" si="2"/>
        <v>4368000</v>
      </c>
      <c r="H14" s="1651">
        <f t="shared" si="0"/>
        <v>24.818181818181817</v>
      </c>
      <c r="I14" s="1307"/>
      <c r="J14" s="1303"/>
      <c r="K14" s="1303"/>
      <c r="L14" s="1304"/>
      <c r="M14" s="1304"/>
      <c r="N14" s="1304"/>
      <c r="O14" s="1304"/>
    </row>
    <row r="15" spans="1:15" s="1300" customFormat="1" ht="23.25" hidden="1" customHeight="1">
      <c r="A15" s="1649">
        <v>40269</v>
      </c>
      <c r="B15" s="1650">
        <v>2328</v>
      </c>
      <c r="C15" s="1650">
        <v>2000</v>
      </c>
      <c r="D15" s="1650">
        <v>87</v>
      </c>
      <c r="E15" s="1650">
        <f t="shared" si="1"/>
        <v>26.758620689655171</v>
      </c>
      <c r="F15" s="1650">
        <v>4938000</v>
      </c>
      <c r="G15" s="1650">
        <f t="shared" si="2"/>
        <v>4656000</v>
      </c>
      <c r="H15" s="1651">
        <f t="shared" si="0"/>
        <v>26.758620689655171</v>
      </c>
      <c r="I15" s="1307"/>
      <c r="J15" s="1303"/>
      <c r="K15" s="1303"/>
      <c r="L15" s="1304"/>
      <c r="M15" s="1304"/>
      <c r="N15" s="1304"/>
      <c r="O15" s="1304"/>
    </row>
    <row r="16" spans="1:15" s="1300" customFormat="1" ht="18.75" customHeight="1">
      <c r="A16" s="1649" t="s">
        <v>611</v>
      </c>
      <c r="B16" s="1650">
        <v>2352</v>
      </c>
      <c r="C16" s="1650">
        <v>2000</v>
      </c>
      <c r="D16" s="1650">
        <v>90</v>
      </c>
      <c r="E16" s="1650">
        <f t="shared" si="1"/>
        <v>26.133333333333333</v>
      </c>
      <c r="F16" s="1650">
        <v>4798000</v>
      </c>
      <c r="G16" s="1650">
        <f t="shared" si="2"/>
        <v>4704000</v>
      </c>
      <c r="H16" s="1651">
        <f t="shared" si="0"/>
        <v>26.133333333333333</v>
      </c>
      <c r="I16" s="1307"/>
      <c r="J16" s="1303"/>
      <c r="K16" s="1303"/>
      <c r="L16" s="1304"/>
      <c r="M16" s="1304"/>
      <c r="N16" s="1304"/>
      <c r="O16" s="1304"/>
    </row>
    <row r="17" spans="1:15" s="1300" customFormat="1" ht="20.25" customHeight="1">
      <c r="A17" s="1649" t="s">
        <v>440</v>
      </c>
      <c r="B17" s="1650">
        <v>4131</v>
      </c>
      <c r="C17" s="1650">
        <v>2000</v>
      </c>
      <c r="D17" s="1650">
        <v>91</v>
      </c>
      <c r="E17" s="1650">
        <f t="shared" si="1"/>
        <v>45.395604395604394</v>
      </c>
      <c r="F17" s="1650">
        <v>8508000</v>
      </c>
      <c r="G17" s="1650">
        <f t="shared" si="2"/>
        <v>8262000</v>
      </c>
      <c r="H17" s="1651">
        <f t="shared" si="0"/>
        <v>45.395604395604394</v>
      </c>
      <c r="I17" s="1303"/>
      <c r="J17" s="160"/>
      <c r="K17" s="1303"/>
      <c r="L17" s="1304"/>
      <c r="M17" s="1304"/>
      <c r="N17" s="1304"/>
      <c r="O17" s="1304"/>
    </row>
    <row r="18" spans="1:15" s="1300" customFormat="1" ht="23.25" hidden="1" customHeight="1">
      <c r="A18" s="1649">
        <v>40544</v>
      </c>
      <c r="B18" s="1650">
        <v>4201</v>
      </c>
      <c r="C18" s="1650">
        <v>2000</v>
      </c>
      <c r="D18" s="1650"/>
      <c r="E18" s="1650" t="e">
        <f t="shared" si="1"/>
        <v>#DIV/0!</v>
      </c>
      <c r="F18" s="1650">
        <v>8402000</v>
      </c>
      <c r="G18" s="1650">
        <f t="shared" si="2"/>
        <v>8402000</v>
      </c>
      <c r="H18" s="1651" t="e">
        <f t="shared" si="0"/>
        <v>#DIV/0!</v>
      </c>
      <c r="I18" s="1303"/>
      <c r="J18" s="160"/>
      <c r="K18" s="1303"/>
      <c r="L18" s="1304"/>
      <c r="M18" s="1304"/>
      <c r="N18" s="1304"/>
      <c r="O18" s="1304"/>
    </row>
    <row r="19" spans="1:15" s="1300" customFormat="1" ht="23.25" hidden="1" customHeight="1">
      <c r="A19" s="1649">
        <v>40575</v>
      </c>
      <c r="B19" s="1650">
        <v>4176</v>
      </c>
      <c r="C19" s="1650">
        <v>2000</v>
      </c>
      <c r="D19" s="1650"/>
      <c r="E19" s="1650" t="e">
        <f t="shared" si="1"/>
        <v>#DIV/0!</v>
      </c>
      <c r="F19" s="1650">
        <v>8352000</v>
      </c>
      <c r="G19" s="1650">
        <f t="shared" si="2"/>
        <v>8352000</v>
      </c>
      <c r="H19" s="1651" t="e">
        <f t="shared" si="0"/>
        <v>#DIV/0!</v>
      </c>
      <c r="I19" s="1303"/>
      <c r="J19" s="160"/>
      <c r="K19" s="1303"/>
      <c r="L19" s="1304"/>
      <c r="M19" s="1304"/>
      <c r="N19" s="1304"/>
      <c r="O19" s="1304"/>
    </row>
    <row r="20" spans="1:15" s="1300" customFormat="1" ht="23.25" hidden="1" customHeight="1">
      <c r="A20" s="1649">
        <v>40603</v>
      </c>
      <c r="B20" s="1650">
        <v>4058</v>
      </c>
      <c r="C20" s="1650">
        <v>2000</v>
      </c>
      <c r="D20" s="1650">
        <v>86</v>
      </c>
      <c r="E20" s="1650">
        <f t="shared" si="1"/>
        <v>47.186046511627907</v>
      </c>
      <c r="F20" s="1650">
        <v>8308000</v>
      </c>
      <c r="G20" s="1650">
        <f t="shared" si="2"/>
        <v>8116000</v>
      </c>
      <c r="H20" s="1651">
        <f t="shared" si="0"/>
        <v>47.186046511627907</v>
      </c>
      <c r="I20" s="1303"/>
      <c r="J20" s="160"/>
      <c r="K20" s="1303"/>
      <c r="L20" s="1304"/>
      <c r="M20" s="1304"/>
      <c r="N20" s="1304"/>
      <c r="O20" s="1304"/>
    </row>
    <row r="21" spans="1:15" s="1300" customFormat="1" ht="23.25" hidden="1" customHeight="1">
      <c r="A21" s="1649">
        <v>40634</v>
      </c>
      <c r="B21" s="1650">
        <v>4134</v>
      </c>
      <c r="C21" s="1650">
        <v>2000</v>
      </c>
      <c r="D21" s="1650">
        <v>86</v>
      </c>
      <c r="E21" s="1650">
        <f t="shared" si="1"/>
        <v>48.069767441860463</v>
      </c>
      <c r="F21" s="1650">
        <v>8482000</v>
      </c>
      <c r="G21" s="1650">
        <f t="shared" si="2"/>
        <v>8268000</v>
      </c>
      <c r="H21" s="1651">
        <f t="shared" si="0"/>
        <v>48.069767441860463</v>
      </c>
      <c r="I21" s="1303"/>
      <c r="J21" s="160"/>
      <c r="K21" s="1303"/>
      <c r="L21" s="1304"/>
      <c r="M21" s="1304"/>
      <c r="N21" s="1304"/>
      <c r="O21" s="1304"/>
    </row>
    <row r="22" spans="1:15" s="1300" customFormat="1" ht="20.25" customHeight="1">
      <c r="A22" s="1649" t="s">
        <v>612</v>
      </c>
      <c r="B22" s="1650">
        <v>4164</v>
      </c>
      <c r="C22" s="1650">
        <v>2000</v>
      </c>
      <c r="D22" s="1650">
        <v>87</v>
      </c>
      <c r="E22" s="1650">
        <f t="shared" si="1"/>
        <v>47.862068965517238</v>
      </c>
      <c r="F22" s="1650">
        <v>8534000</v>
      </c>
      <c r="G22" s="1650">
        <f t="shared" si="2"/>
        <v>8328000</v>
      </c>
      <c r="H22" s="1651">
        <f t="shared" si="0"/>
        <v>47.862068965517238</v>
      </c>
      <c r="I22" s="1303"/>
      <c r="J22" s="160"/>
      <c r="K22" s="1303"/>
      <c r="L22" s="1304"/>
      <c r="M22" s="1304"/>
      <c r="N22" s="1304"/>
      <c r="O22" s="1304"/>
    </row>
    <row r="23" spans="1:15" s="1300" customFormat="1" ht="23.25" hidden="1" customHeight="1">
      <c r="A23" s="1649">
        <v>40695</v>
      </c>
      <c r="B23" s="1650">
        <v>4244</v>
      </c>
      <c r="C23" s="1650">
        <v>2000</v>
      </c>
      <c r="D23" s="1650">
        <v>87</v>
      </c>
      <c r="E23" s="1650">
        <f t="shared" si="1"/>
        <v>48.781609195402297</v>
      </c>
      <c r="F23" s="1650">
        <v>9056000</v>
      </c>
      <c r="G23" s="1650">
        <f t="shared" si="2"/>
        <v>8488000</v>
      </c>
      <c r="H23" s="1651">
        <f t="shared" si="0"/>
        <v>48.781609195402297</v>
      </c>
      <c r="I23" s="1303"/>
      <c r="J23" s="160"/>
      <c r="K23" s="1303"/>
      <c r="L23" s="1304"/>
      <c r="M23" s="1304"/>
      <c r="N23" s="1304"/>
      <c r="O23" s="1304"/>
    </row>
    <row r="24" spans="1:15" s="1300" customFormat="1" ht="23.25" hidden="1" customHeight="1">
      <c r="A24" s="1649">
        <v>40725</v>
      </c>
      <c r="B24" s="1650">
        <v>4163</v>
      </c>
      <c r="C24" s="1650">
        <v>2000</v>
      </c>
      <c r="D24" s="1650">
        <v>87</v>
      </c>
      <c r="E24" s="1650">
        <f t="shared" si="1"/>
        <v>47.850574712643677</v>
      </c>
      <c r="F24" s="1650">
        <v>8586000</v>
      </c>
      <c r="G24" s="1650">
        <f t="shared" si="2"/>
        <v>8326000</v>
      </c>
      <c r="H24" s="1651">
        <f t="shared" si="0"/>
        <v>47.850574712643677</v>
      </c>
      <c r="I24" s="1303"/>
      <c r="J24" s="160"/>
      <c r="K24" s="1303"/>
      <c r="L24" s="1304"/>
      <c r="M24" s="1304"/>
      <c r="N24" s="1304"/>
      <c r="O24" s="1304"/>
    </row>
    <row r="25" spans="1:15" s="1300" customFormat="1" ht="23.25" hidden="1" customHeight="1">
      <c r="A25" s="1649">
        <v>40756</v>
      </c>
      <c r="B25" s="1650">
        <v>4291</v>
      </c>
      <c r="C25" s="1650">
        <v>2000</v>
      </c>
      <c r="D25" s="1650">
        <v>87</v>
      </c>
      <c r="E25" s="1650">
        <f t="shared" si="1"/>
        <v>49.321839080459768</v>
      </c>
      <c r="F25" s="1650">
        <v>8848000</v>
      </c>
      <c r="G25" s="1650">
        <f t="shared" si="2"/>
        <v>8582000</v>
      </c>
      <c r="H25" s="1651">
        <f t="shared" si="0"/>
        <v>49.321839080459768</v>
      </c>
      <c r="I25" s="1303"/>
      <c r="J25" s="160"/>
      <c r="K25" s="1303"/>
      <c r="L25" s="1304"/>
      <c r="M25" s="1304"/>
      <c r="N25" s="1304"/>
      <c r="O25" s="1304"/>
    </row>
    <row r="26" spans="1:15" s="1300" customFormat="1" ht="23.25" hidden="1" customHeight="1">
      <c r="A26" s="1649">
        <v>40787</v>
      </c>
      <c r="B26" s="1650">
        <v>4898</v>
      </c>
      <c r="C26" s="1650">
        <v>2000</v>
      </c>
      <c r="D26" s="1650">
        <v>88</v>
      </c>
      <c r="E26" s="1650">
        <f t="shared" si="1"/>
        <v>55.659090909090907</v>
      </c>
      <c r="F26" s="1650">
        <v>69167579.849999994</v>
      </c>
      <c r="G26" s="1650">
        <f t="shared" si="2"/>
        <v>9796000</v>
      </c>
      <c r="H26" s="1651">
        <f t="shared" si="0"/>
        <v>55.659090909090907</v>
      </c>
      <c r="I26" s="1303"/>
      <c r="J26" s="160"/>
      <c r="K26" s="1303"/>
      <c r="L26" s="1304"/>
      <c r="M26" s="1304"/>
      <c r="N26" s="1304"/>
      <c r="O26" s="1304"/>
    </row>
    <row r="27" spans="1:15" s="1300" customFormat="1" ht="23.25" hidden="1" customHeight="1">
      <c r="A27" s="1649">
        <v>40817</v>
      </c>
      <c r="B27" s="1650">
        <v>4922</v>
      </c>
      <c r="C27" s="1650">
        <v>2000</v>
      </c>
      <c r="D27" s="1650">
        <v>88</v>
      </c>
      <c r="E27" s="1650">
        <f t="shared" si="1"/>
        <v>55.93181818181818</v>
      </c>
      <c r="F27" s="1650">
        <v>10068000</v>
      </c>
      <c r="G27" s="1650">
        <f t="shared" si="2"/>
        <v>9844000</v>
      </c>
      <c r="H27" s="1651">
        <f t="shared" si="0"/>
        <v>55.93181818181818</v>
      </c>
      <c r="I27" s="1303"/>
      <c r="J27" s="160"/>
      <c r="K27" s="1303"/>
      <c r="L27" s="1304"/>
      <c r="M27" s="1304"/>
      <c r="N27" s="1304"/>
      <c r="O27" s="1304"/>
    </row>
    <row r="28" spans="1:15" s="1300" customFormat="1" ht="23.25" hidden="1" customHeight="1">
      <c r="A28" s="1649">
        <v>40848</v>
      </c>
      <c r="B28" s="1650">
        <v>4946</v>
      </c>
      <c r="C28" s="1650">
        <v>2000</v>
      </c>
      <c r="D28" s="1650">
        <v>88</v>
      </c>
      <c r="E28" s="1650">
        <f t="shared" si="1"/>
        <v>56.204545454545453</v>
      </c>
      <c r="F28" s="1650">
        <v>10166000</v>
      </c>
      <c r="G28" s="1650">
        <f t="shared" si="2"/>
        <v>9892000</v>
      </c>
      <c r="H28" s="1651">
        <f t="shared" si="0"/>
        <v>56.204545454545453</v>
      </c>
      <c r="I28" s="1303"/>
      <c r="J28" s="160"/>
      <c r="K28" s="1303"/>
      <c r="L28" s="1304"/>
      <c r="M28" s="1304"/>
      <c r="N28" s="1304"/>
      <c r="O28" s="1304"/>
    </row>
    <row r="29" spans="1:15" s="1300" customFormat="1" ht="20.25" customHeight="1">
      <c r="A29" s="1649" t="s">
        <v>441</v>
      </c>
      <c r="B29" s="1650">
        <v>4901</v>
      </c>
      <c r="C29" s="1650">
        <v>2000</v>
      </c>
      <c r="D29" s="1650">
        <v>87</v>
      </c>
      <c r="E29" s="1650">
        <f t="shared" si="1"/>
        <v>56.333333333333336</v>
      </c>
      <c r="F29" s="1650">
        <v>10416000</v>
      </c>
      <c r="G29" s="1650">
        <f t="shared" si="2"/>
        <v>9802000</v>
      </c>
      <c r="H29" s="1651">
        <f t="shared" si="0"/>
        <v>56.333333333333336</v>
      </c>
      <c r="I29" s="1303"/>
      <c r="J29" s="160"/>
      <c r="K29" s="1303"/>
      <c r="L29" s="1304"/>
      <c r="M29" s="1304"/>
      <c r="N29" s="1304"/>
      <c r="O29" s="1304"/>
    </row>
    <row r="30" spans="1:15" s="1300" customFormat="1" ht="23.25" hidden="1" customHeight="1">
      <c r="A30" s="1649" t="s">
        <v>440</v>
      </c>
      <c r="B30" s="1650">
        <v>4971</v>
      </c>
      <c r="C30" s="1650">
        <v>2000</v>
      </c>
      <c r="D30" s="1650">
        <v>90</v>
      </c>
      <c r="E30" s="1650">
        <f t="shared" si="1"/>
        <v>55.233333333333334</v>
      </c>
      <c r="F30" s="1650">
        <v>9942000</v>
      </c>
      <c r="G30" s="1650">
        <f t="shared" si="2"/>
        <v>9942000</v>
      </c>
      <c r="H30" s="1651">
        <f t="shared" si="0"/>
        <v>55.233333333333334</v>
      </c>
      <c r="I30" s="1303"/>
      <c r="J30" s="160"/>
      <c r="K30" s="1303"/>
      <c r="L30" s="1304"/>
      <c r="M30" s="1304"/>
      <c r="N30" s="1304"/>
      <c r="O30" s="1304"/>
    </row>
    <row r="31" spans="1:15" s="1300" customFormat="1" ht="23.25" hidden="1" customHeight="1">
      <c r="A31" s="1649" t="s">
        <v>441</v>
      </c>
      <c r="B31" s="1650">
        <v>4927</v>
      </c>
      <c r="C31" s="1650">
        <v>2000</v>
      </c>
      <c r="D31" s="1650">
        <v>91</v>
      </c>
      <c r="E31" s="1650">
        <f t="shared" si="1"/>
        <v>54.142857142857146</v>
      </c>
      <c r="F31" s="1650">
        <v>10072000</v>
      </c>
      <c r="G31" s="1650">
        <f t="shared" si="2"/>
        <v>9854000</v>
      </c>
      <c r="H31" s="1651">
        <f t="shared" si="0"/>
        <v>54.142857142857146</v>
      </c>
      <c r="I31" s="1303"/>
      <c r="J31" s="160"/>
      <c r="K31" s="1303"/>
      <c r="L31" s="1304"/>
      <c r="M31" s="1304"/>
      <c r="N31" s="1304"/>
      <c r="O31" s="1304"/>
    </row>
    <row r="32" spans="1:15" s="1300" customFormat="1" ht="20.25" customHeight="1">
      <c r="A32" s="1649" t="s">
        <v>501</v>
      </c>
      <c r="B32" s="1650">
        <v>5894</v>
      </c>
      <c r="C32" s="1650">
        <v>2000</v>
      </c>
      <c r="D32" s="1650">
        <v>91</v>
      </c>
      <c r="E32" s="1650">
        <f t="shared" si="1"/>
        <v>64.769230769230774</v>
      </c>
      <c r="F32" s="1650">
        <v>11788000</v>
      </c>
      <c r="G32" s="1650">
        <f t="shared" si="2"/>
        <v>11788000</v>
      </c>
      <c r="H32" s="1651">
        <f t="shared" si="0"/>
        <v>64.769230769230774</v>
      </c>
      <c r="I32" s="1303"/>
      <c r="J32" s="160"/>
      <c r="K32" s="1303"/>
      <c r="L32" s="1304"/>
      <c r="M32" s="1304"/>
      <c r="N32" s="1304"/>
      <c r="O32" s="1304"/>
    </row>
    <row r="33" spans="1:23" s="1300" customFormat="1" ht="21.75" customHeight="1">
      <c r="A33" s="1649" t="s">
        <v>570</v>
      </c>
      <c r="B33" s="1652">
        <v>6516</v>
      </c>
      <c r="C33" s="1652">
        <v>2000</v>
      </c>
      <c r="D33" s="1652">
        <v>93</v>
      </c>
      <c r="E33" s="1650">
        <f t="shared" si="1"/>
        <v>70.064516129032256</v>
      </c>
      <c r="F33" s="1650">
        <v>10994000</v>
      </c>
      <c r="G33" s="1650">
        <f t="shared" si="2"/>
        <v>13032000</v>
      </c>
      <c r="H33" s="1651">
        <f t="shared" si="0"/>
        <v>70.064516129032256</v>
      </c>
      <c r="I33" s="1302"/>
      <c r="J33" s="1302"/>
      <c r="K33" s="1302"/>
      <c r="L33" s="1302"/>
      <c r="M33" s="1302"/>
      <c r="N33" s="1302"/>
      <c r="O33" s="1302"/>
    </row>
    <row r="34" spans="1:23" s="1300" customFormat="1" ht="21.75" customHeight="1">
      <c r="A34" s="1649" t="s">
        <v>635</v>
      </c>
      <c r="B34" s="1652">
        <f>+F34/C34</f>
        <v>7878</v>
      </c>
      <c r="C34" s="1652">
        <v>2000</v>
      </c>
      <c r="D34" s="1652">
        <v>94</v>
      </c>
      <c r="E34" s="1650">
        <f>+B34/D34</f>
        <v>83.808510638297875</v>
      </c>
      <c r="F34" s="1650">
        <v>15756000</v>
      </c>
      <c r="G34" s="1650">
        <f t="shared" si="2"/>
        <v>15756000</v>
      </c>
      <c r="H34" s="1651">
        <f>B34/D34</f>
        <v>83.808510638297875</v>
      </c>
      <c r="I34" s="1302"/>
      <c r="J34" s="1302"/>
      <c r="K34" s="1302"/>
      <c r="L34" s="1302"/>
      <c r="M34" s="1302"/>
      <c r="N34" s="1302"/>
      <c r="O34" s="1302"/>
    </row>
    <row r="35" spans="1:23" s="1300" customFormat="1" ht="21.75" customHeight="1">
      <c r="A35" s="1653" t="s">
        <v>636</v>
      </c>
      <c r="B35" s="1654">
        <f>+F35/C35</f>
        <v>7408</v>
      </c>
      <c r="C35" s="1654">
        <v>2000</v>
      </c>
      <c r="D35" s="1654">
        <v>94</v>
      </c>
      <c r="E35" s="1655">
        <f>+B35/D35</f>
        <v>78.808510638297875</v>
      </c>
      <c r="F35" s="1655">
        <v>14816000</v>
      </c>
      <c r="G35" s="1655"/>
      <c r="H35" s="1656">
        <f>B35/D35</f>
        <v>78.808510638297875</v>
      </c>
      <c r="I35" s="1302"/>
      <c r="J35" s="1302"/>
      <c r="K35" s="1302"/>
      <c r="L35" s="1302"/>
      <c r="M35" s="1302"/>
      <c r="N35" s="1302"/>
      <c r="O35" s="1302"/>
    </row>
    <row r="36" spans="1:23" s="1300" customFormat="1" ht="26.25" hidden="1" customHeight="1">
      <c r="A36" s="1503" t="s">
        <v>23</v>
      </c>
      <c r="B36" s="1504"/>
      <c r="C36" s="1504"/>
      <c r="D36" s="1504"/>
      <c r="E36" s="1504"/>
      <c r="F36" s="1505"/>
      <c r="G36" s="1506"/>
      <c r="H36" s="1507"/>
      <c r="I36" s="1302"/>
      <c r="J36" s="1302"/>
      <c r="K36" s="1302"/>
      <c r="L36" s="1302"/>
      <c r="M36" s="1302"/>
      <c r="N36" s="1302"/>
      <c r="O36" s="1302"/>
    </row>
    <row r="37" spans="1:23" s="1300" customFormat="1" ht="23.25" hidden="1">
      <c r="A37" s="1305" t="s">
        <v>435</v>
      </c>
      <c r="B37" s="1308">
        <f>B35/6500</f>
        <v>1.1396923076923078</v>
      </c>
      <c r="C37" s="1308"/>
      <c r="D37" s="1308"/>
      <c r="E37" s="1308"/>
      <c r="F37" s="1308"/>
      <c r="G37" s="1308"/>
      <c r="H37" s="1309"/>
      <c r="I37" s="1302"/>
      <c r="J37" s="1302"/>
      <c r="K37" s="1302"/>
    </row>
    <row r="38" spans="1:23" s="1300" customFormat="1" ht="23.25">
      <c r="A38" s="1511" t="s">
        <v>870</v>
      </c>
      <c r="B38" s="1303"/>
      <c r="C38" s="1310"/>
      <c r="D38" s="1303"/>
      <c r="E38" s="1303"/>
      <c r="F38" s="1302"/>
      <c r="G38" s="1302"/>
      <c r="H38" s="1302"/>
      <c r="I38" s="1302"/>
      <c r="J38" s="1302"/>
      <c r="K38" s="1302"/>
      <c r="Q38" s="1303"/>
      <c r="R38" s="1303"/>
      <c r="S38" s="1303"/>
      <c r="T38" s="1303"/>
      <c r="U38" s="1303"/>
      <c r="V38" s="1311"/>
      <c r="W38" s="1302"/>
    </row>
    <row r="39" spans="1:23" s="1300" customFormat="1" ht="23.25">
      <c r="B39" s="1303"/>
      <c r="C39" s="1303"/>
      <c r="D39" s="1303"/>
      <c r="E39" s="1303"/>
      <c r="F39" s="1302"/>
      <c r="G39" s="1302"/>
      <c r="H39" s="1302"/>
      <c r="I39" s="1302"/>
      <c r="J39" s="1302"/>
      <c r="K39" s="1302"/>
      <c r="Q39" s="1300" t="s">
        <v>33</v>
      </c>
    </row>
    <row r="40" spans="1:23" s="1300" customFormat="1" ht="23.25">
      <c r="B40" s="1303"/>
      <c r="C40" s="1303"/>
      <c r="D40" s="1303"/>
      <c r="E40" s="1303"/>
      <c r="F40" s="1302"/>
      <c r="G40" s="1302"/>
      <c r="H40" s="1302"/>
      <c r="I40" s="1302"/>
      <c r="J40" s="1302"/>
      <c r="K40" s="1302"/>
    </row>
    <row r="41" spans="1:23" s="1300" customFormat="1" ht="23.25">
      <c r="B41" s="1303"/>
      <c r="C41" s="1303"/>
      <c r="D41" s="1303"/>
      <c r="E41" s="1303"/>
      <c r="F41" s="1302"/>
      <c r="G41" s="1302"/>
      <c r="H41" s="1302"/>
      <c r="I41" s="1302"/>
      <c r="J41" s="1302"/>
      <c r="K41" s="1302"/>
    </row>
    <row r="42" spans="1:23" s="1300" customFormat="1"/>
    <row r="43" spans="1:23" s="1300" customFormat="1"/>
    <row r="44" spans="1:23" s="1300" customFormat="1"/>
    <row r="45" spans="1:23" s="1300" customFormat="1"/>
    <row r="46" spans="1:23" s="1300" customFormat="1"/>
    <row r="47" spans="1:23" s="1300" customFormat="1"/>
    <row r="48" spans="1:23" s="1300" customFormat="1"/>
    <row r="49" spans="16:16" s="1300" customFormat="1"/>
    <row r="50" spans="16:16" s="1300" customFormat="1"/>
    <row r="51" spans="16:16" s="1300" customFormat="1"/>
    <row r="52" spans="16:16" s="1300" customFormat="1"/>
    <row r="53" spans="16:16" s="1300" customFormat="1"/>
    <row r="54" spans="16:16" s="1300" customFormat="1"/>
    <row r="55" spans="16:16" s="1300" customFormat="1"/>
    <row r="56" spans="16:16" s="1300" customFormat="1"/>
    <row r="57" spans="16:16" s="1300" customFormat="1"/>
    <row r="58" spans="16:16" s="1300" customFormat="1"/>
    <row r="59" spans="16:16" s="1300" customFormat="1"/>
    <row r="60" spans="16:16" s="1300" customFormat="1"/>
    <row r="61" spans="16:16" s="1300" customFormat="1"/>
    <row r="62" spans="16:16" s="1300" customFormat="1">
      <c r="P62" s="1510" t="s">
        <v>33</v>
      </c>
    </row>
    <row r="63" spans="16:16" s="1300" customFormat="1"/>
    <row r="64" spans="16:16" s="1300" customFormat="1"/>
    <row r="65" spans="16:23">
      <c r="P65" s="1300"/>
      <c r="Q65" s="1300"/>
      <c r="R65" s="1300"/>
      <c r="S65" s="1300"/>
      <c r="T65" s="1300"/>
      <c r="U65" s="1300"/>
      <c r="V65" s="1300"/>
      <c r="W65" s="1300"/>
    </row>
  </sheetData>
  <mergeCells count="1">
    <mergeCell ref="A1:N1"/>
  </mergeCells>
  <printOptions horizontalCentered="1" verticalCentered="1"/>
  <pageMargins left="0.39370078740157483" right="0.39370078740157483" top="0.23622047244094491" bottom="0.23622047244094491" header="0.31496062992125984" footer="0.41"/>
  <pageSetup scale="46" orientation="landscape" r:id="rId1"/>
  <colBreaks count="1" manualBreakCount="1">
    <brk id="5" max="112" man="1"/>
  </colBreaks>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85" zoomScaleNormal="70" zoomScaleSheetLayoutView="85" workbookViewId="0">
      <pane ySplit="1" topLeftCell="A2" activePane="bottomLeft" state="frozen"/>
      <selection pane="bottomLeft" activeCell="F6" sqref="F6"/>
    </sheetView>
  </sheetViews>
  <sheetFormatPr baseColWidth="10" defaultColWidth="11.42578125" defaultRowHeight="15"/>
  <cols>
    <col min="1" max="1" width="16.42578125" style="84" customWidth="1"/>
    <col min="2" max="2" width="20.5703125" style="84" customWidth="1"/>
    <col min="3" max="3" width="11.42578125" style="84" customWidth="1"/>
    <col min="4" max="4" width="8.85546875" style="84" bestFit="1" customWidth="1"/>
    <col min="5" max="5" width="16.7109375" style="84" customWidth="1"/>
    <col min="6" max="6" width="16.42578125" style="84" customWidth="1"/>
    <col min="7" max="7" width="24.85546875" style="84" customWidth="1"/>
    <col min="8" max="8" width="29.42578125" style="84" customWidth="1"/>
    <col min="9" max="9" width="28.85546875" style="84" customWidth="1"/>
    <col min="10" max="10" width="7.42578125" style="84" customWidth="1"/>
    <col min="11" max="16384" width="11.42578125" style="84"/>
  </cols>
  <sheetData>
    <row r="1" spans="1:11" ht="65.25" customHeight="1">
      <c r="A1" s="1780"/>
      <c r="B1" s="1780"/>
      <c r="C1" s="1780"/>
      <c r="D1" s="1780"/>
      <c r="E1" s="1780"/>
      <c r="F1" s="1780"/>
      <c r="G1" s="1780"/>
      <c r="H1" s="1780"/>
      <c r="I1" s="1780"/>
      <c r="J1" s="195"/>
    </row>
    <row r="2" spans="1:11" s="44" customFormat="1" ht="6" customHeight="1">
      <c r="A2" s="1219"/>
      <c r="B2" s="1219"/>
      <c r="C2" s="1219"/>
      <c r="D2" s="1219"/>
      <c r="E2" s="1219"/>
      <c r="F2" s="1219"/>
      <c r="G2" s="1219"/>
      <c r="H2" s="1219"/>
      <c r="I2" s="1219"/>
      <c r="J2" s="1219"/>
    </row>
    <row r="3" spans="1:11" ht="21.75" customHeight="1">
      <c r="A3" s="550" t="s">
        <v>47</v>
      </c>
      <c r="B3" s="353" t="s">
        <v>949</v>
      </c>
    </row>
    <row r="4" spans="1:11" ht="17.25" customHeight="1">
      <c r="A4" s="1296">
        <v>2009</v>
      </c>
      <c r="B4" s="1509">
        <v>16656000</v>
      </c>
    </row>
    <row r="5" spans="1:11" ht="15.75" customHeight="1">
      <c r="A5" s="1296">
        <v>2010</v>
      </c>
      <c r="B5" s="1509">
        <v>68030000</v>
      </c>
      <c r="C5" s="41"/>
    </row>
    <row r="6" spans="1:11" ht="17.25" customHeight="1">
      <c r="A6" s="1296">
        <v>2011</v>
      </c>
      <c r="B6" s="1509">
        <v>168385579.84999999</v>
      </c>
      <c r="C6" s="32"/>
    </row>
    <row r="7" spans="1:11" ht="17.25" customHeight="1">
      <c r="A7" s="1296">
        <v>2012</v>
      </c>
      <c r="B7" s="1509">
        <v>182376500</v>
      </c>
      <c r="C7" s="32"/>
    </row>
    <row r="8" spans="1:11" ht="18.75" customHeight="1">
      <c r="A8" s="1296">
        <v>2013</v>
      </c>
      <c r="B8" s="1509">
        <v>141194000</v>
      </c>
      <c r="C8" s="32"/>
    </row>
    <row r="9" spans="1:11" ht="18" customHeight="1">
      <c r="A9" s="1296">
        <v>2014</v>
      </c>
      <c r="B9" s="1509">
        <v>262429320</v>
      </c>
      <c r="C9" s="32"/>
    </row>
    <row r="10" spans="1:11" ht="15.75">
      <c r="A10" s="1059" t="s">
        <v>632</v>
      </c>
      <c r="B10" s="1509">
        <v>14816000</v>
      </c>
    </row>
    <row r="11" spans="1:11" ht="18.75">
      <c r="A11" s="1297" t="s">
        <v>23</v>
      </c>
      <c r="B11" s="1508">
        <f>SUM(B4:B10)</f>
        <v>853887399.85000002</v>
      </c>
    </row>
    <row r="14" spans="1:11">
      <c r="K14" s="196"/>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5" orientation="landscape" r:id="rId1"/>
  <rowBreaks count="1" manualBreakCount="1">
    <brk id="5" max="16383" man="1"/>
  </rowBreaks>
  <drawing r:id="rId2"/>
  <legacy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1"/>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84"/>
    <col min="7" max="7" width="9.42578125" style="84" customWidth="1"/>
    <col min="8" max="16384" width="11.42578125" style="84"/>
  </cols>
  <sheetData>
    <row r="11" spans="4:4" ht="61.5">
      <c r="D11" s="1410"/>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84"/>
    <col min="7" max="7" width="9.42578125" style="84" customWidth="1"/>
    <col min="8" max="16384" width="11.42578125" style="84"/>
  </cols>
  <sheetData>
    <row r="5" spans="1:15" ht="6.75" customHeight="1">
      <c r="A5" s="1889" t="s">
        <v>846</v>
      </c>
      <c r="B5" s="1889"/>
      <c r="C5" s="1889"/>
      <c r="D5" s="1889"/>
      <c r="E5" s="1889"/>
      <c r="F5" s="1889"/>
      <c r="G5" s="1889"/>
      <c r="H5" s="1889"/>
      <c r="I5" s="1889"/>
      <c r="J5" s="1889"/>
      <c r="K5" s="1889"/>
      <c r="L5" s="1889"/>
      <c r="M5" s="1889"/>
      <c r="N5" s="1889"/>
      <c r="O5" s="1889"/>
    </row>
    <row r="6" spans="1:15" ht="17.25" customHeight="1">
      <c r="A6" s="1889"/>
      <c r="B6" s="1889"/>
      <c r="C6" s="1889"/>
      <c r="D6" s="1889"/>
      <c r="E6" s="1889"/>
      <c r="F6" s="1889"/>
      <c r="G6" s="1889"/>
      <c r="H6" s="1889"/>
      <c r="I6" s="1889"/>
      <c r="J6" s="1889"/>
      <c r="K6" s="1889"/>
      <c r="L6" s="1889"/>
      <c r="M6" s="1889"/>
      <c r="N6" s="1889"/>
      <c r="O6" s="1889"/>
    </row>
    <row r="7" spans="1:15">
      <c r="A7" s="1889"/>
      <c r="B7" s="1889"/>
      <c r="C7" s="1889"/>
      <c r="D7" s="1889"/>
      <c r="E7" s="1889"/>
      <c r="F7" s="1889"/>
      <c r="G7" s="1889"/>
      <c r="H7" s="1889"/>
      <c r="I7" s="1889"/>
      <c r="J7" s="1889"/>
      <c r="K7" s="1889"/>
      <c r="L7" s="1889"/>
      <c r="M7" s="1889"/>
      <c r="N7" s="1889"/>
      <c r="O7" s="1889"/>
    </row>
    <row r="8" spans="1:15">
      <c r="A8" s="1889"/>
      <c r="B8" s="1889"/>
      <c r="C8" s="1889"/>
      <c r="D8" s="1889"/>
      <c r="E8" s="1889"/>
      <c r="F8" s="1889"/>
      <c r="G8" s="1889"/>
      <c r="H8" s="1889"/>
      <c r="I8" s="1889"/>
      <c r="J8" s="1889"/>
      <c r="K8" s="1889"/>
      <c r="L8" s="1889"/>
      <c r="M8" s="1889"/>
      <c r="N8" s="1889"/>
      <c r="O8" s="1889"/>
    </row>
    <row r="9" spans="1:15">
      <c r="A9" s="1889"/>
      <c r="B9" s="1889"/>
      <c r="C9" s="1889"/>
      <c r="D9" s="1889"/>
      <c r="E9" s="1889"/>
      <c r="F9" s="1889"/>
      <c r="G9" s="1889"/>
      <c r="H9" s="1889"/>
      <c r="I9" s="1889"/>
      <c r="J9" s="1889"/>
      <c r="K9" s="1889"/>
      <c r="L9" s="1889"/>
      <c r="M9" s="1889"/>
      <c r="N9" s="1889"/>
      <c r="O9" s="1889"/>
    </row>
    <row r="10" spans="1:15">
      <c r="A10" s="1889"/>
      <c r="B10" s="1889"/>
      <c r="C10" s="1889"/>
      <c r="D10" s="1889"/>
      <c r="E10" s="1889"/>
      <c r="F10" s="1889"/>
      <c r="G10" s="1889"/>
      <c r="H10" s="1889"/>
      <c r="I10" s="1889"/>
      <c r="J10" s="1889"/>
      <c r="K10" s="1889"/>
      <c r="L10" s="1889"/>
      <c r="M10" s="1889"/>
      <c r="N10" s="1889"/>
      <c r="O10" s="1889"/>
    </row>
    <row r="11" spans="1:15">
      <c r="A11" s="1889"/>
      <c r="B11" s="1889"/>
      <c r="C11" s="1889"/>
      <c r="D11" s="1889"/>
      <c r="E11" s="1889"/>
      <c r="F11" s="1889"/>
      <c r="G11" s="1889"/>
      <c r="H11" s="1889"/>
      <c r="I11" s="1889"/>
      <c r="J11" s="1889"/>
      <c r="K11" s="1889"/>
      <c r="L11" s="1889"/>
      <c r="M11" s="1889"/>
      <c r="N11" s="1889"/>
      <c r="O11" s="1889"/>
    </row>
    <row r="12" spans="1:15">
      <c r="A12" s="1889"/>
      <c r="B12" s="1889"/>
      <c r="C12" s="1889"/>
      <c r="D12" s="1889"/>
      <c r="E12" s="1889"/>
      <c r="F12" s="1889"/>
      <c r="G12" s="1889"/>
      <c r="H12" s="1889"/>
      <c r="I12" s="1889"/>
      <c r="J12" s="1889"/>
      <c r="K12" s="1889"/>
      <c r="L12" s="1889"/>
      <c r="M12" s="1889"/>
      <c r="N12" s="1889"/>
      <c r="O12" s="1889"/>
    </row>
    <row r="13" spans="1:15">
      <c r="A13" s="1889"/>
      <c r="B13" s="1889"/>
      <c r="C13" s="1889"/>
      <c r="D13" s="1889"/>
      <c r="E13" s="1889"/>
      <c r="F13" s="1889"/>
      <c r="G13" s="1889"/>
      <c r="H13" s="1889"/>
      <c r="I13" s="1889"/>
      <c r="J13" s="1889"/>
      <c r="K13" s="1889"/>
      <c r="L13" s="1889"/>
      <c r="M13" s="1889"/>
      <c r="N13" s="1889"/>
      <c r="O13" s="1889"/>
    </row>
    <row r="14" spans="1:15">
      <c r="A14" s="1889"/>
      <c r="B14" s="1889"/>
      <c r="C14" s="1889"/>
      <c r="D14" s="1889"/>
      <c r="E14" s="1889"/>
      <c r="F14" s="1889"/>
      <c r="G14" s="1889"/>
      <c r="H14" s="1889"/>
      <c r="I14" s="1889"/>
      <c r="J14" s="1889"/>
      <c r="K14" s="1889"/>
      <c r="L14" s="1889"/>
      <c r="M14" s="1889"/>
      <c r="N14" s="1889"/>
      <c r="O14" s="1889"/>
    </row>
    <row r="15" spans="1:15">
      <c r="A15" s="1889"/>
      <c r="B15" s="1889"/>
      <c r="C15" s="1889"/>
      <c r="D15" s="1889"/>
      <c r="E15" s="1889"/>
      <c r="F15" s="1889"/>
      <c r="G15" s="1889"/>
      <c r="H15" s="1889"/>
      <c r="I15" s="1889"/>
      <c r="J15" s="1889"/>
      <c r="K15" s="1889"/>
      <c r="L15" s="1889"/>
      <c r="M15" s="1889"/>
      <c r="N15" s="1889"/>
      <c r="O15" s="1889"/>
    </row>
    <row r="16" spans="1:15">
      <c r="A16" s="1889"/>
      <c r="B16" s="1889"/>
      <c r="C16" s="1889"/>
      <c r="D16" s="1889"/>
      <c r="E16" s="1889"/>
      <c r="F16" s="1889"/>
      <c r="G16" s="1889"/>
      <c r="H16" s="1889"/>
      <c r="I16" s="1889"/>
      <c r="J16" s="1889"/>
      <c r="K16" s="1889"/>
      <c r="L16" s="1889"/>
      <c r="M16" s="1889"/>
      <c r="N16" s="1889"/>
      <c r="O16" s="1889"/>
    </row>
    <row r="17" spans="1:18">
      <c r="A17" s="1889"/>
      <c r="B17" s="1889"/>
      <c r="C17" s="1889"/>
      <c r="D17" s="1889"/>
      <c r="E17" s="1889"/>
      <c r="F17" s="1889"/>
      <c r="G17" s="1889"/>
      <c r="H17" s="1889"/>
      <c r="I17" s="1889"/>
      <c r="J17" s="1889"/>
      <c r="K17" s="1889"/>
      <c r="L17" s="1889"/>
      <c r="M17" s="1889"/>
      <c r="N17" s="1889"/>
      <c r="O17" s="1889"/>
    </row>
    <row r="18" spans="1:18">
      <c r="A18" s="1889"/>
      <c r="B18" s="1889"/>
      <c r="C18" s="1889"/>
      <c r="D18" s="1889"/>
      <c r="E18" s="1889"/>
      <c r="F18" s="1889"/>
      <c r="G18" s="1889"/>
      <c r="H18" s="1889"/>
      <c r="I18" s="1889"/>
      <c r="J18" s="1889"/>
      <c r="K18" s="1889"/>
      <c r="L18" s="1889"/>
      <c r="M18" s="1889"/>
      <c r="N18" s="1889"/>
      <c r="O18" s="1889"/>
    </row>
    <row r="19" spans="1:18">
      <c r="A19" s="1889"/>
      <c r="B19" s="1889"/>
      <c r="C19" s="1889"/>
      <c r="D19" s="1889"/>
      <c r="E19" s="1889"/>
      <c r="F19" s="1889"/>
      <c r="G19" s="1889"/>
      <c r="H19" s="1889"/>
      <c r="I19" s="1889"/>
      <c r="J19" s="1889"/>
      <c r="K19" s="1889"/>
      <c r="L19" s="1889"/>
      <c r="M19" s="1889"/>
      <c r="N19" s="1889"/>
      <c r="O19" s="1889"/>
    </row>
    <row r="20" spans="1:18">
      <c r="A20" s="1889"/>
      <c r="B20" s="1889"/>
      <c r="C20" s="1889"/>
      <c r="D20" s="1889"/>
      <c r="E20" s="1889"/>
      <c r="F20" s="1889"/>
      <c r="G20" s="1889"/>
      <c r="H20" s="1889"/>
      <c r="I20" s="1889"/>
      <c r="J20" s="1889"/>
      <c r="K20" s="1889"/>
      <c r="L20" s="1889"/>
      <c r="M20" s="1889"/>
      <c r="N20" s="1889"/>
      <c r="O20" s="1889"/>
      <c r="R20" s="19"/>
    </row>
    <row r="21" spans="1:18">
      <c r="A21" s="1889"/>
      <c r="B21" s="1889"/>
      <c r="C21" s="1889"/>
      <c r="D21" s="1889"/>
      <c r="E21" s="1889"/>
      <c r="F21" s="1889"/>
      <c r="G21" s="1889"/>
      <c r="H21" s="1889"/>
      <c r="I21" s="1889"/>
      <c r="J21" s="1889"/>
      <c r="K21" s="1889"/>
      <c r="L21" s="1889"/>
      <c r="M21" s="1889"/>
      <c r="N21" s="1889"/>
      <c r="O21" s="1889"/>
    </row>
    <row r="22" spans="1:18">
      <c r="A22" s="1889"/>
      <c r="B22" s="1889"/>
      <c r="C22" s="1889"/>
      <c r="D22" s="1889"/>
      <c r="E22" s="1889"/>
      <c r="F22" s="1889"/>
      <c r="G22" s="1889"/>
      <c r="H22" s="1889"/>
      <c r="I22" s="1889"/>
      <c r="J22" s="1889"/>
      <c r="K22" s="1889"/>
      <c r="L22" s="1889"/>
      <c r="M22" s="1889"/>
      <c r="N22" s="1889"/>
      <c r="O22" s="1889"/>
    </row>
    <row r="23" spans="1:18">
      <c r="A23" s="1889"/>
      <c r="B23" s="1889"/>
      <c r="C23" s="1889"/>
      <c r="D23" s="1889"/>
      <c r="E23" s="1889"/>
      <c r="F23" s="1889"/>
      <c r="G23" s="1889"/>
      <c r="H23" s="1889"/>
      <c r="I23" s="1889"/>
      <c r="J23" s="1889"/>
      <c r="K23" s="1889"/>
      <c r="L23" s="1889"/>
      <c r="M23" s="1889"/>
      <c r="N23" s="1889"/>
      <c r="O23" s="1889"/>
    </row>
    <row r="24" spans="1:18">
      <c r="A24" s="1889"/>
      <c r="B24" s="1889"/>
      <c r="C24" s="1889"/>
      <c r="D24" s="1889"/>
      <c r="E24" s="1889"/>
      <c r="F24" s="1889"/>
      <c r="G24" s="1889"/>
      <c r="H24" s="1889"/>
      <c r="I24" s="1889"/>
      <c r="J24" s="1889"/>
      <c r="K24" s="1889"/>
      <c r="L24" s="1889"/>
      <c r="M24" s="1889"/>
      <c r="N24" s="1889"/>
      <c r="O24" s="1889"/>
    </row>
    <row r="25" spans="1:18">
      <c r="A25" s="1889"/>
      <c r="B25" s="1889"/>
      <c r="C25" s="1889"/>
      <c r="D25" s="1889"/>
      <c r="E25" s="1889"/>
      <c r="F25" s="1889"/>
      <c r="G25" s="1889"/>
      <c r="H25" s="1889"/>
      <c r="I25" s="1889"/>
      <c r="J25" s="1889"/>
      <c r="K25" s="1889"/>
      <c r="L25" s="1889"/>
      <c r="M25" s="1889"/>
      <c r="N25" s="1889"/>
      <c r="O25" s="1889"/>
    </row>
    <row r="26" spans="1:18">
      <c r="A26" s="1889"/>
      <c r="B26" s="1889"/>
      <c r="C26" s="1889"/>
      <c r="D26" s="1889"/>
      <c r="E26" s="1889"/>
      <c r="F26" s="1889"/>
      <c r="G26" s="1889"/>
      <c r="H26" s="1889"/>
      <c r="I26" s="1889"/>
      <c r="J26" s="1889"/>
      <c r="K26" s="1889"/>
      <c r="L26" s="1889"/>
      <c r="M26" s="1889"/>
      <c r="N26" s="1889"/>
      <c r="O26" s="1889"/>
    </row>
    <row r="27" spans="1:18">
      <c r="A27" s="1889"/>
      <c r="B27" s="1889"/>
      <c r="C27" s="1889"/>
      <c r="D27" s="1889"/>
      <c r="E27" s="1889"/>
      <c r="F27" s="1889"/>
      <c r="G27" s="1889"/>
      <c r="H27" s="1889"/>
      <c r="I27" s="1889"/>
      <c r="J27" s="1889"/>
      <c r="K27" s="1889"/>
      <c r="L27" s="1889"/>
      <c r="M27" s="1889"/>
      <c r="N27" s="1889"/>
      <c r="O27" s="1889"/>
    </row>
    <row r="28" spans="1:18">
      <c r="A28" s="1889"/>
      <c r="B28" s="1889"/>
      <c r="C28" s="1889"/>
      <c r="D28" s="1889"/>
      <c r="E28" s="1889"/>
      <c r="F28" s="1889"/>
      <c r="G28" s="1889"/>
      <c r="H28" s="1889"/>
      <c r="I28" s="1889"/>
      <c r="J28" s="1889"/>
      <c r="K28" s="1889"/>
      <c r="L28" s="1889"/>
      <c r="M28" s="1889"/>
      <c r="N28" s="1889"/>
      <c r="O28" s="1889"/>
    </row>
    <row r="29" spans="1:18">
      <c r="A29" s="1889"/>
      <c r="B29" s="1889"/>
      <c r="C29" s="1889"/>
      <c r="D29" s="1889"/>
      <c r="E29" s="1889"/>
      <c r="F29" s="1889"/>
      <c r="G29" s="1889"/>
      <c r="H29" s="1889"/>
      <c r="I29" s="1889"/>
      <c r="J29" s="1889"/>
      <c r="K29" s="1889"/>
      <c r="L29" s="1889"/>
      <c r="M29" s="1889"/>
      <c r="N29" s="1889"/>
      <c r="O29" s="1889"/>
    </row>
    <row r="30" spans="1:18">
      <c r="A30" s="1889"/>
      <c r="B30" s="1889"/>
      <c r="C30" s="1889"/>
      <c r="D30" s="1889"/>
      <c r="E30" s="1889"/>
      <c r="F30" s="1889"/>
      <c r="G30" s="1889"/>
      <c r="H30" s="1889"/>
      <c r="I30" s="1889"/>
      <c r="J30" s="1889"/>
      <c r="K30" s="1889"/>
      <c r="L30" s="1889"/>
      <c r="M30" s="1889"/>
      <c r="N30" s="1889"/>
      <c r="O30" s="1889"/>
    </row>
    <row r="31" spans="1:18">
      <c r="A31" s="1889"/>
      <c r="B31" s="1889"/>
      <c r="C31" s="1889"/>
      <c r="D31" s="1889"/>
      <c r="E31" s="1889"/>
      <c r="F31" s="1889"/>
      <c r="G31" s="1889"/>
      <c r="H31" s="1889"/>
      <c r="I31" s="1889"/>
      <c r="J31" s="1889"/>
      <c r="K31" s="1889"/>
      <c r="L31" s="1889"/>
      <c r="M31" s="1889"/>
      <c r="N31" s="1889"/>
      <c r="O31" s="1889"/>
    </row>
    <row r="32" spans="1:18">
      <c r="A32" s="1889"/>
      <c r="B32" s="1889"/>
      <c r="C32" s="1889"/>
      <c r="D32" s="1889"/>
      <c r="E32" s="1889"/>
      <c r="F32" s="1889"/>
      <c r="G32" s="1889"/>
      <c r="H32" s="1889"/>
      <c r="I32" s="1889"/>
      <c r="J32" s="1889"/>
      <c r="K32" s="1889"/>
      <c r="L32" s="1889"/>
      <c r="M32" s="1889"/>
      <c r="N32" s="1889"/>
      <c r="O32" s="1889"/>
    </row>
    <row r="33" spans="1:15">
      <c r="A33" s="1889"/>
      <c r="B33" s="1889"/>
      <c r="C33" s="1889"/>
      <c r="D33" s="1889"/>
      <c r="E33" s="1889"/>
      <c r="F33" s="1889"/>
      <c r="G33" s="1889"/>
      <c r="H33" s="1889"/>
      <c r="I33" s="1889"/>
      <c r="J33" s="1889"/>
      <c r="K33" s="1889"/>
      <c r="L33" s="1889"/>
      <c r="M33" s="1889"/>
      <c r="N33" s="1889"/>
      <c r="O33" s="1889"/>
    </row>
    <row r="34" spans="1:15">
      <c r="A34" s="1889"/>
      <c r="B34" s="1889"/>
      <c r="C34" s="1889"/>
      <c r="D34" s="1889"/>
      <c r="E34" s="1889"/>
      <c r="F34" s="1889"/>
      <c r="G34" s="1889"/>
      <c r="H34" s="1889"/>
      <c r="I34" s="1889"/>
      <c r="J34" s="1889"/>
      <c r="K34" s="1889"/>
      <c r="L34" s="1889"/>
      <c r="M34" s="1889"/>
      <c r="N34" s="1889"/>
      <c r="O34" s="1889"/>
    </row>
    <row r="35" spans="1:15">
      <c r="A35" s="1889"/>
      <c r="B35" s="1889"/>
      <c r="C35" s="1889"/>
      <c r="D35" s="1889"/>
      <c r="E35" s="1889"/>
      <c r="F35" s="1889"/>
      <c r="G35" s="1889"/>
      <c r="H35" s="1889"/>
      <c r="I35" s="1889"/>
      <c r="J35" s="1889"/>
      <c r="K35" s="1889"/>
      <c r="L35" s="1889"/>
      <c r="M35" s="1889"/>
      <c r="N35" s="1889"/>
      <c r="O35" s="1889"/>
    </row>
    <row r="36" spans="1:15">
      <c r="A36" s="1889"/>
      <c r="B36" s="1889"/>
      <c r="C36" s="1889"/>
      <c r="D36" s="1889"/>
      <c r="E36" s="1889"/>
      <c r="F36" s="1889"/>
      <c r="G36" s="1889"/>
      <c r="H36" s="1889"/>
      <c r="I36" s="1889"/>
      <c r="J36" s="1889"/>
      <c r="K36" s="1889"/>
      <c r="L36" s="1889"/>
      <c r="M36" s="1889"/>
      <c r="N36" s="1889"/>
      <c r="O36" s="1889"/>
    </row>
    <row r="37" spans="1:15">
      <c r="A37" s="1889"/>
      <c r="B37" s="1889"/>
      <c r="C37" s="1889"/>
      <c r="D37" s="1889"/>
      <c r="E37" s="1889"/>
      <c r="F37" s="1889"/>
      <c r="G37" s="1889"/>
      <c r="H37" s="1889"/>
      <c r="I37" s="1889"/>
      <c r="J37" s="1889"/>
      <c r="K37" s="1889"/>
      <c r="L37" s="1889"/>
      <c r="M37" s="1889"/>
      <c r="N37" s="1889"/>
      <c r="O37" s="1889"/>
    </row>
    <row r="38" spans="1:15">
      <c r="A38" s="1889"/>
      <c r="B38" s="1889"/>
      <c r="C38" s="1889"/>
      <c r="D38" s="1889"/>
      <c r="E38" s="1889"/>
      <c r="F38" s="1889"/>
      <c r="G38" s="1889"/>
      <c r="H38" s="1889"/>
      <c r="I38" s="1889"/>
      <c r="J38" s="1889"/>
      <c r="K38" s="1889"/>
      <c r="L38" s="1889"/>
      <c r="M38" s="1889"/>
      <c r="N38" s="1889"/>
      <c r="O38" s="1889"/>
    </row>
    <row r="39" spans="1:15">
      <c r="A39" s="1889"/>
      <c r="B39" s="1889"/>
      <c r="C39" s="1889"/>
      <c r="D39" s="1889"/>
      <c r="E39" s="1889"/>
      <c r="F39" s="1889"/>
      <c r="G39" s="1889"/>
      <c r="H39" s="1889"/>
      <c r="I39" s="1889"/>
      <c r="J39" s="1889"/>
      <c r="K39" s="1889"/>
      <c r="L39" s="1889"/>
      <c r="M39" s="1889"/>
      <c r="N39" s="1889"/>
      <c r="O39" s="1889"/>
    </row>
    <row r="40" spans="1:15">
      <c r="A40" s="1889"/>
      <c r="B40" s="1889"/>
      <c r="C40" s="1889"/>
      <c r="D40" s="1889"/>
      <c r="E40" s="1889"/>
      <c r="F40" s="1889"/>
      <c r="G40" s="1889"/>
      <c r="H40" s="1889"/>
      <c r="I40" s="1889"/>
      <c r="J40" s="1889"/>
      <c r="K40" s="1889"/>
      <c r="L40" s="1889"/>
      <c r="M40" s="1889"/>
      <c r="N40" s="1889"/>
      <c r="O40" s="1889"/>
    </row>
    <row r="41" spans="1:15">
      <c r="A41" s="1889"/>
      <c r="B41" s="1889"/>
      <c r="C41" s="1889"/>
      <c r="D41" s="1889"/>
      <c r="E41" s="1889"/>
      <c r="F41" s="1889"/>
      <c r="G41" s="1889"/>
      <c r="H41" s="1889"/>
      <c r="I41" s="1889"/>
      <c r="J41" s="1889"/>
      <c r="K41" s="1889"/>
      <c r="L41" s="1889"/>
      <c r="M41" s="1889"/>
      <c r="N41" s="1889"/>
      <c r="O41" s="1889"/>
    </row>
    <row r="42" spans="1:15">
      <c r="A42" s="1889"/>
      <c r="B42" s="1889"/>
      <c r="C42" s="1889"/>
      <c r="D42" s="1889"/>
      <c r="E42" s="1889"/>
      <c r="F42" s="1889"/>
      <c r="G42" s="1889"/>
      <c r="H42" s="1889"/>
      <c r="I42" s="1889"/>
      <c r="J42" s="1889"/>
      <c r="K42" s="1889"/>
      <c r="L42" s="1889"/>
      <c r="M42" s="1889"/>
      <c r="N42" s="1889"/>
      <c r="O42" s="1889"/>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7:N34"/>
  <sheetViews>
    <sheetView showGridLines="0" view="pageBreakPreview" zoomScale="85" zoomScaleNormal="100" zoomScaleSheetLayoutView="85" workbookViewId="0">
      <selection activeCell="P30" sqref="P30"/>
    </sheetView>
  </sheetViews>
  <sheetFormatPr baseColWidth="10" defaultColWidth="11.42578125" defaultRowHeight="15"/>
  <cols>
    <col min="1" max="6" width="11.42578125" style="84"/>
    <col min="7" max="7" width="8.85546875" style="84" customWidth="1"/>
    <col min="8" max="16384" width="11.42578125" style="84"/>
  </cols>
  <sheetData>
    <row r="7" spans="1:14">
      <c r="A7" s="1890" t="s">
        <v>908</v>
      </c>
      <c r="B7" s="1890"/>
      <c r="C7" s="1890"/>
      <c r="D7" s="1890"/>
      <c r="E7" s="1890"/>
      <c r="F7" s="1890"/>
      <c r="G7" s="1890"/>
      <c r="H7" s="1890"/>
      <c r="I7" s="1890"/>
      <c r="J7" s="1890"/>
      <c r="K7" s="1890"/>
      <c r="L7" s="1890"/>
      <c r="M7" s="1890"/>
      <c r="N7" s="1890"/>
    </row>
    <row r="8" spans="1:14">
      <c r="A8" s="1890"/>
      <c r="B8" s="1890"/>
      <c r="C8" s="1890"/>
      <c r="D8" s="1890"/>
      <c r="E8" s="1890"/>
      <c r="F8" s="1890"/>
      <c r="G8" s="1890"/>
      <c r="H8" s="1890"/>
      <c r="I8" s="1890"/>
      <c r="J8" s="1890"/>
      <c r="K8" s="1890"/>
      <c r="L8" s="1890"/>
      <c r="M8" s="1890"/>
      <c r="N8" s="1890"/>
    </row>
    <row r="9" spans="1:14">
      <c r="A9" s="1890"/>
      <c r="B9" s="1890"/>
      <c r="C9" s="1890"/>
      <c r="D9" s="1890"/>
      <c r="E9" s="1890"/>
      <c r="F9" s="1890"/>
      <c r="G9" s="1890"/>
      <c r="H9" s="1890"/>
      <c r="I9" s="1890"/>
      <c r="J9" s="1890"/>
      <c r="K9" s="1890"/>
      <c r="L9" s="1890"/>
      <c r="M9" s="1890"/>
      <c r="N9" s="1890"/>
    </row>
    <row r="10" spans="1:14">
      <c r="A10" s="1890"/>
      <c r="B10" s="1890"/>
      <c r="C10" s="1890"/>
      <c r="D10" s="1890"/>
      <c r="E10" s="1890"/>
      <c r="F10" s="1890"/>
      <c r="G10" s="1890"/>
      <c r="H10" s="1890"/>
      <c r="I10" s="1890"/>
      <c r="J10" s="1890"/>
      <c r="K10" s="1890"/>
      <c r="L10" s="1890"/>
      <c r="M10" s="1890"/>
      <c r="N10" s="1890"/>
    </row>
    <row r="11" spans="1:14">
      <c r="A11" s="1890"/>
      <c r="B11" s="1890"/>
      <c r="C11" s="1890"/>
      <c r="D11" s="1890"/>
      <c r="E11" s="1890"/>
      <c r="F11" s="1890"/>
      <c r="G11" s="1890"/>
      <c r="H11" s="1890"/>
      <c r="I11" s="1890"/>
      <c r="J11" s="1890"/>
      <c r="K11" s="1890"/>
      <c r="L11" s="1890"/>
      <c r="M11" s="1890"/>
      <c r="N11" s="1890"/>
    </row>
    <row r="12" spans="1:14">
      <c r="A12" s="1890"/>
      <c r="B12" s="1890"/>
      <c r="C12" s="1890"/>
      <c r="D12" s="1890"/>
      <c r="E12" s="1890"/>
      <c r="F12" s="1890"/>
      <c r="G12" s="1890"/>
      <c r="H12" s="1890"/>
      <c r="I12" s="1890"/>
      <c r="J12" s="1890"/>
      <c r="K12" s="1890"/>
      <c r="L12" s="1890"/>
      <c r="M12" s="1890"/>
      <c r="N12" s="1890"/>
    </row>
    <row r="13" spans="1:14">
      <c r="A13" s="1890"/>
      <c r="B13" s="1890"/>
      <c r="C13" s="1890"/>
      <c r="D13" s="1890"/>
      <c r="E13" s="1890"/>
      <c r="F13" s="1890"/>
      <c r="G13" s="1890"/>
      <c r="H13" s="1890"/>
      <c r="I13" s="1890"/>
      <c r="J13" s="1890"/>
      <c r="K13" s="1890"/>
      <c r="L13" s="1890"/>
      <c r="M13" s="1890"/>
      <c r="N13" s="1890"/>
    </row>
    <row r="14" spans="1:14">
      <c r="A14" s="1890"/>
      <c r="B14" s="1890"/>
      <c r="C14" s="1890"/>
      <c r="D14" s="1890"/>
      <c r="E14" s="1890"/>
      <c r="F14" s="1890"/>
      <c r="G14" s="1890"/>
      <c r="H14" s="1890"/>
      <c r="I14" s="1890"/>
      <c r="J14" s="1890"/>
      <c r="K14" s="1890"/>
      <c r="L14" s="1890"/>
      <c r="M14" s="1890"/>
      <c r="N14" s="1890"/>
    </row>
    <row r="15" spans="1:14">
      <c r="A15" s="1890"/>
      <c r="B15" s="1890"/>
      <c r="C15" s="1890"/>
      <c r="D15" s="1890"/>
      <c r="E15" s="1890"/>
      <c r="F15" s="1890"/>
      <c r="G15" s="1890"/>
      <c r="H15" s="1890"/>
      <c r="I15" s="1890"/>
      <c r="J15" s="1890"/>
      <c r="K15" s="1890"/>
      <c r="L15" s="1890"/>
      <c r="M15" s="1890"/>
      <c r="N15" s="1890"/>
    </row>
    <row r="16" spans="1:14">
      <c r="A16" s="1890"/>
      <c r="B16" s="1890"/>
      <c r="C16" s="1890"/>
      <c r="D16" s="1890"/>
      <c r="E16" s="1890"/>
      <c r="F16" s="1890"/>
      <c r="G16" s="1890"/>
      <c r="H16" s="1890"/>
      <c r="I16" s="1890"/>
      <c r="J16" s="1890"/>
      <c r="K16" s="1890"/>
      <c r="L16" s="1890"/>
      <c r="M16" s="1890"/>
      <c r="N16" s="1890"/>
    </row>
    <row r="17" spans="1:14">
      <c r="A17" s="1890"/>
      <c r="B17" s="1890"/>
      <c r="C17" s="1890"/>
      <c r="D17" s="1890"/>
      <c r="E17" s="1890"/>
      <c r="F17" s="1890"/>
      <c r="G17" s="1890"/>
      <c r="H17" s="1890"/>
      <c r="I17" s="1890"/>
      <c r="J17" s="1890"/>
      <c r="K17" s="1890"/>
      <c r="L17" s="1890"/>
      <c r="M17" s="1890"/>
      <c r="N17" s="1890"/>
    </row>
    <row r="18" spans="1:14">
      <c r="A18" s="1890"/>
      <c r="B18" s="1890"/>
      <c r="C18" s="1890"/>
      <c r="D18" s="1890"/>
      <c r="E18" s="1890"/>
      <c r="F18" s="1890"/>
      <c r="G18" s="1890"/>
      <c r="H18" s="1890"/>
      <c r="I18" s="1890"/>
      <c r="J18" s="1890"/>
      <c r="K18" s="1890"/>
      <c r="L18" s="1890"/>
      <c r="M18" s="1890"/>
      <c r="N18" s="1890"/>
    </row>
    <row r="19" spans="1:14">
      <c r="A19" s="1890"/>
      <c r="B19" s="1890"/>
      <c r="C19" s="1890"/>
      <c r="D19" s="1890"/>
      <c r="E19" s="1890"/>
      <c r="F19" s="1890"/>
      <c r="G19" s="1890"/>
      <c r="H19" s="1890"/>
      <c r="I19" s="1890"/>
      <c r="J19" s="1890"/>
      <c r="K19" s="1890"/>
      <c r="L19" s="1890"/>
      <c r="M19" s="1890"/>
      <c r="N19" s="1890"/>
    </row>
    <row r="20" spans="1:14">
      <c r="A20" s="1890"/>
      <c r="B20" s="1890"/>
      <c r="C20" s="1890"/>
      <c r="D20" s="1890"/>
      <c r="E20" s="1890"/>
      <c r="F20" s="1890"/>
      <c r="G20" s="1890"/>
      <c r="H20" s="1890"/>
      <c r="I20" s="1890"/>
      <c r="J20" s="1890"/>
      <c r="K20" s="1890"/>
      <c r="L20" s="1890"/>
      <c r="M20" s="1890"/>
      <c r="N20" s="1890"/>
    </row>
    <row r="21" spans="1:14">
      <c r="A21" s="1890"/>
      <c r="B21" s="1890"/>
      <c r="C21" s="1890"/>
      <c r="D21" s="1890"/>
      <c r="E21" s="1890"/>
      <c r="F21" s="1890"/>
      <c r="G21" s="1890"/>
      <c r="H21" s="1890"/>
      <c r="I21" s="1890"/>
      <c r="J21" s="1890"/>
      <c r="K21" s="1890"/>
      <c r="L21" s="1890"/>
      <c r="M21" s="1890"/>
      <c r="N21" s="1890"/>
    </row>
    <row r="22" spans="1:14">
      <c r="A22" s="1890"/>
      <c r="B22" s="1890"/>
      <c r="C22" s="1890"/>
      <c r="D22" s="1890"/>
      <c r="E22" s="1890"/>
      <c r="F22" s="1890"/>
      <c r="G22" s="1890"/>
      <c r="H22" s="1890"/>
      <c r="I22" s="1890"/>
      <c r="J22" s="1890"/>
      <c r="K22" s="1890"/>
      <c r="L22" s="1890"/>
      <c r="M22" s="1890"/>
      <c r="N22" s="1890"/>
    </row>
    <row r="23" spans="1:14">
      <c r="A23" s="1890"/>
      <c r="B23" s="1890"/>
      <c r="C23" s="1890"/>
      <c r="D23" s="1890"/>
      <c r="E23" s="1890"/>
      <c r="F23" s="1890"/>
      <c r="G23" s="1890"/>
      <c r="H23" s="1890"/>
      <c r="I23" s="1890"/>
      <c r="J23" s="1890"/>
      <c r="K23" s="1890"/>
      <c r="L23" s="1890"/>
      <c r="M23" s="1890"/>
      <c r="N23" s="1890"/>
    </row>
    <row r="24" spans="1:14">
      <c r="A24" s="1890"/>
      <c r="B24" s="1890"/>
      <c r="C24" s="1890"/>
      <c r="D24" s="1890"/>
      <c r="E24" s="1890"/>
      <c r="F24" s="1890"/>
      <c r="G24" s="1890"/>
      <c r="H24" s="1890"/>
      <c r="I24" s="1890"/>
      <c r="J24" s="1890"/>
      <c r="K24" s="1890"/>
      <c r="L24" s="1890"/>
      <c r="M24" s="1890"/>
      <c r="N24" s="1890"/>
    </row>
    <row r="25" spans="1:14">
      <c r="A25" s="1890"/>
      <c r="B25" s="1890"/>
      <c r="C25" s="1890"/>
      <c r="D25" s="1890"/>
      <c r="E25" s="1890"/>
      <c r="F25" s="1890"/>
      <c r="G25" s="1890"/>
      <c r="H25" s="1890"/>
      <c r="I25" s="1890"/>
      <c r="J25" s="1890"/>
      <c r="K25" s="1890"/>
      <c r="L25" s="1890"/>
      <c r="M25" s="1890"/>
      <c r="N25" s="1890"/>
    </row>
    <row r="26" spans="1:14">
      <c r="A26" s="1890"/>
      <c r="B26" s="1890"/>
      <c r="C26" s="1890"/>
      <c r="D26" s="1890"/>
      <c r="E26" s="1890"/>
      <c r="F26" s="1890"/>
      <c r="G26" s="1890"/>
      <c r="H26" s="1890"/>
      <c r="I26" s="1890"/>
      <c r="J26" s="1890"/>
      <c r="K26" s="1890"/>
      <c r="L26" s="1890"/>
      <c r="M26" s="1890"/>
      <c r="N26" s="1890"/>
    </row>
    <row r="27" spans="1:14">
      <c r="A27" s="1890"/>
      <c r="B27" s="1890"/>
      <c r="C27" s="1890"/>
      <c r="D27" s="1890"/>
      <c r="E27" s="1890"/>
      <c r="F27" s="1890"/>
      <c r="G27" s="1890"/>
      <c r="H27" s="1890"/>
      <c r="I27" s="1890"/>
      <c r="J27" s="1890"/>
      <c r="K27" s="1890"/>
      <c r="L27" s="1890"/>
      <c r="M27" s="1890"/>
      <c r="N27" s="1890"/>
    </row>
    <row r="28" spans="1:14">
      <c r="A28" s="1890"/>
      <c r="B28" s="1890"/>
      <c r="C28" s="1890"/>
      <c r="D28" s="1890"/>
      <c r="E28" s="1890"/>
      <c r="F28" s="1890"/>
      <c r="G28" s="1890"/>
      <c r="H28" s="1890"/>
      <c r="I28" s="1890"/>
      <c r="J28" s="1890"/>
      <c r="K28" s="1890"/>
      <c r="L28" s="1890"/>
      <c r="M28" s="1890"/>
      <c r="N28" s="1890"/>
    </row>
    <row r="29" spans="1:14">
      <c r="A29" s="1890"/>
      <c r="B29" s="1890"/>
      <c r="C29" s="1890"/>
      <c r="D29" s="1890"/>
      <c r="E29" s="1890"/>
      <c r="F29" s="1890"/>
      <c r="G29" s="1890"/>
      <c r="H29" s="1890"/>
      <c r="I29" s="1890"/>
      <c r="J29" s="1890"/>
      <c r="K29" s="1890"/>
      <c r="L29" s="1890"/>
      <c r="M29" s="1890"/>
      <c r="N29" s="1890"/>
    </row>
    <row r="30" spans="1:14">
      <c r="A30" s="1890"/>
      <c r="B30" s="1890"/>
      <c r="C30" s="1890"/>
      <c r="D30" s="1890"/>
      <c r="E30" s="1890"/>
      <c r="F30" s="1890"/>
      <c r="G30" s="1890"/>
      <c r="H30" s="1890"/>
      <c r="I30" s="1890"/>
      <c r="J30" s="1890"/>
      <c r="K30" s="1890"/>
      <c r="L30" s="1890"/>
      <c r="M30" s="1890"/>
      <c r="N30" s="1890"/>
    </row>
    <row r="31" spans="1:14">
      <c r="A31" s="1890"/>
      <c r="B31" s="1890"/>
      <c r="C31" s="1890"/>
      <c r="D31" s="1890"/>
      <c r="E31" s="1890"/>
      <c r="F31" s="1890"/>
      <c r="G31" s="1890"/>
      <c r="H31" s="1890"/>
      <c r="I31" s="1890"/>
      <c r="J31" s="1890"/>
      <c r="K31" s="1890"/>
      <c r="L31" s="1890"/>
      <c r="M31" s="1890"/>
      <c r="N31" s="1890"/>
    </row>
    <row r="32" spans="1:14">
      <c r="A32" s="1890"/>
      <c r="B32" s="1890"/>
      <c r="C32" s="1890"/>
      <c r="D32" s="1890"/>
      <c r="E32" s="1890"/>
      <c r="F32" s="1890"/>
      <c r="G32" s="1890"/>
      <c r="H32" s="1890"/>
      <c r="I32" s="1890"/>
      <c r="J32" s="1890"/>
      <c r="K32" s="1890"/>
      <c r="L32" s="1890"/>
      <c r="M32" s="1890"/>
      <c r="N32" s="1890"/>
    </row>
    <row r="33" spans="1:14">
      <c r="A33" s="1890"/>
      <c r="B33" s="1890"/>
      <c r="C33" s="1890"/>
      <c r="D33" s="1890"/>
      <c r="E33" s="1890"/>
      <c r="F33" s="1890"/>
      <c r="G33" s="1890"/>
      <c r="H33" s="1890"/>
      <c r="I33" s="1890"/>
      <c r="J33" s="1890"/>
      <c r="K33" s="1890"/>
      <c r="L33" s="1890"/>
      <c r="M33" s="1890"/>
      <c r="N33" s="1890"/>
    </row>
    <row r="34" spans="1:14">
      <c r="A34" s="1890"/>
      <c r="B34" s="1890"/>
      <c r="C34" s="1890"/>
      <c r="D34" s="1890"/>
      <c r="E34" s="1890"/>
      <c r="F34" s="1890"/>
      <c r="G34" s="1890"/>
      <c r="H34" s="1890"/>
      <c r="I34" s="1890"/>
      <c r="J34" s="1890"/>
      <c r="K34" s="1890"/>
      <c r="L34" s="1890"/>
      <c r="M34" s="1890"/>
      <c r="N34" s="1890"/>
    </row>
  </sheetData>
  <mergeCells count="1">
    <mergeCell ref="A7:N34"/>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N9"/>
  <sheetViews>
    <sheetView showGridLines="0" view="pageBreakPreview" zoomScale="85" zoomScaleNormal="100" zoomScaleSheetLayoutView="85" workbookViewId="0">
      <selection activeCell="M1" sqref="M1:M12"/>
    </sheetView>
  </sheetViews>
  <sheetFormatPr baseColWidth="10" defaultColWidth="11.5703125" defaultRowHeight="15"/>
  <cols>
    <col min="1" max="1" width="17.5703125" style="84" customWidth="1"/>
    <col min="2" max="2" width="9" style="84" customWidth="1"/>
    <col min="3" max="3" width="8.7109375" style="84" customWidth="1"/>
    <col min="4" max="4" width="9.7109375" style="84" customWidth="1"/>
    <col min="5" max="5" width="10.28515625" style="84" customWidth="1"/>
    <col min="6" max="6" width="10.5703125" style="84" customWidth="1"/>
    <col min="7" max="7" width="10.85546875" style="84" customWidth="1"/>
    <col min="8" max="8" width="10.7109375" style="84" customWidth="1"/>
    <col min="9" max="9" width="12.7109375" style="84" customWidth="1"/>
    <col min="10" max="11" width="11.5703125" style="84"/>
    <col min="12" max="12" width="21.28515625" style="84" customWidth="1"/>
    <col min="13" max="16384" width="11.5703125" style="84"/>
  </cols>
  <sheetData>
    <row r="1" spans="1:14" ht="54.75" customHeight="1">
      <c r="A1" s="1891"/>
      <c r="B1" s="1892"/>
      <c r="C1" s="1892"/>
      <c r="D1" s="1892"/>
      <c r="E1" s="1892"/>
      <c r="F1" s="1892"/>
      <c r="G1" s="1892"/>
      <c r="H1" s="1892"/>
      <c r="I1" s="1892"/>
      <c r="J1" s="1892"/>
      <c r="K1" s="1892"/>
      <c r="L1" s="1892"/>
    </row>
    <row r="2" spans="1:14" s="44" customFormat="1" ht="4.5" customHeight="1">
      <c r="A2" s="206"/>
      <c r="B2" s="207"/>
      <c r="C2" s="207"/>
      <c r="D2" s="207"/>
      <c r="E2" s="207"/>
      <c r="F2" s="207"/>
      <c r="G2" s="207"/>
      <c r="H2" s="207"/>
      <c r="I2" s="207"/>
      <c r="J2" s="207"/>
      <c r="K2" s="207"/>
      <c r="L2" s="207"/>
    </row>
    <row r="3" spans="1:14">
      <c r="A3" s="816" t="s">
        <v>419</v>
      </c>
      <c r="B3" s="812">
        <v>2008</v>
      </c>
      <c r="C3" s="812">
        <v>2009</v>
      </c>
      <c r="D3" s="812">
        <v>2010</v>
      </c>
      <c r="E3" s="812">
        <v>2011</v>
      </c>
      <c r="F3" s="812">
        <v>2012</v>
      </c>
      <c r="G3" s="812">
        <v>2013</v>
      </c>
      <c r="H3" s="812">
        <v>2014</v>
      </c>
      <c r="I3" s="814" t="s">
        <v>23</v>
      </c>
    </row>
    <row r="4" spans="1:14">
      <c r="A4" s="817" t="s">
        <v>420</v>
      </c>
      <c r="B4" s="811">
        <v>2518</v>
      </c>
      <c r="C4" s="811">
        <v>16955</v>
      </c>
      <c r="D4" s="811">
        <v>18655</v>
      </c>
      <c r="E4" s="811">
        <v>14305</v>
      </c>
      <c r="F4" s="811">
        <v>15292</v>
      </c>
      <c r="G4" s="811">
        <v>19150</v>
      </c>
      <c r="H4" s="811">
        <v>19193</v>
      </c>
      <c r="I4" s="815">
        <f>SUM(B4:H4)</f>
        <v>106068</v>
      </c>
      <c r="M4" s="185"/>
    </row>
    <row r="5" spans="1:14">
      <c r="A5" s="817" t="s">
        <v>421</v>
      </c>
      <c r="B5" s="811">
        <v>1331</v>
      </c>
      <c r="C5" s="811">
        <v>12867</v>
      </c>
      <c r="D5" s="811">
        <v>14071</v>
      </c>
      <c r="E5" s="811">
        <v>10990</v>
      </c>
      <c r="F5" s="811">
        <v>9470</v>
      </c>
      <c r="G5" s="811">
        <v>15649</v>
      </c>
      <c r="H5" s="811">
        <v>14990</v>
      </c>
      <c r="I5" s="815">
        <f>SUM(B5:H5)</f>
        <v>79368</v>
      </c>
      <c r="M5" s="185"/>
    </row>
    <row r="6" spans="1:14">
      <c r="A6" s="817" t="s">
        <v>428</v>
      </c>
      <c r="B6" s="811">
        <v>0</v>
      </c>
      <c r="C6" s="811">
        <v>3795</v>
      </c>
      <c r="D6" s="811">
        <v>24841</v>
      </c>
      <c r="E6" s="811">
        <v>33003</v>
      </c>
      <c r="F6" s="811">
        <v>37654</v>
      </c>
      <c r="G6" s="811">
        <v>46049</v>
      </c>
      <c r="H6" s="811">
        <v>59366</v>
      </c>
      <c r="I6" s="815">
        <f>SUM(B6:H6)</f>
        <v>204708</v>
      </c>
      <c r="M6" s="185"/>
    </row>
    <row r="7" spans="1:14">
      <c r="A7" s="816" t="s">
        <v>23</v>
      </c>
      <c r="B7" s="813">
        <f t="shared" ref="B7:I7" si="0">SUM(B4:B6)</f>
        <v>3849</v>
      </c>
      <c r="C7" s="813">
        <f t="shared" si="0"/>
        <v>33617</v>
      </c>
      <c r="D7" s="813">
        <f t="shared" si="0"/>
        <v>57567</v>
      </c>
      <c r="E7" s="813">
        <f t="shared" si="0"/>
        <v>58298</v>
      </c>
      <c r="F7" s="813">
        <f t="shared" si="0"/>
        <v>62416</v>
      </c>
      <c r="G7" s="813">
        <f>SUM(G4:G6)</f>
        <v>80848</v>
      </c>
      <c r="H7" s="813">
        <f t="shared" si="0"/>
        <v>93549</v>
      </c>
      <c r="I7" s="814">
        <f t="shared" si="0"/>
        <v>390144</v>
      </c>
      <c r="M7" s="222"/>
    </row>
    <row r="8" spans="1:14">
      <c r="A8" s="105"/>
      <c r="B8" s="105"/>
      <c r="C8" s="105"/>
      <c r="D8" s="105"/>
      <c r="E8" s="105"/>
      <c r="F8" s="105"/>
      <c r="G8" s="105"/>
      <c r="H8" s="105"/>
      <c r="I8" s="105"/>
    </row>
    <row r="9" spans="1:14">
      <c r="N9" s="84" t="s">
        <v>33</v>
      </c>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55" zoomScaleNormal="100" zoomScaleSheetLayoutView="55" workbookViewId="0">
      <selection activeCell="K6" sqref="K6"/>
    </sheetView>
  </sheetViews>
  <sheetFormatPr baseColWidth="10" defaultColWidth="11.5703125" defaultRowHeight="22.5" customHeight="1"/>
  <cols>
    <col min="1" max="1" width="22.140625" style="84" customWidth="1"/>
    <col min="2" max="2" width="17.85546875" style="84" customWidth="1"/>
    <col min="3" max="3" width="17.5703125" style="84" customWidth="1"/>
    <col min="4" max="4" width="19" style="84" customWidth="1"/>
    <col min="5" max="5" width="20.140625" style="84" customWidth="1"/>
    <col min="6" max="6" width="20.42578125" style="84" customWidth="1"/>
    <col min="7" max="7" width="20.140625" style="84" customWidth="1"/>
    <col min="8" max="8" width="19.5703125" style="84" customWidth="1"/>
    <col min="9" max="9" width="25.85546875" style="84" customWidth="1"/>
    <col min="10" max="10" width="16.7109375" style="84" bestFit="1" customWidth="1"/>
    <col min="11" max="11" width="14.5703125" style="84" customWidth="1"/>
    <col min="12" max="12" width="16.85546875" style="84" customWidth="1"/>
    <col min="13" max="16384" width="11.5703125" style="84"/>
  </cols>
  <sheetData>
    <row r="1" spans="1:13" ht="81" customHeight="1">
      <c r="A1" s="1792"/>
      <c r="B1" s="1757"/>
      <c r="C1" s="1757"/>
      <c r="D1" s="1757"/>
      <c r="E1" s="1757"/>
      <c r="F1" s="1757"/>
      <c r="G1" s="1757"/>
      <c r="H1" s="1757"/>
      <c r="I1" s="1757"/>
      <c r="J1" s="1757"/>
      <c r="K1" s="1757"/>
      <c r="L1" s="1757"/>
      <c r="M1" s="1757"/>
    </row>
    <row r="2" spans="1:13" ht="4.5" customHeight="1"/>
    <row r="3" spans="1:13" ht="22.5" hidden="1" customHeight="1"/>
    <row r="4" spans="1:13" ht="22.5" customHeight="1">
      <c r="A4" s="818" t="s">
        <v>419</v>
      </c>
      <c r="B4" s="821">
        <v>2008</v>
      </c>
      <c r="C4" s="821">
        <v>2009</v>
      </c>
      <c r="D4" s="821">
        <v>2010</v>
      </c>
      <c r="E4" s="821">
        <v>2011</v>
      </c>
      <c r="F4" s="821">
        <v>2012</v>
      </c>
      <c r="G4" s="821">
        <v>2013</v>
      </c>
      <c r="H4" s="821">
        <v>2014</v>
      </c>
      <c r="I4" s="818" t="s">
        <v>23</v>
      </c>
    </row>
    <row r="5" spans="1:13" ht="22.5" customHeight="1">
      <c r="A5" s="823" t="s">
        <v>420</v>
      </c>
      <c r="B5" s="820">
        <f>70.29</f>
        <v>70.290000000000006</v>
      </c>
      <c r="C5" s="820">
        <v>570.66999999999996</v>
      </c>
      <c r="D5" s="820">
        <v>668.91</v>
      </c>
      <c r="E5" s="820">
        <v>537.49</v>
      </c>
      <c r="F5" s="820">
        <v>571.48</v>
      </c>
      <c r="G5" s="820">
        <v>765.36</v>
      </c>
      <c r="H5" s="820">
        <f>829.13</f>
        <v>829.13</v>
      </c>
      <c r="I5" s="824">
        <f>SUM(B5:H5)</f>
        <v>4013.3300000000004</v>
      </c>
    </row>
    <row r="6" spans="1:13" ht="22.5" customHeight="1">
      <c r="A6" s="823" t="s">
        <v>421</v>
      </c>
      <c r="B6" s="820">
        <f>19.01</f>
        <v>19.010000000000002</v>
      </c>
      <c r="C6" s="820">
        <v>181.91</v>
      </c>
      <c r="D6" s="820">
        <v>196.35</v>
      </c>
      <c r="E6" s="820">
        <v>153.53</v>
      </c>
      <c r="F6" s="820">
        <v>133.61000000000001</v>
      </c>
      <c r="G6" s="820">
        <v>226.31</v>
      </c>
      <c r="H6" s="820">
        <f>211.58</f>
        <v>211.58</v>
      </c>
      <c r="I6" s="824">
        <f>SUM(B6:H6)</f>
        <v>1122.3</v>
      </c>
    </row>
    <row r="7" spans="1:13" ht="22.5" customHeight="1">
      <c r="A7" s="823" t="s">
        <v>427</v>
      </c>
      <c r="B7" s="820">
        <v>0</v>
      </c>
      <c r="C7" s="820">
        <v>14.43</v>
      </c>
      <c r="D7" s="820">
        <v>101</v>
      </c>
      <c r="E7" s="820">
        <v>134.1</v>
      </c>
      <c r="F7" s="820">
        <v>157.84</v>
      </c>
      <c r="G7" s="820">
        <v>211.27</v>
      </c>
      <c r="H7" s="820">
        <f>248.73</f>
        <v>248.73</v>
      </c>
      <c r="I7" s="824">
        <f>SUM(B7:H7)</f>
        <v>867.37</v>
      </c>
    </row>
    <row r="8" spans="1:13" ht="22.5" customHeight="1">
      <c r="A8" s="818" t="s">
        <v>23</v>
      </c>
      <c r="B8" s="822">
        <f>SUM(B5:B7)</f>
        <v>89.300000000000011</v>
      </c>
      <c r="C8" s="822">
        <f>SUM(C5:C7)</f>
        <v>767.00999999999988</v>
      </c>
      <c r="D8" s="822">
        <f t="shared" ref="D8:I8" si="0">SUM(D5:D7)</f>
        <v>966.26</v>
      </c>
      <c r="E8" s="822">
        <f t="shared" si="0"/>
        <v>825.12</v>
      </c>
      <c r="F8" s="822">
        <f t="shared" si="0"/>
        <v>862.93000000000006</v>
      </c>
      <c r="G8" s="822">
        <f t="shared" si="0"/>
        <v>1202.94</v>
      </c>
      <c r="H8" s="822">
        <f t="shared" si="0"/>
        <v>1289.44</v>
      </c>
      <c r="I8" s="819">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70" zoomScaleNormal="100" zoomScaleSheetLayoutView="70" workbookViewId="0">
      <selection activeCell="P30" sqref="P30"/>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77"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L34"/>
  <sheetViews>
    <sheetView showGridLines="0" view="pageBreakPreview" zoomScale="85" zoomScaleNormal="100" zoomScaleSheetLayoutView="85" workbookViewId="0">
      <selection activeCell="J36" sqref="J36"/>
    </sheetView>
  </sheetViews>
  <sheetFormatPr baseColWidth="10" defaultColWidth="11.42578125" defaultRowHeight="15"/>
  <cols>
    <col min="1" max="6" width="11.42578125" style="84"/>
    <col min="7" max="7" width="8.85546875" style="84" customWidth="1"/>
    <col min="8" max="16384" width="11.42578125" style="84"/>
  </cols>
  <sheetData>
    <row r="5" spans="1:12" ht="17.25" customHeight="1"/>
    <row r="6" spans="1:12" ht="21.75" customHeight="1">
      <c r="A6" s="1889" t="s">
        <v>909</v>
      </c>
      <c r="B6" s="1893"/>
      <c r="C6" s="1893"/>
      <c r="D6" s="1893"/>
      <c r="E6" s="1893"/>
      <c r="F6" s="1893"/>
      <c r="G6" s="1893"/>
      <c r="H6" s="1893"/>
      <c r="I6" s="1893"/>
      <c r="J6" s="1893"/>
      <c r="K6" s="1893"/>
      <c r="L6" s="1893"/>
    </row>
    <row r="7" spans="1:12">
      <c r="A7" s="1893"/>
      <c r="B7" s="1893"/>
      <c r="C7" s="1893"/>
      <c r="D7" s="1893"/>
      <c r="E7" s="1893"/>
      <c r="F7" s="1893"/>
      <c r="G7" s="1893"/>
      <c r="H7" s="1893"/>
      <c r="I7" s="1893"/>
      <c r="J7" s="1893"/>
      <c r="K7" s="1893"/>
      <c r="L7" s="1893"/>
    </row>
    <row r="8" spans="1:12">
      <c r="A8" s="1893"/>
      <c r="B8" s="1893"/>
      <c r="C8" s="1893"/>
      <c r="D8" s="1893"/>
      <c r="E8" s="1893"/>
      <c r="F8" s="1893"/>
      <c r="G8" s="1893"/>
      <c r="H8" s="1893"/>
      <c r="I8" s="1893"/>
      <c r="J8" s="1893"/>
      <c r="K8" s="1893"/>
      <c r="L8" s="1893"/>
    </row>
    <row r="9" spans="1:12">
      <c r="A9" s="1893"/>
      <c r="B9" s="1893"/>
      <c r="C9" s="1893"/>
      <c r="D9" s="1893"/>
      <c r="E9" s="1893"/>
      <c r="F9" s="1893"/>
      <c r="G9" s="1893"/>
      <c r="H9" s="1893"/>
      <c r="I9" s="1893"/>
      <c r="J9" s="1893"/>
      <c r="K9" s="1893"/>
      <c r="L9" s="1893"/>
    </row>
    <row r="10" spans="1:12">
      <c r="A10" s="1893"/>
      <c r="B10" s="1893"/>
      <c r="C10" s="1893"/>
      <c r="D10" s="1893"/>
      <c r="E10" s="1893"/>
      <c r="F10" s="1893"/>
      <c r="G10" s="1893"/>
      <c r="H10" s="1893"/>
      <c r="I10" s="1893"/>
      <c r="J10" s="1893"/>
      <c r="K10" s="1893"/>
      <c r="L10" s="1893"/>
    </row>
    <row r="11" spans="1:12">
      <c r="A11" s="1893"/>
      <c r="B11" s="1893"/>
      <c r="C11" s="1893"/>
      <c r="D11" s="1893"/>
      <c r="E11" s="1893"/>
      <c r="F11" s="1893"/>
      <c r="G11" s="1893"/>
      <c r="H11" s="1893"/>
      <c r="I11" s="1893"/>
      <c r="J11" s="1893"/>
      <c r="K11" s="1893"/>
      <c r="L11" s="1893"/>
    </row>
    <row r="12" spans="1:12">
      <c r="A12" s="1893"/>
      <c r="B12" s="1893"/>
      <c r="C12" s="1893"/>
      <c r="D12" s="1893"/>
      <c r="E12" s="1893"/>
      <c r="F12" s="1893"/>
      <c r="G12" s="1893"/>
      <c r="H12" s="1893"/>
      <c r="I12" s="1893"/>
      <c r="J12" s="1893"/>
      <c r="K12" s="1893"/>
      <c r="L12" s="1893"/>
    </row>
    <row r="13" spans="1:12">
      <c r="A13" s="1893"/>
      <c r="B13" s="1893"/>
      <c r="C13" s="1893"/>
      <c r="D13" s="1893"/>
      <c r="E13" s="1893"/>
      <c r="F13" s="1893"/>
      <c r="G13" s="1893"/>
      <c r="H13" s="1893"/>
      <c r="I13" s="1893"/>
      <c r="J13" s="1893"/>
      <c r="K13" s="1893"/>
      <c r="L13" s="1893"/>
    </row>
    <row r="14" spans="1:12">
      <c r="A14" s="1893"/>
      <c r="B14" s="1893"/>
      <c r="C14" s="1893"/>
      <c r="D14" s="1893"/>
      <c r="E14" s="1893"/>
      <c r="F14" s="1893"/>
      <c r="G14" s="1893"/>
      <c r="H14" s="1893"/>
      <c r="I14" s="1893"/>
      <c r="J14" s="1893"/>
      <c r="K14" s="1893"/>
      <c r="L14" s="1893"/>
    </row>
    <row r="15" spans="1:12">
      <c r="A15" s="1893"/>
      <c r="B15" s="1893"/>
      <c r="C15" s="1893"/>
      <c r="D15" s="1893"/>
      <c r="E15" s="1893"/>
      <c r="F15" s="1893"/>
      <c r="G15" s="1893"/>
      <c r="H15" s="1893"/>
      <c r="I15" s="1893"/>
      <c r="J15" s="1893"/>
      <c r="K15" s="1893"/>
      <c r="L15" s="1893"/>
    </row>
    <row r="16" spans="1:12">
      <c r="A16" s="1893"/>
      <c r="B16" s="1893"/>
      <c r="C16" s="1893"/>
      <c r="D16" s="1893"/>
      <c r="E16" s="1893"/>
      <c r="F16" s="1893"/>
      <c r="G16" s="1893"/>
      <c r="H16" s="1893"/>
      <c r="I16" s="1893"/>
      <c r="J16" s="1893"/>
      <c r="K16" s="1893"/>
      <c r="L16" s="1893"/>
    </row>
    <row r="17" spans="1:12">
      <c r="A17" s="1893"/>
      <c r="B17" s="1893"/>
      <c r="C17" s="1893"/>
      <c r="D17" s="1893"/>
      <c r="E17" s="1893"/>
      <c r="F17" s="1893"/>
      <c r="G17" s="1893"/>
      <c r="H17" s="1893"/>
      <c r="I17" s="1893"/>
      <c r="J17" s="1893"/>
      <c r="K17" s="1893"/>
      <c r="L17" s="1893"/>
    </row>
    <row r="18" spans="1:12">
      <c r="A18" s="1893"/>
      <c r="B18" s="1893"/>
      <c r="C18" s="1893"/>
      <c r="D18" s="1893"/>
      <c r="E18" s="1893"/>
      <c r="F18" s="1893"/>
      <c r="G18" s="1893"/>
      <c r="H18" s="1893"/>
      <c r="I18" s="1893"/>
      <c r="J18" s="1893"/>
      <c r="K18" s="1893"/>
      <c r="L18" s="1893"/>
    </row>
    <row r="19" spans="1:12">
      <c r="A19" s="1893"/>
      <c r="B19" s="1893"/>
      <c r="C19" s="1893"/>
      <c r="D19" s="1893"/>
      <c r="E19" s="1893"/>
      <c r="F19" s="1893"/>
      <c r="G19" s="1893"/>
      <c r="H19" s="1893"/>
      <c r="I19" s="1893"/>
      <c r="J19" s="1893"/>
      <c r="K19" s="1893"/>
      <c r="L19" s="1893"/>
    </row>
    <row r="20" spans="1:12">
      <c r="A20" s="1893"/>
      <c r="B20" s="1893"/>
      <c r="C20" s="1893"/>
      <c r="D20" s="1893"/>
      <c r="E20" s="1893"/>
      <c r="F20" s="1893"/>
      <c r="G20" s="1893"/>
      <c r="H20" s="1893"/>
      <c r="I20" s="1893"/>
      <c r="J20" s="1893"/>
      <c r="K20" s="1893"/>
      <c r="L20" s="1893"/>
    </row>
    <row r="21" spans="1:12">
      <c r="A21" s="1893"/>
      <c r="B21" s="1893"/>
      <c r="C21" s="1893"/>
      <c r="D21" s="1893"/>
      <c r="E21" s="1893"/>
      <c r="F21" s="1893"/>
      <c r="G21" s="1893"/>
      <c r="H21" s="1893"/>
      <c r="I21" s="1893"/>
      <c r="J21" s="1893"/>
      <c r="K21" s="1893"/>
      <c r="L21" s="1893"/>
    </row>
    <row r="22" spans="1:12">
      <c r="A22" s="1893"/>
      <c r="B22" s="1893"/>
      <c r="C22" s="1893"/>
      <c r="D22" s="1893"/>
      <c r="E22" s="1893"/>
      <c r="F22" s="1893"/>
      <c r="G22" s="1893"/>
      <c r="H22" s="1893"/>
      <c r="I22" s="1893"/>
      <c r="J22" s="1893"/>
      <c r="K22" s="1893"/>
      <c r="L22" s="1893"/>
    </row>
    <row r="23" spans="1:12">
      <c r="A23" s="1893"/>
      <c r="B23" s="1893"/>
      <c r="C23" s="1893"/>
      <c r="D23" s="1893"/>
      <c r="E23" s="1893"/>
      <c r="F23" s="1893"/>
      <c r="G23" s="1893"/>
      <c r="H23" s="1893"/>
      <c r="I23" s="1893"/>
      <c r="J23" s="1893"/>
      <c r="K23" s="1893"/>
      <c r="L23" s="1893"/>
    </row>
    <row r="24" spans="1:12">
      <c r="A24" s="1893"/>
      <c r="B24" s="1893"/>
      <c r="C24" s="1893"/>
      <c r="D24" s="1893"/>
      <c r="E24" s="1893"/>
      <c r="F24" s="1893"/>
      <c r="G24" s="1893"/>
      <c r="H24" s="1893"/>
      <c r="I24" s="1893"/>
      <c r="J24" s="1893"/>
      <c r="K24" s="1893"/>
      <c r="L24" s="1893"/>
    </row>
    <row r="25" spans="1:12">
      <c r="A25" s="1893"/>
      <c r="B25" s="1893"/>
      <c r="C25" s="1893"/>
      <c r="D25" s="1893"/>
      <c r="E25" s="1893"/>
      <c r="F25" s="1893"/>
      <c r="G25" s="1893"/>
      <c r="H25" s="1893"/>
      <c r="I25" s="1893"/>
      <c r="J25" s="1893"/>
      <c r="K25" s="1893"/>
      <c r="L25" s="1893"/>
    </row>
    <row r="26" spans="1:12">
      <c r="A26" s="1893"/>
      <c r="B26" s="1893"/>
      <c r="C26" s="1893"/>
      <c r="D26" s="1893"/>
      <c r="E26" s="1893"/>
      <c r="F26" s="1893"/>
      <c r="G26" s="1893"/>
      <c r="H26" s="1893"/>
      <c r="I26" s="1893"/>
      <c r="J26" s="1893"/>
      <c r="K26" s="1893"/>
      <c r="L26" s="1893"/>
    </row>
    <row r="27" spans="1:12">
      <c r="A27" s="1893"/>
      <c r="B27" s="1893"/>
      <c r="C27" s="1893"/>
      <c r="D27" s="1893"/>
      <c r="E27" s="1893"/>
      <c r="F27" s="1893"/>
      <c r="G27" s="1893"/>
      <c r="H27" s="1893"/>
      <c r="I27" s="1893"/>
      <c r="J27" s="1893"/>
      <c r="K27" s="1893"/>
      <c r="L27" s="1893"/>
    </row>
    <row r="28" spans="1:12">
      <c r="A28" s="1893"/>
      <c r="B28" s="1893"/>
      <c r="C28" s="1893"/>
      <c r="D28" s="1893"/>
      <c r="E28" s="1893"/>
      <c r="F28" s="1893"/>
      <c r="G28" s="1893"/>
      <c r="H28" s="1893"/>
      <c r="I28" s="1893"/>
      <c r="J28" s="1893"/>
      <c r="K28" s="1893"/>
      <c r="L28" s="1893"/>
    </row>
    <row r="29" spans="1:12">
      <c r="A29" s="1893"/>
      <c r="B29" s="1893"/>
      <c r="C29" s="1893"/>
      <c r="D29" s="1893"/>
      <c r="E29" s="1893"/>
      <c r="F29" s="1893"/>
      <c r="G29" s="1893"/>
      <c r="H29" s="1893"/>
      <c r="I29" s="1893"/>
      <c r="J29" s="1893"/>
      <c r="K29" s="1893"/>
      <c r="L29" s="1893"/>
    </row>
    <row r="30" spans="1:12">
      <c r="A30" s="1893"/>
      <c r="B30" s="1893"/>
      <c r="C30" s="1893"/>
      <c r="D30" s="1893"/>
      <c r="E30" s="1893"/>
      <c r="F30" s="1893"/>
      <c r="G30" s="1893"/>
      <c r="H30" s="1893"/>
      <c r="I30" s="1893"/>
      <c r="J30" s="1893"/>
      <c r="K30" s="1893"/>
      <c r="L30" s="1893"/>
    </row>
    <row r="31" spans="1:12">
      <c r="A31" s="1893"/>
      <c r="B31" s="1893"/>
      <c r="C31" s="1893"/>
      <c r="D31" s="1893"/>
      <c r="E31" s="1893"/>
      <c r="F31" s="1893"/>
      <c r="G31" s="1893"/>
      <c r="H31" s="1893"/>
      <c r="I31" s="1893"/>
      <c r="J31" s="1893"/>
      <c r="K31" s="1893"/>
      <c r="L31" s="1893"/>
    </row>
    <row r="32" spans="1:12">
      <c r="A32" s="1893"/>
      <c r="B32" s="1893"/>
      <c r="C32" s="1893"/>
      <c r="D32" s="1893"/>
      <c r="E32" s="1893"/>
      <c r="F32" s="1893"/>
      <c r="G32" s="1893"/>
      <c r="H32" s="1893"/>
      <c r="I32" s="1893"/>
      <c r="J32" s="1893"/>
      <c r="K32" s="1893"/>
      <c r="L32" s="1893"/>
    </row>
    <row r="33" spans="1:12">
      <c r="A33" s="1893"/>
      <c r="B33" s="1893"/>
      <c r="C33" s="1893"/>
      <c r="D33" s="1893"/>
      <c r="E33" s="1893"/>
      <c r="F33" s="1893"/>
      <c r="G33" s="1893"/>
      <c r="H33" s="1893"/>
      <c r="I33" s="1893"/>
      <c r="J33" s="1893"/>
      <c r="K33" s="1893"/>
      <c r="L33" s="1893"/>
    </row>
    <row r="34" spans="1:12">
      <c r="A34" s="1893"/>
      <c r="B34" s="1893"/>
      <c r="C34" s="1893"/>
      <c r="D34" s="1893"/>
      <c r="E34" s="1893"/>
      <c r="F34" s="1893"/>
      <c r="G34" s="1893"/>
      <c r="H34" s="1893"/>
      <c r="I34" s="1893"/>
      <c r="J34" s="1893"/>
      <c r="K34" s="1893"/>
      <c r="L34" s="1893"/>
    </row>
  </sheetData>
  <mergeCells count="1">
    <mergeCell ref="A6:L34"/>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topLeftCell="B1" zoomScale="55" zoomScaleNormal="85" zoomScaleSheetLayoutView="55" workbookViewId="0">
      <selection activeCell="Q43" sqref="Q43"/>
    </sheetView>
  </sheetViews>
  <sheetFormatPr baseColWidth="10" defaultColWidth="11.42578125" defaultRowHeight="13.5" customHeight="1"/>
  <cols>
    <col min="1" max="1" width="24.425781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76" customWidth="1"/>
    <col min="17" max="17" width="13.42578125" style="76" customWidth="1"/>
    <col min="18" max="18" width="13.7109375" style="76" customWidth="1"/>
    <col min="19" max="16384" width="11.42578125" style="76"/>
  </cols>
  <sheetData>
    <row r="2" spans="1:21" ht="65.25" customHeight="1"/>
    <row r="3" spans="1:21" ht="21.75" customHeight="1">
      <c r="A3" s="1750"/>
      <c r="B3" s="1750"/>
      <c r="C3" s="1750"/>
      <c r="D3" s="1750"/>
      <c r="E3" s="1750"/>
      <c r="F3" s="1750"/>
      <c r="G3" s="1750"/>
      <c r="H3" s="1750"/>
      <c r="I3" s="1750"/>
      <c r="J3" s="1750"/>
      <c r="K3" s="1750"/>
      <c r="L3" s="1750"/>
      <c r="M3" s="1750"/>
      <c r="N3" s="1750"/>
      <c r="P3"/>
      <c r="Q3"/>
    </row>
    <row r="4" spans="1:21" s="318" customFormat="1" ht="61.5" customHeight="1">
      <c r="A4" s="323" t="s">
        <v>639</v>
      </c>
      <c r="B4" s="410" t="s">
        <v>575</v>
      </c>
      <c r="C4" s="410" t="s">
        <v>574</v>
      </c>
      <c r="D4" s="410" t="s">
        <v>572</v>
      </c>
      <c r="E4" s="410" t="s">
        <v>576</v>
      </c>
      <c r="F4" s="410" t="s">
        <v>627</v>
      </c>
      <c r="G4" s="411" t="s">
        <v>573</v>
      </c>
      <c r="H4" s="312"/>
      <c r="I4" s="313"/>
      <c r="J4" s="313"/>
      <c r="K4" s="313"/>
      <c r="L4" s="314"/>
      <c r="M4" s="314"/>
      <c r="N4" s="314"/>
      <c r="O4" s="314"/>
      <c r="P4" s="315"/>
      <c r="Q4" s="316"/>
      <c r="R4" s="317"/>
      <c r="U4" s="319"/>
    </row>
    <row r="5" spans="1:21" ht="21">
      <c r="A5" s="412" t="s">
        <v>640</v>
      </c>
      <c r="B5" s="495">
        <v>38487</v>
      </c>
      <c r="C5" s="496"/>
      <c r="D5" s="506">
        <f>+B5/$B$14</f>
        <v>0.58422514686461136</v>
      </c>
      <c r="E5" s="496">
        <v>98303</v>
      </c>
      <c r="F5" s="496"/>
      <c r="G5" s="497">
        <f t="shared" ref="G5:G13" si="0">+E5/$F$14</f>
        <v>5.9416107982911893E-2</v>
      </c>
      <c r="H5" s="84"/>
      <c r="I5" s="130"/>
      <c r="J5" s="130"/>
      <c r="K5" s="130"/>
      <c r="L5" s="268"/>
      <c r="M5" s="265"/>
      <c r="N5" s="265"/>
      <c r="O5" s="266"/>
      <c r="P5" s="501"/>
      <c r="Q5" s="267"/>
      <c r="U5" s="173"/>
    </row>
    <row r="6" spans="1:21" ht="18.75">
      <c r="A6" s="412" t="s">
        <v>641</v>
      </c>
      <c r="B6" s="498">
        <v>11657</v>
      </c>
      <c r="C6" s="499"/>
      <c r="D6" s="507">
        <f t="shared" ref="D6:D13" si="1">+B6/$B$14</f>
        <v>0.17695098441034049</v>
      </c>
      <c r="E6" s="499">
        <v>88485</v>
      </c>
      <c r="F6" s="499"/>
      <c r="G6" s="500">
        <f t="shared" si="0"/>
        <v>5.3481931526687475E-2</v>
      </c>
      <c r="H6" s="84"/>
      <c r="I6" s="130"/>
      <c r="J6" s="130"/>
      <c r="K6" s="130"/>
      <c r="L6" s="268"/>
      <c r="M6" s="265"/>
      <c r="N6" s="265"/>
      <c r="O6" s="266"/>
      <c r="P6" s="269"/>
      <c r="Q6" s="267"/>
      <c r="U6" s="173"/>
    </row>
    <row r="7" spans="1:21" ht="18.75">
      <c r="A7" s="412" t="s">
        <v>642</v>
      </c>
      <c r="B7" s="498">
        <v>7324</v>
      </c>
      <c r="C7" s="499"/>
      <c r="D7" s="507">
        <f t="shared" si="1"/>
        <v>0.11117689026519119</v>
      </c>
      <c r="E7" s="499">
        <v>106206</v>
      </c>
      <c r="F7" s="499"/>
      <c r="G7" s="500">
        <f t="shared" si="0"/>
        <v>6.4192823865325987E-2</v>
      </c>
      <c r="H7" s="84"/>
      <c r="I7" s="130"/>
      <c r="J7" s="130"/>
      <c r="K7" s="130"/>
      <c r="L7" s="268"/>
      <c r="M7" s="265"/>
      <c r="N7" s="265"/>
      <c r="O7" s="266"/>
      <c r="P7" s="1087"/>
      <c r="Q7" s="267"/>
      <c r="R7" s="270"/>
      <c r="U7" s="173"/>
    </row>
    <row r="8" spans="1:21" ht="18.75">
      <c r="A8" s="412" t="s">
        <v>643</v>
      </c>
      <c r="B8" s="498">
        <v>4920</v>
      </c>
      <c r="C8" s="499"/>
      <c r="D8" s="507">
        <f t="shared" si="1"/>
        <v>7.4684639555535309E-2</v>
      </c>
      <c r="E8" s="499">
        <v>153507</v>
      </c>
      <c r="F8" s="499"/>
      <c r="G8" s="500">
        <f t="shared" si="0"/>
        <v>9.2782402247468088E-2</v>
      </c>
      <c r="H8" s="143"/>
      <c r="I8" s="267"/>
      <c r="J8" s="267"/>
      <c r="K8" s="267"/>
      <c r="L8" s="271"/>
      <c r="M8" s="265"/>
      <c r="N8" s="265"/>
      <c r="O8" s="266"/>
      <c r="P8" s="1087"/>
      <c r="Q8" s="267"/>
      <c r="R8" s="66"/>
    </row>
    <row r="9" spans="1:21" ht="18.75">
      <c r="A9" s="412" t="s">
        <v>644</v>
      </c>
      <c r="B9" s="498">
        <v>1596</v>
      </c>
      <c r="C9" s="499"/>
      <c r="D9" s="507">
        <f t="shared" si="1"/>
        <v>2.4226968441185846E-2</v>
      </c>
      <c r="E9" s="499">
        <v>111436</v>
      </c>
      <c r="F9" s="499"/>
      <c r="G9" s="500">
        <f t="shared" si="0"/>
        <v>6.7353930288839306E-2</v>
      </c>
      <c r="H9" s="173"/>
      <c r="I9" s="272"/>
      <c r="J9" s="272"/>
      <c r="K9" s="272"/>
      <c r="L9" s="271"/>
      <c r="M9" s="265"/>
      <c r="N9" s="265"/>
      <c r="O9" s="266"/>
      <c r="P9" s="1087"/>
      <c r="Q9" s="267"/>
      <c r="R9" s="66"/>
      <c r="U9" s="173"/>
    </row>
    <row r="10" spans="1:21" ht="18.75">
      <c r="A10" s="412" t="s">
        <v>645</v>
      </c>
      <c r="B10" s="498">
        <v>1480</v>
      </c>
      <c r="C10" s="499"/>
      <c r="D10" s="507">
        <f t="shared" si="1"/>
        <v>2.2466111085811435E-2</v>
      </c>
      <c r="E10" s="499">
        <v>302040</v>
      </c>
      <c r="F10" s="499"/>
      <c r="G10" s="500">
        <f t="shared" si="0"/>
        <v>0.18255842909330039</v>
      </c>
      <c r="H10" s="84"/>
      <c r="I10" s="130"/>
      <c r="J10" s="130"/>
      <c r="K10" s="130"/>
      <c r="L10" s="271"/>
      <c r="M10" s="265"/>
      <c r="N10" s="265"/>
      <c r="O10" s="266"/>
      <c r="P10" s="269"/>
      <c r="Q10" s="267"/>
      <c r="R10" s="66"/>
    </row>
    <row r="11" spans="1:21" ht="18.75">
      <c r="A11" s="412" t="s">
        <v>646</v>
      </c>
      <c r="B11" s="498">
        <v>220</v>
      </c>
      <c r="C11" s="499"/>
      <c r="D11" s="507">
        <f t="shared" si="1"/>
        <v>3.3395570532962944E-3</v>
      </c>
      <c r="E11" s="499">
        <v>153139</v>
      </c>
      <c r="F11" s="499"/>
      <c r="G11" s="500">
        <f t="shared" si="0"/>
        <v>9.2559976403519165E-2</v>
      </c>
      <c r="H11" s="84"/>
      <c r="I11" s="130"/>
      <c r="J11" s="130"/>
      <c r="K11" s="130"/>
      <c r="L11" s="271"/>
      <c r="M11" s="265"/>
      <c r="N11" s="265"/>
      <c r="O11" s="266"/>
      <c r="P11" s="272"/>
      <c r="Q11" s="267"/>
      <c r="R11" s="66"/>
    </row>
    <row r="12" spans="1:21" ht="18.75">
      <c r="A12" s="412" t="s">
        <v>647</v>
      </c>
      <c r="B12" s="498">
        <v>190</v>
      </c>
      <c r="C12" s="499"/>
      <c r="D12" s="507">
        <f t="shared" si="1"/>
        <v>2.8841629096649818E-3</v>
      </c>
      <c r="E12" s="499">
        <v>412297</v>
      </c>
      <c r="F12" s="499"/>
      <c r="G12" s="500">
        <f t="shared" si="0"/>
        <v>0.24919975049622722</v>
      </c>
      <c r="H12" s="108"/>
      <c r="I12" s="108"/>
      <c r="J12" s="108"/>
      <c r="K12" s="108"/>
      <c r="L12" s="271"/>
      <c r="M12" s="265"/>
      <c r="N12" s="265"/>
      <c r="O12" s="272"/>
      <c r="P12" s="272"/>
      <c r="R12" s="66"/>
    </row>
    <row r="13" spans="1:21" ht="18.75">
      <c r="A13" s="412" t="s">
        <v>648</v>
      </c>
      <c r="B13" s="498">
        <v>3</v>
      </c>
      <c r="C13" s="499"/>
      <c r="D13" s="507">
        <f t="shared" si="1"/>
        <v>4.553941436313129E-5</v>
      </c>
      <c r="E13" s="499">
        <v>229071</v>
      </c>
      <c r="F13" s="499"/>
      <c r="G13" s="500">
        <f t="shared" si="0"/>
        <v>0.13845464809572047</v>
      </c>
      <c r="H13" s="108"/>
      <c r="I13" s="108"/>
      <c r="J13" s="108"/>
      <c r="K13" s="108"/>
      <c r="L13" s="273"/>
      <c r="M13" s="265"/>
      <c r="N13" s="265"/>
      <c r="O13" s="266"/>
      <c r="P13" s="173"/>
      <c r="R13" s="66"/>
    </row>
    <row r="14" spans="1:21" ht="18.75" customHeight="1">
      <c r="A14" s="413" t="s">
        <v>23</v>
      </c>
      <c r="B14" s="502">
        <f>SUM(B5:B13)</f>
        <v>65877</v>
      </c>
      <c r="C14" s="503">
        <f>SUM(B5:B13)</f>
        <v>65877</v>
      </c>
      <c r="D14" s="504">
        <f>SUM(D5:D13)</f>
        <v>1</v>
      </c>
      <c r="E14" s="503">
        <f>SUM(E5:E13)</f>
        <v>1654484</v>
      </c>
      <c r="F14" s="503">
        <f>SUM(E5:E13)</f>
        <v>1654484</v>
      </c>
      <c r="G14" s="505">
        <f>SUM(G5:G13)</f>
        <v>1</v>
      </c>
      <c r="H14" s="108"/>
      <c r="I14" s="108"/>
      <c r="J14" s="108"/>
      <c r="K14" s="108"/>
      <c r="L14" s="273"/>
      <c r="M14" s="265"/>
      <c r="N14" s="265"/>
      <c r="O14" s="266"/>
      <c r="R14" s="66"/>
    </row>
    <row r="15" spans="1:21" ht="13.5" customHeight="1">
      <c r="A15" s="108"/>
      <c r="B15" s="108"/>
      <c r="C15" s="108"/>
      <c r="D15" s="108"/>
      <c r="E15" s="108"/>
      <c r="F15" s="108"/>
      <c r="G15" s="108"/>
      <c r="H15" s="108"/>
      <c r="I15" s="108"/>
      <c r="J15" s="108"/>
      <c r="K15" s="108"/>
      <c r="L15" s="108"/>
      <c r="M15" s="108"/>
      <c r="R15" s="66"/>
    </row>
    <row r="16" spans="1:21" ht="13.5" customHeight="1">
      <c r="A16" s="108"/>
      <c r="B16" s="108"/>
      <c r="C16" s="108"/>
      <c r="D16" s="108"/>
      <c r="E16" s="108"/>
      <c r="F16" s="108"/>
      <c r="G16" s="108"/>
      <c r="H16" s="108"/>
      <c r="I16" s="108"/>
      <c r="J16" s="108"/>
      <c r="K16" s="108"/>
      <c r="L16" s="108"/>
      <c r="M16" s="108"/>
      <c r="R16" s="66"/>
    </row>
    <row r="17" spans="1:18" ht="13.5" customHeight="1">
      <c r="A17" s="108"/>
      <c r="B17" s="108"/>
      <c r="C17" s="108"/>
      <c r="D17" s="108"/>
      <c r="E17" s="108"/>
      <c r="F17" s="108"/>
      <c r="G17" s="108"/>
      <c r="H17" s="108"/>
      <c r="I17" s="108"/>
      <c r="J17" s="108"/>
      <c r="K17" s="108"/>
      <c r="L17" s="108"/>
      <c r="M17" s="108"/>
      <c r="R17" s="66"/>
    </row>
    <row r="18" spans="1:18" ht="13.5" customHeight="1">
      <c r="A18" s="108"/>
      <c r="B18" s="108"/>
      <c r="C18" s="108"/>
      <c r="D18" s="108"/>
      <c r="E18" s="108"/>
      <c r="F18" s="108"/>
      <c r="G18" s="108"/>
      <c r="H18" s="108"/>
      <c r="I18" s="108"/>
      <c r="J18" s="108"/>
      <c r="K18" s="108"/>
      <c r="L18" s="108"/>
      <c r="M18" s="108"/>
    </row>
    <row r="19" spans="1:18" ht="13.5" customHeight="1">
      <c r="A19" s="108"/>
      <c r="B19" s="108"/>
      <c r="C19" s="108"/>
      <c r="D19" s="108"/>
      <c r="E19" s="108"/>
      <c r="F19" s="108"/>
      <c r="G19" s="108"/>
      <c r="H19" s="108"/>
      <c r="I19" s="108"/>
      <c r="J19" s="108"/>
      <c r="K19" s="108"/>
      <c r="L19" s="108"/>
      <c r="M19" s="108"/>
    </row>
    <row r="20" spans="1:18" ht="13.5" customHeight="1">
      <c r="A20" s="108"/>
      <c r="B20" s="108"/>
      <c r="C20" s="108"/>
      <c r="D20" s="108"/>
      <c r="E20" s="108"/>
      <c r="F20" s="108"/>
      <c r="G20" s="108"/>
      <c r="H20" s="108"/>
      <c r="I20" s="108"/>
      <c r="J20" s="108"/>
      <c r="K20" s="108"/>
      <c r="L20" s="108"/>
      <c r="M20" s="108"/>
    </row>
    <row r="21" spans="1:18" ht="13.5" customHeight="1">
      <c r="A21" s="108"/>
      <c r="B21" s="108"/>
      <c r="C21" s="108"/>
      <c r="D21" s="108"/>
      <c r="E21" s="108"/>
      <c r="F21" s="108"/>
      <c r="G21" s="108"/>
      <c r="H21" s="108"/>
      <c r="I21" s="108"/>
      <c r="J21" s="108"/>
      <c r="K21" s="108"/>
      <c r="L21" s="108"/>
      <c r="M21" s="108"/>
    </row>
    <row r="22" spans="1:18" ht="13.5" customHeight="1">
      <c r="A22" s="108"/>
      <c r="B22" s="108"/>
      <c r="C22" s="108"/>
      <c r="D22" s="108"/>
      <c r="E22" s="108"/>
      <c r="F22" s="108"/>
      <c r="G22" s="108"/>
      <c r="H22" s="108"/>
      <c r="I22" s="108"/>
      <c r="J22" s="108"/>
      <c r="K22" s="108"/>
      <c r="L22" s="108"/>
      <c r="M22" s="108"/>
    </row>
    <row r="23" spans="1:18" ht="13.5" customHeight="1">
      <c r="A23" s="108"/>
      <c r="B23" s="108"/>
      <c r="C23" s="108"/>
      <c r="D23" s="108"/>
      <c r="E23" s="108"/>
      <c r="F23" s="108"/>
      <c r="G23" s="108"/>
      <c r="H23" s="108"/>
      <c r="I23" s="108"/>
      <c r="J23" s="108"/>
      <c r="K23" s="108"/>
      <c r="L23" s="108"/>
      <c r="M23" s="108"/>
    </row>
    <row r="24" spans="1:18" ht="13.5" customHeight="1">
      <c r="A24" s="108"/>
      <c r="B24" s="108"/>
      <c r="C24" s="108"/>
      <c r="D24" s="108"/>
      <c r="E24" s="108"/>
      <c r="F24" s="108"/>
      <c r="G24" s="108"/>
      <c r="H24" s="108"/>
      <c r="I24" s="108"/>
      <c r="J24" s="108"/>
      <c r="K24" s="108"/>
      <c r="L24" s="108"/>
      <c r="M24" s="108"/>
    </row>
    <row r="25" spans="1:18" ht="13.5" customHeight="1">
      <c r="A25" s="108"/>
      <c r="B25" s="108"/>
      <c r="C25" s="108"/>
      <c r="D25" s="108"/>
      <c r="E25" s="108"/>
      <c r="F25" s="108"/>
      <c r="G25" s="108"/>
      <c r="H25" s="108"/>
      <c r="I25" s="108"/>
      <c r="J25" s="108"/>
      <c r="K25" s="108"/>
      <c r="L25" s="108"/>
      <c r="M25" s="108"/>
    </row>
    <row r="26" spans="1:18" ht="13.5" customHeight="1">
      <c r="A26" s="108"/>
      <c r="B26" s="108"/>
      <c r="C26" s="108"/>
      <c r="D26" s="108"/>
      <c r="E26" s="108"/>
      <c r="F26" s="108"/>
      <c r="G26" s="108"/>
      <c r="H26" s="108"/>
      <c r="I26" s="108"/>
      <c r="J26" s="108"/>
      <c r="K26" s="108"/>
      <c r="L26" s="108"/>
      <c r="M26" s="108"/>
    </row>
    <row r="27" spans="1:18" ht="13.5" customHeight="1">
      <c r="A27" s="108"/>
      <c r="B27" s="108"/>
      <c r="C27" s="108"/>
      <c r="D27" s="108"/>
      <c r="E27" s="108"/>
      <c r="F27" s="108"/>
      <c r="G27" s="108"/>
      <c r="H27" s="108"/>
      <c r="I27" s="108"/>
      <c r="J27" s="108"/>
      <c r="K27" s="108"/>
      <c r="L27" s="108"/>
      <c r="M27" s="108"/>
    </row>
    <row r="28" spans="1:18" ht="13.5" customHeight="1">
      <c r="A28" s="108"/>
      <c r="B28" s="108"/>
      <c r="C28" s="108"/>
      <c r="D28" s="108"/>
      <c r="E28" s="108"/>
      <c r="F28" s="108"/>
      <c r="G28" s="108"/>
      <c r="H28" s="108"/>
      <c r="I28" s="108"/>
      <c r="J28" s="108"/>
      <c r="K28" s="108"/>
      <c r="L28" s="108"/>
      <c r="M28" s="108"/>
    </row>
    <row r="29" spans="1:18" ht="13.5" customHeight="1">
      <c r="A29" s="108"/>
      <c r="B29" s="108"/>
      <c r="C29" s="108"/>
      <c r="D29" s="108"/>
      <c r="E29" s="108"/>
      <c r="F29" s="108"/>
      <c r="G29" s="108"/>
      <c r="H29" s="108"/>
      <c r="I29" s="108"/>
      <c r="J29" s="108"/>
      <c r="K29" s="108"/>
      <c r="L29" s="108"/>
      <c r="M29" s="108"/>
    </row>
    <row r="30" spans="1:18" ht="13.5" customHeight="1">
      <c r="A30" s="108"/>
      <c r="B30" s="108"/>
      <c r="C30" s="108"/>
      <c r="D30" s="108"/>
      <c r="E30" s="108"/>
      <c r="F30" s="108"/>
      <c r="G30" s="108"/>
      <c r="H30" s="108"/>
      <c r="I30" s="108"/>
      <c r="J30" s="108"/>
      <c r="K30" s="108"/>
      <c r="L30" s="108"/>
      <c r="M30" s="108"/>
    </row>
    <row r="31" spans="1:18" ht="13.5" customHeight="1">
      <c r="A31" s="108"/>
      <c r="B31" s="108"/>
      <c r="C31" s="108"/>
      <c r="D31" s="108"/>
      <c r="E31" s="108"/>
      <c r="F31" s="108"/>
      <c r="G31" s="108"/>
      <c r="H31" s="108"/>
      <c r="I31" s="108"/>
      <c r="J31" s="108"/>
      <c r="K31" s="108"/>
      <c r="L31" s="108"/>
      <c r="M31" s="108"/>
    </row>
    <row r="32" spans="1:18" ht="13.5" customHeight="1">
      <c r="A32" s="108"/>
      <c r="B32" s="108"/>
      <c r="C32" s="108"/>
      <c r="D32" s="108"/>
      <c r="E32" s="108"/>
      <c r="F32" s="108"/>
      <c r="G32" s="108"/>
      <c r="H32" s="108"/>
      <c r="I32" s="108"/>
      <c r="J32" s="108"/>
      <c r="K32" s="108"/>
      <c r="L32" s="108"/>
      <c r="M32" s="108"/>
    </row>
    <row r="33" spans="1:13" ht="13.5" customHeight="1">
      <c r="A33" s="108"/>
      <c r="B33" s="108"/>
      <c r="C33" s="108"/>
      <c r="D33" s="108"/>
      <c r="E33" s="108"/>
      <c r="F33" s="108"/>
      <c r="G33" s="108"/>
      <c r="H33" s="108"/>
      <c r="I33" s="108"/>
      <c r="J33" s="108"/>
      <c r="K33" s="108"/>
      <c r="L33" s="108"/>
      <c r="M33" s="108"/>
    </row>
    <row r="34" spans="1:13" ht="13.5" customHeight="1">
      <c r="A34" s="108"/>
      <c r="B34" s="108"/>
      <c r="C34" s="108"/>
      <c r="D34" s="108"/>
      <c r="E34" s="108"/>
      <c r="F34" s="108"/>
      <c r="G34" s="108"/>
      <c r="H34" s="108"/>
      <c r="I34" s="108"/>
      <c r="J34" s="108"/>
      <c r="K34" s="108"/>
      <c r="L34" s="108"/>
      <c r="M34" s="108"/>
    </row>
    <row r="35" spans="1:13" ht="13.5" customHeight="1">
      <c r="A35" s="108"/>
      <c r="B35" s="108"/>
      <c r="C35" s="108"/>
      <c r="D35" s="108"/>
      <c r="E35" s="108"/>
      <c r="F35" s="108"/>
      <c r="G35" s="108"/>
      <c r="H35" s="108"/>
      <c r="I35" s="108"/>
      <c r="J35" s="108"/>
      <c r="K35" s="108"/>
      <c r="L35" s="108"/>
      <c r="M35" s="108"/>
    </row>
    <row r="36" spans="1:13" ht="13.5" customHeight="1">
      <c r="A36" s="108"/>
      <c r="B36" s="108"/>
      <c r="C36" s="108"/>
      <c r="D36" s="108"/>
      <c r="E36" s="108"/>
      <c r="F36" s="108"/>
      <c r="G36" s="108"/>
      <c r="H36" s="108"/>
      <c r="I36" s="108"/>
      <c r="J36" s="108"/>
      <c r="K36" s="108"/>
      <c r="L36" s="108"/>
      <c r="M36" s="108"/>
    </row>
    <row r="37" spans="1:13" ht="13.5" customHeight="1">
      <c r="A37" s="108"/>
      <c r="B37" s="108"/>
      <c r="C37" s="108"/>
      <c r="D37" s="108"/>
      <c r="E37" s="108"/>
      <c r="F37" s="108"/>
      <c r="G37" s="108"/>
      <c r="H37" s="108"/>
      <c r="I37" s="108"/>
      <c r="J37" s="108"/>
      <c r="K37" s="108"/>
      <c r="L37" s="108"/>
      <c r="M37" s="1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8"/>
  <sheetViews>
    <sheetView showGridLines="0" view="pageBreakPreview" zoomScale="40" zoomScaleNormal="100" zoomScaleSheetLayoutView="40" workbookViewId="0">
      <selection activeCell="Q1" sqref="Q1:X1048576"/>
    </sheetView>
  </sheetViews>
  <sheetFormatPr baseColWidth="10" defaultColWidth="11.42578125" defaultRowHeight="15"/>
  <cols>
    <col min="1" max="1" width="17.85546875" style="84" customWidth="1"/>
    <col min="2" max="2" width="18.140625" style="84" customWidth="1"/>
    <col min="3" max="3" width="19.42578125" style="84" hidden="1" customWidth="1"/>
    <col min="4" max="5" width="17.7109375" style="84" customWidth="1"/>
    <col min="6" max="6" width="19.42578125" style="84" customWidth="1"/>
    <col min="7" max="7" width="18.7109375" style="84" customWidth="1"/>
    <col min="8" max="8" width="14.5703125" style="84" bestFit="1" customWidth="1"/>
    <col min="9" max="9" width="19.85546875" style="84" customWidth="1"/>
    <col min="10" max="10" width="17" style="84" customWidth="1"/>
    <col min="11" max="11" width="17.7109375" style="84" customWidth="1"/>
    <col min="12" max="12" width="16.28515625" style="84" customWidth="1"/>
    <col min="13" max="16384" width="11.42578125" style="84"/>
  </cols>
  <sheetData>
    <row r="1" spans="1:12" ht="73.5" customHeight="1">
      <c r="A1" s="1792"/>
      <c r="B1" s="1792"/>
      <c r="C1" s="1792"/>
      <c r="D1" s="1792"/>
      <c r="E1" s="1792"/>
      <c r="F1" s="1792"/>
      <c r="G1" s="1792"/>
      <c r="H1" s="1792"/>
      <c r="I1" s="1792"/>
      <c r="J1" s="1792"/>
      <c r="K1" s="1792"/>
      <c r="L1" s="1792"/>
    </row>
    <row r="2" spans="1:12" ht="4.5" customHeight="1"/>
    <row r="3" spans="1:12" ht="23.25" customHeight="1">
      <c r="A3" s="1657"/>
      <c r="B3" s="1894" t="s">
        <v>191</v>
      </c>
      <c r="C3" s="1830"/>
      <c r="D3" s="1830"/>
      <c r="E3" s="1830"/>
      <c r="F3" s="1830"/>
      <c r="G3" s="1831"/>
    </row>
    <row r="4" spans="1:12" ht="36.75" customHeight="1">
      <c r="A4" s="1658" t="s">
        <v>194</v>
      </c>
      <c r="B4" s="1585" t="s">
        <v>511</v>
      </c>
      <c r="C4" s="1659" t="s">
        <v>512</v>
      </c>
      <c r="D4" s="1659" t="s">
        <v>192</v>
      </c>
      <c r="E4" s="1659" t="s">
        <v>209</v>
      </c>
      <c r="F4" s="1659" t="s">
        <v>210</v>
      </c>
      <c r="G4" s="1660" t="s">
        <v>211</v>
      </c>
    </row>
    <row r="5" spans="1:12" ht="18.75">
      <c r="A5" s="1661">
        <v>2003</v>
      </c>
      <c r="B5" s="1662">
        <v>24</v>
      </c>
      <c r="C5" s="1663">
        <f>49+3</f>
        <v>52</v>
      </c>
      <c r="D5" s="1663">
        <v>3</v>
      </c>
      <c r="E5" s="1664">
        <f>D5+B5</f>
        <v>27</v>
      </c>
      <c r="F5" s="1665">
        <f t="shared" ref="F5:F17" si="0">D5/E5</f>
        <v>0.1111111111111111</v>
      </c>
      <c r="G5" s="1666">
        <f t="shared" ref="G5:G17" si="1">B5/E5</f>
        <v>0.88888888888888884</v>
      </c>
    </row>
    <row r="6" spans="1:12" ht="18.75">
      <c r="A6" s="1661">
        <v>2004</v>
      </c>
      <c r="B6" s="1662">
        <v>63</v>
      </c>
      <c r="C6" s="1663">
        <f>48+30+74+79</f>
        <v>231</v>
      </c>
      <c r="D6" s="1663">
        <v>2</v>
      </c>
      <c r="E6" s="1664">
        <f t="shared" ref="E6:E17" si="2">D6+B6</f>
        <v>65</v>
      </c>
      <c r="F6" s="1665">
        <f t="shared" si="0"/>
        <v>3.0769230769230771E-2</v>
      </c>
      <c r="G6" s="1666">
        <f t="shared" si="1"/>
        <v>0.96923076923076923</v>
      </c>
    </row>
    <row r="7" spans="1:12" ht="18.75">
      <c r="A7" s="1661">
        <v>2005</v>
      </c>
      <c r="B7" s="1662">
        <v>181</v>
      </c>
      <c r="C7" s="1663">
        <f>62+110+132+141</f>
        <v>445</v>
      </c>
      <c r="D7" s="1663">
        <v>34</v>
      </c>
      <c r="E7" s="1664">
        <f>D7+B7</f>
        <v>215</v>
      </c>
      <c r="F7" s="1665">
        <f t="shared" si="0"/>
        <v>0.15813953488372093</v>
      </c>
      <c r="G7" s="1666">
        <f t="shared" si="1"/>
        <v>0.8418604651162791</v>
      </c>
    </row>
    <row r="8" spans="1:12" ht="18.75">
      <c r="A8" s="1661">
        <v>2006</v>
      </c>
      <c r="B8" s="1662">
        <v>278</v>
      </c>
      <c r="C8" s="1663">
        <f>151+151+100+283</f>
        <v>685</v>
      </c>
      <c r="D8" s="1663">
        <v>99</v>
      </c>
      <c r="E8" s="1664">
        <f t="shared" si="2"/>
        <v>377</v>
      </c>
      <c r="F8" s="1665">
        <f t="shared" si="0"/>
        <v>0.2625994694960212</v>
      </c>
      <c r="G8" s="1666">
        <f t="shared" si="1"/>
        <v>0.7374005305039788</v>
      </c>
    </row>
    <row r="9" spans="1:12" ht="18.75">
      <c r="A9" s="1661">
        <v>2007</v>
      </c>
      <c r="B9" s="1662">
        <v>252</v>
      </c>
      <c r="C9" s="1663">
        <f>159+168+203+145</f>
        <v>675</v>
      </c>
      <c r="D9" s="1663">
        <v>154</v>
      </c>
      <c r="E9" s="1664">
        <f t="shared" si="2"/>
        <v>406</v>
      </c>
      <c r="F9" s="1665">
        <f t="shared" si="0"/>
        <v>0.37931034482758619</v>
      </c>
      <c r="G9" s="1666">
        <f t="shared" si="1"/>
        <v>0.62068965517241381</v>
      </c>
    </row>
    <row r="10" spans="1:12" ht="18.75">
      <c r="A10" s="1661">
        <v>2008</v>
      </c>
      <c r="B10" s="1667">
        <v>362</v>
      </c>
      <c r="C10" s="1663">
        <f>86+97+76+160+87+120+82+114+58+119+70+69</f>
        <v>1138</v>
      </c>
      <c r="D10" s="1668">
        <v>246</v>
      </c>
      <c r="E10" s="1664">
        <f t="shared" si="2"/>
        <v>608</v>
      </c>
      <c r="F10" s="1665">
        <f t="shared" si="0"/>
        <v>0.40460526315789475</v>
      </c>
      <c r="G10" s="1666">
        <f t="shared" si="1"/>
        <v>0.59539473684210531</v>
      </c>
    </row>
    <row r="11" spans="1:12" ht="18.75">
      <c r="A11" s="1661">
        <v>2009</v>
      </c>
      <c r="B11" s="1667">
        <v>581</v>
      </c>
      <c r="C11" s="1663">
        <f>106+81+55+88+53+78+73+127+144+150+84+117</f>
        <v>1156</v>
      </c>
      <c r="D11" s="1668">
        <v>258</v>
      </c>
      <c r="E11" s="1664">
        <f t="shared" si="2"/>
        <v>839</v>
      </c>
      <c r="F11" s="1665">
        <f t="shared" si="0"/>
        <v>0.30750893921334921</v>
      </c>
      <c r="G11" s="1666">
        <f t="shared" si="1"/>
        <v>0.69249106078665079</v>
      </c>
    </row>
    <row r="12" spans="1:12" ht="18.75">
      <c r="A12" s="1661">
        <v>2010</v>
      </c>
      <c r="B12" s="1667">
        <v>415</v>
      </c>
      <c r="C12" s="1663">
        <f>79+86+65+99+89+87+139+73+69+78+146+42</f>
        <v>1052</v>
      </c>
      <c r="D12" s="1668">
        <v>255</v>
      </c>
      <c r="E12" s="1664">
        <f t="shared" si="2"/>
        <v>670</v>
      </c>
      <c r="F12" s="1665">
        <f t="shared" si="0"/>
        <v>0.38059701492537312</v>
      </c>
      <c r="G12" s="1666">
        <f t="shared" si="1"/>
        <v>0.61940298507462688</v>
      </c>
    </row>
    <row r="13" spans="1:12" ht="18.75">
      <c r="A13" s="1661">
        <v>2011</v>
      </c>
      <c r="B13" s="1667">
        <v>506</v>
      </c>
      <c r="C13" s="1663">
        <f>81+70+122+71+72+139+97+144+93+108+178+88</f>
        <v>1263</v>
      </c>
      <c r="D13" s="1668">
        <v>369</v>
      </c>
      <c r="E13" s="1664">
        <f t="shared" si="2"/>
        <v>875</v>
      </c>
      <c r="F13" s="1665">
        <f t="shared" si="0"/>
        <v>0.42171428571428571</v>
      </c>
      <c r="G13" s="1666">
        <f t="shared" si="1"/>
        <v>0.57828571428571429</v>
      </c>
    </row>
    <row r="14" spans="1:12" ht="18.75">
      <c r="A14" s="1661">
        <v>2012</v>
      </c>
      <c r="B14" s="1667">
        <v>603</v>
      </c>
      <c r="C14" s="1669"/>
      <c r="D14" s="1668">
        <v>628</v>
      </c>
      <c r="E14" s="1664">
        <f t="shared" si="2"/>
        <v>1231</v>
      </c>
      <c r="F14" s="1665">
        <f t="shared" si="0"/>
        <v>0.51015434606011378</v>
      </c>
      <c r="G14" s="1666">
        <f t="shared" si="1"/>
        <v>0.48984565393988627</v>
      </c>
    </row>
    <row r="15" spans="1:12" ht="18.75">
      <c r="A15" s="1661" t="s">
        <v>619</v>
      </c>
      <c r="B15" s="1667">
        <v>659</v>
      </c>
      <c r="C15" s="1669"/>
      <c r="D15" s="1668">
        <v>1205</v>
      </c>
      <c r="E15" s="1664">
        <f t="shared" si="2"/>
        <v>1864</v>
      </c>
      <c r="F15" s="1665">
        <f t="shared" si="0"/>
        <v>0.64645922746781115</v>
      </c>
      <c r="G15" s="1666">
        <f t="shared" si="1"/>
        <v>0.35354077253218885</v>
      </c>
    </row>
    <row r="16" spans="1:12" ht="18.75">
      <c r="A16" s="1661" t="s">
        <v>628</v>
      </c>
      <c r="B16" s="1667">
        <v>722</v>
      </c>
      <c r="C16" s="1669">
        <v>11402</v>
      </c>
      <c r="D16" s="1668">
        <v>1005</v>
      </c>
      <c r="E16" s="1664">
        <f t="shared" si="2"/>
        <v>1727</v>
      </c>
      <c r="F16" s="1665">
        <f t="shared" si="0"/>
        <v>0.58193398957730169</v>
      </c>
      <c r="G16" s="1666">
        <f t="shared" si="1"/>
        <v>0.41806601042269831</v>
      </c>
    </row>
    <row r="17" spans="1:7" ht="18.75">
      <c r="A17" s="1661" t="s">
        <v>632</v>
      </c>
      <c r="B17" s="1667">
        <v>67</v>
      </c>
      <c r="C17" s="1663"/>
      <c r="D17" s="1668">
        <v>63</v>
      </c>
      <c r="E17" s="1664">
        <f t="shared" si="2"/>
        <v>130</v>
      </c>
      <c r="F17" s="1665">
        <f t="shared" si="0"/>
        <v>0.48461538461538461</v>
      </c>
      <c r="G17" s="1666">
        <f t="shared" si="1"/>
        <v>0.51538461538461533</v>
      </c>
    </row>
    <row r="18" spans="1:7" ht="18.75">
      <c r="A18" s="1670" t="s">
        <v>103</v>
      </c>
      <c r="B18" s="1671">
        <f>SUM(B5:B17)</f>
        <v>4713</v>
      </c>
      <c r="C18" s="1672">
        <f>SUM(C5:C17)</f>
        <v>18099</v>
      </c>
      <c r="D18" s="1672">
        <f>SUM(D5:D17)</f>
        <v>4321</v>
      </c>
      <c r="E18" s="1672">
        <f>SUM(E5:E17)</f>
        <v>9034</v>
      </c>
      <c r="F18" s="1672"/>
      <c r="G18" s="1673"/>
    </row>
  </sheetData>
  <mergeCells count="2">
    <mergeCell ref="A1:L1"/>
    <mergeCell ref="B3:G3"/>
  </mergeCells>
  <printOptions horizontalCentered="1" verticalCentered="1"/>
  <pageMargins left="0.4" right="0.4" top="0.25" bottom="0.25" header="0.31496062992126" footer="0.31496062992126"/>
  <pageSetup scale="67"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2"/>
  <sheetViews>
    <sheetView showGridLines="0" view="pageBreakPreview" zoomScale="70" zoomScaleNormal="100" zoomScaleSheetLayoutView="70" workbookViewId="0">
      <selection activeCell="I7" sqref="I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825"/>
      <c r="B1" s="1825"/>
      <c r="C1" s="1825"/>
      <c r="D1" s="1825"/>
      <c r="E1" s="1825"/>
      <c r="F1" s="1825"/>
      <c r="G1" s="1825"/>
      <c r="H1" s="1825"/>
      <c r="I1" s="1825"/>
      <c r="J1" s="1825"/>
      <c r="K1" s="1825"/>
      <c r="L1" s="1825"/>
      <c r="M1" s="1825"/>
      <c r="N1" s="1825"/>
    </row>
    <row r="2" spans="1:14" ht="14.25" customHeight="1">
      <c r="A2" s="1895"/>
      <c r="B2" s="1895"/>
    </row>
    <row r="3" spans="1:14" ht="22.5" customHeight="1">
      <c r="A3" s="826" t="s">
        <v>516</v>
      </c>
      <c r="B3" s="1419" t="s">
        <v>541</v>
      </c>
      <c r="C3" s="1419" t="s">
        <v>542</v>
      </c>
      <c r="D3" s="571" t="s">
        <v>540</v>
      </c>
    </row>
    <row r="4" spans="1:14" ht="18.75">
      <c r="A4" s="827" t="s">
        <v>101</v>
      </c>
      <c r="B4" s="825">
        <v>4186.6899999999996</v>
      </c>
      <c r="C4" s="825">
        <v>9430.93</v>
      </c>
      <c r="D4" s="828">
        <v>7429.6</v>
      </c>
      <c r="F4" s="84"/>
      <c r="G4" s="84"/>
      <c r="H4" s="84"/>
      <c r="I4" s="84"/>
      <c r="J4" s="84"/>
      <c r="K4" s="84"/>
      <c r="L4" s="84"/>
      <c r="M4" s="84"/>
    </row>
    <row r="5" spans="1:14" ht="18.75">
      <c r="A5" s="827" t="s">
        <v>102</v>
      </c>
      <c r="B5" s="825">
        <v>4494.8100000000004</v>
      </c>
      <c r="C5" s="825">
        <v>10710.98</v>
      </c>
      <c r="D5" s="828">
        <v>7864.32</v>
      </c>
      <c r="F5" s="84"/>
      <c r="G5" s="84"/>
      <c r="H5" s="84"/>
      <c r="I5" s="84"/>
      <c r="J5" s="84"/>
      <c r="K5" s="84"/>
      <c r="L5" s="84"/>
      <c r="M5" s="84"/>
    </row>
    <row r="6" spans="1:14" ht="18.75">
      <c r="A6" s="827" t="s">
        <v>92</v>
      </c>
      <c r="B6" s="825">
        <v>3266.47</v>
      </c>
      <c r="C6" s="825">
        <v>7116.28</v>
      </c>
      <c r="D6" s="828">
        <v>5993.42</v>
      </c>
      <c r="F6" s="84"/>
      <c r="G6" s="84"/>
      <c r="H6" s="84"/>
      <c r="I6" s="84"/>
      <c r="J6" s="84"/>
      <c r="K6" s="84"/>
      <c r="L6" s="84"/>
      <c r="M6" s="84"/>
    </row>
    <row r="7" spans="1:14" ht="18.75">
      <c r="A7" s="827" t="s">
        <v>93</v>
      </c>
      <c r="B7" s="825">
        <v>2698.25</v>
      </c>
      <c r="C7" s="825">
        <v>6491.18</v>
      </c>
      <c r="D7" s="828">
        <v>4807.3900000000003</v>
      </c>
      <c r="F7" s="84"/>
      <c r="G7" s="84"/>
      <c r="H7" s="84"/>
      <c r="I7" s="84"/>
      <c r="J7" s="84"/>
      <c r="K7" s="84"/>
      <c r="L7" s="84"/>
      <c r="M7" s="84"/>
    </row>
    <row r="8" spans="1:14" ht="18.75">
      <c r="A8" s="827" t="s">
        <v>94</v>
      </c>
      <c r="B8" s="825">
        <v>4227.2299999999996</v>
      </c>
      <c r="C8" s="825">
        <v>8924.9699999999993</v>
      </c>
      <c r="D8" s="828">
        <v>7269.46</v>
      </c>
      <c r="F8" s="84"/>
      <c r="G8" s="84"/>
      <c r="H8" s="84"/>
      <c r="I8" s="84"/>
      <c r="J8" s="84"/>
      <c r="K8" s="84"/>
      <c r="L8" s="84"/>
      <c r="M8" s="84"/>
    </row>
    <row r="9" spans="1:14" ht="18.75">
      <c r="A9" s="827" t="s">
        <v>513</v>
      </c>
      <c r="B9" s="825">
        <v>9823.9699999999993</v>
      </c>
      <c r="C9" s="825">
        <v>29796.13</v>
      </c>
      <c r="D9" s="828">
        <v>25257</v>
      </c>
      <c r="F9" s="84"/>
      <c r="G9" s="84"/>
      <c r="H9" s="84"/>
      <c r="I9" s="84"/>
      <c r="J9" s="84"/>
      <c r="K9" s="84"/>
      <c r="L9" s="84"/>
      <c r="M9" s="84"/>
    </row>
    <row r="10" spans="1:14" ht="18.75">
      <c r="A10" s="827" t="s">
        <v>514</v>
      </c>
      <c r="B10" s="825">
        <v>10273.94</v>
      </c>
      <c r="C10" s="825">
        <v>22987.9</v>
      </c>
      <c r="D10" s="828">
        <v>17460.09</v>
      </c>
      <c r="F10" s="84"/>
      <c r="G10" s="84"/>
      <c r="H10" s="84"/>
      <c r="I10" s="84"/>
      <c r="J10" s="84"/>
      <c r="K10" s="84"/>
      <c r="L10" s="84"/>
      <c r="M10" s="84"/>
    </row>
    <row r="11" spans="1:14" ht="15.75" customHeight="1">
      <c r="A11" s="827" t="s">
        <v>515</v>
      </c>
      <c r="B11" s="825">
        <v>6012.07</v>
      </c>
      <c r="C11" s="825">
        <v>15548.67</v>
      </c>
      <c r="D11" s="828">
        <v>11205.27</v>
      </c>
      <c r="F11" s="84"/>
      <c r="G11" s="84"/>
      <c r="H11" s="84"/>
      <c r="I11" s="84"/>
      <c r="J11" s="84"/>
      <c r="K11" s="84"/>
      <c r="L11" s="84"/>
      <c r="M11" s="84"/>
    </row>
    <row r="12" spans="1:14" ht="18.75">
      <c r="A12" s="829" t="s">
        <v>910</v>
      </c>
      <c r="B12" s="830"/>
      <c r="C12" s="830"/>
      <c r="D12" s="830"/>
      <c r="F12" s="84"/>
      <c r="G12" s="84"/>
      <c r="H12" s="84"/>
      <c r="I12" s="84"/>
      <c r="J12" s="84"/>
      <c r="K12" s="84"/>
      <c r="L12" s="84"/>
      <c r="M12" s="84"/>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85" zoomScaleNormal="85" zoomScaleSheetLayoutView="85" workbookViewId="0">
      <selection activeCell="N29" sqref="N29"/>
    </sheetView>
  </sheetViews>
  <sheetFormatPr baseColWidth="10" defaultRowHeight="15"/>
  <cols>
    <col min="1" max="1" width="22.42578125" customWidth="1"/>
    <col min="2" max="2" width="15.42578125" customWidth="1"/>
    <col min="3" max="3" width="14.5703125" customWidth="1"/>
    <col min="11" max="11" width="10.140625" customWidth="1"/>
    <col min="17" max="17" width="13.7109375" customWidth="1"/>
    <col min="19" max="19" width="12" customWidth="1"/>
  </cols>
  <sheetData>
    <row r="1" spans="1:17" ht="37.5" customHeight="1">
      <c r="A1" s="1897"/>
      <c r="B1" s="1897"/>
      <c r="C1" s="1897"/>
      <c r="D1" s="1897"/>
      <c r="E1" s="1897"/>
      <c r="F1" s="1897"/>
      <c r="G1" s="1897"/>
      <c r="H1" s="1897"/>
      <c r="I1" s="1897"/>
      <c r="J1" s="241"/>
      <c r="K1" s="241"/>
      <c r="L1" s="1896"/>
      <c r="M1" s="1896"/>
      <c r="N1" s="1896"/>
      <c r="O1" s="1896"/>
      <c r="P1" s="1896"/>
      <c r="Q1" s="1896"/>
    </row>
    <row r="2" spans="1:17" s="84" customFormat="1" ht="15.75" customHeight="1"/>
    <row r="3" spans="1:17">
      <c r="A3" s="1051" t="s">
        <v>516</v>
      </c>
      <c r="B3" s="1055" t="s">
        <v>193</v>
      </c>
      <c r="C3" s="1056" t="s">
        <v>192</v>
      </c>
    </row>
    <row r="4" spans="1:17" ht="15" customHeight="1">
      <c r="A4" s="1057" t="s">
        <v>101</v>
      </c>
      <c r="B4" s="1053">
        <v>11745.45</v>
      </c>
      <c r="C4" s="1054">
        <f>+'Pens.Disc. AFP'!D4</f>
        <v>7429.6</v>
      </c>
    </row>
    <row r="5" spans="1:17" ht="15" customHeight="1">
      <c r="A5" s="1057" t="s">
        <v>102</v>
      </c>
      <c r="B5" s="1053">
        <v>12398.28</v>
      </c>
      <c r="C5" s="1054">
        <f>+'Pens.Disc. AFP'!D5</f>
        <v>7864.32</v>
      </c>
    </row>
    <row r="6" spans="1:17" ht="14.25" customHeight="1">
      <c r="A6" s="1057" t="s">
        <v>92</v>
      </c>
      <c r="B6" s="1053">
        <v>8886.64</v>
      </c>
      <c r="C6" s="1054">
        <f>+'Pens.Disc. AFP'!D6</f>
        <v>5993.42</v>
      </c>
    </row>
    <row r="7" spans="1:17">
      <c r="A7" s="1057" t="s">
        <v>93</v>
      </c>
      <c r="B7" s="1053">
        <v>9065.8799999999992</v>
      </c>
      <c r="C7" s="1054">
        <f>+'Pens.Disc. AFP'!D7</f>
        <v>4807.3900000000003</v>
      </c>
    </row>
    <row r="8" spans="1:17" ht="12.75" customHeight="1">
      <c r="A8" s="1057" t="s">
        <v>94</v>
      </c>
      <c r="B8" s="1053">
        <v>10781.39</v>
      </c>
      <c r="C8" s="1054">
        <f>+'Pens.Disc. AFP'!D8</f>
        <v>7269.46</v>
      </c>
    </row>
    <row r="9" spans="1:17" ht="16.5" customHeight="1">
      <c r="A9" s="1057" t="s">
        <v>519</v>
      </c>
      <c r="B9" s="1053">
        <v>29465.35</v>
      </c>
      <c r="C9" s="1054">
        <f>+'Pens.Disc. AFP'!D9</f>
        <v>25257</v>
      </c>
    </row>
    <row r="10" spans="1:17">
      <c r="A10" s="1057" t="s">
        <v>518</v>
      </c>
      <c r="B10" s="1053">
        <v>11103.35</v>
      </c>
      <c r="C10" s="1054">
        <f>+'Pens.Disc. AFP'!D10</f>
        <v>17460.09</v>
      </c>
    </row>
    <row r="11" spans="1:17">
      <c r="A11" s="1057" t="s">
        <v>517</v>
      </c>
      <c r="B11" s="1053">
        <v>9215.2800000000007</v>
      </c>
      <c r="C11" s="1054">
        <f>+'Pens.Disc. AFP'!D11</f>
        <v>11205.27</v>
      </c>
    </row>
    <row r="12" spans="1:17">
      <c r="A12" s="1052" t="s">
        <v>534</v>
      </c>
      <c r="B12" s="1425">
        <v>10839.31</v>
      </c>
      <c r="C12" s="1058">
        <v>7528.54</v>
      </c>
    </row>
    <row r="13" spans="1:17">
      <c r="A13" s="1674" t="s">
        <v>848</v>
      </c>
      <c r="B13" s="102"/>
    </row>
    <row r="16" spans="1:17" ht="15" customHeight="1"/>
    <row r="17" ht="15" customHeight="1"/>
    <row r="39" spans="1:52" hidden="1">
      <c r="A39" s="84"/>
      <c r="B39" s="84"/>
      <c r="C39" s="84"/>
      <c r="D39" s="84"/>
      <c r="E39" s="84"/>
      <c r="F39" s="84"/>
      <c r="G39" s="84"/>
      <c r="H39" s="84"/>
      <c r="I39" s="84"/>
      <c r="J39" s="84"/>
      <c r="K39" s="84"/>
      <c r="L39" s="84"/>
      <c r="M39" s="84"/>
      <c r="N39" s="84"/>
      <c r="O39" s="84"/>
      <c r="P39" s="238"/>
      <c r="Q39" s="238"/>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row>
    <row r="40" spans="1:52" hidden="1">
      <c r="B40" s="232" t="s">
        <v>537</v>
      </c>
      <c r="C40" s="239" t="s">
        <v>538</v>
      </c>
      <c r="D40" s="232" t="s">
        <v>537</v>
      </c>
      <c r="E40" s="239" t="s">
        <v>538</v>
      </c>
      <c r="F40" s="232" t="s">
        <v>537</v>
      </c>
      <c r="G40" s="239" t="s">
        <v>538</v>
      </c>
      <c r="H40" s="232" t="s">
        <v>537</v>
      </c>
      <c r="I40" s="239" t="s">
        <v>538</v>
      </c>
      <c r="J40" s="232" t="s">
        <v>537</v>
      </c>
      <c r="K40" s="239" t="s">
        <v>538</v>
      </c>
      <c r="L40" s="232" t="s">
        <v>537</v>
      </c>
      <c r="M40" s="239" t="s">
        <v>538</v>
      </c>
      <c r="N40" s="232" t="s">
        <v>537</v>
      </c>
      <c r="O40" s="239" t="s">
        <v>538</v>
      </c>
      <c r="P40" s="232" t="s">
        <v>537</v>
      </c>
      <c r="Q40" s="239" t="s">
        <v>538</v>
      </c>
      <c r="R40" s="232" t="s">
        <v>537</v>
      </c>
      <c r="S40" s="239" t="s">
        <v>538</v>
      </c>
      <c r="T40" s="232" t="s">
        <v>537</v>
      </c>
      <c r="U40" s="239" t="s">
        <v>538</v>
      </c>
      <c r="V40" s="232" t="s">
        <v>537</v>
      </c>
      <c r="W40" s="239" t="s">
        <v>538</v>
      </c>
      <c r="X40" s="232" t="s">
        <v>537</v>
      </c>
      <c r="Y40" s="239" t="s">
        <v>538</v>
      </c>
      <c r="Z40" s="232" t="s">
        <v>537</v>
      </c>
      <c r="AA40" s="239" t="s">
        <v>538</v>
      </c>
      <c r="AB40" s="232" t="s">
        <v>537</v>
      </c>
      <c r="AC40" s="239" t="s">
        <v>538</v>
      </c>
      <c r="AD40" s="232" t="s">
        <v>537</v>
      </c>
      <c r="AE40" s="239" t="s">
        <v>538</v>
      </c>
      <c r="AF40" s="232" t="s">
        <v>537</v>
      </c>
      <c r="AG40" s="239" t="s">
        <v>538</v>
      </c>
      <c r="AH40" s="232" t="s">
        <v>537</v>
      </c>
      <c r="AI40" s="239" t="s">
        <v>538</v>
      </c>
      <c r="AJ40" s="232" t="s">
        <v>537</v>
      </c>
      <c r="AK40" s="239" t="s">
        <v>538</v>
      </c>
      <c r="AL40" s="232" t="s">
        <v>537</v>
      </c>
      <c r="AM40" s="239" t="s">
        <v>538</v>
      </c>
      <c r="AN40" s="232" t="s">
        <v>537</v>
      </c>
      <c r="AO40" s="239" t="s">
        <v>538</v>
      </c>
      <c r="AP40" s="232" t="s">
        <v>537</v>
      </c>
      <c r="AQ40" s="239" t="s">
        <v>538</v>
      </c>
      <c r="AR40" s="232" t="s">
        <v>537</v>
      </c>
      <c r="AS40" s="239" t="s">
        <v>538</v>
      </c>
      <c r="AT40" s="232" t="s">
        <v>537</v>
      </c>
      <c r="AU40" s="239" t="s">
        <v>538</v>
      </c>
      <c r="AV40" s="232" t="s">
        <v>537</v>
      </c>
      <c r="AW40" s="239" t="s">
        <v>538</v>
      </c>
      <c r="AX40" s="232" t="s">
        <v>537</v>
      </c>
      <c r="AY40" s="239" t="s">
        <v>538</v>
      </c>
    </row>
    <row r="41" spans="1:52" hidden="1">
      <c r="A41" s="233" t="s">
        <v>516</v>
      </c>
      <c r="B41" s="232" t="s">
        <v>531</v>
      </c>
      <c r="C41" s="239" t="s">
        <v>531</v>
      </c>
      <c r="D41" s="232" t="s">
        <v>532</v>
      </c>
      <c r="E41" s="239" t="s">
        <v>532</v>
      </c>
      <c r="F41" s="232" t="s">
        <v>533</v>
      </c>
      <c r="G41" s="239" t="s">
        <v>533</v>
      </c>
      <c r="H41" s="232" t="s">
        <v>528</v>
      </c>
      <c r="I41" s="239" t="s">
        <v>528</v>
      </c>
      <c r="J41" s="232" t="s">
        <v>529</v>
      </c>
      <c r="K41" s="239" t="s">
        <v>529</v>
      </c>
      <c r="L41" s="232" t="s">
        <v>530</v>
      </c>
      <c r="M41" s="239" t="s">
        <v>530</v>
      </c>
      <c r="N41" s="232" t="s">
        <v>520</v>
      </c>
      <c r="O41" s="239" t="s">
        <v>520</v>
      </c>
      <c r="P41" s="235" t="s">
        <v>539</v>
      </c>
      <c r="Q41" s="239" t="s">
        <v>539</v>
      </c>
      <c r="R41" s="235" t="s">
        <v>521</v>
      </c>
      <c r="S41" s="239" t="s">
        <v>521</v>
      </c>
      <c r="T41" s="235" t="s">
        <v>500</v>
      </c>
      <c r="U41" s="239" t="s">
        <v>500</v>
      </c>
      <c r="V41" s="235" t="s">
        <v>522</v>
      </c>
      <c r="W41" s="239" t="s">
        <v>522</v>
      </c>
      <c r="X41" s="235" t="s">
        <v>523</v>
      </c>
      <c r="Y41" s="239" t="s">
        <v>523</v>
      </c>
      <c r="Z41" s="235" t="s">
        <v>439</v>
      </c>
      <c r="AA41" s="239" t="s">
        <v>439</v>
      </c>
      <c r="AB41" s="232" t="s">
        <v>524</v>
      </c>
      <c r="AC41" s="239" t="s">
        <v>524</v>
      </c>
      <c r="AD41" s="232" t="s">
        <v>535</v>
      </c>
      <c r="AE41" s="239" t="s">
        <v>535</v>
      </c>
      <c r="AF41" s="232" t="s">
        <v>526</v>
      </c>
      <c r="AG41" s="239" t="s">
        <v>526</v>
      </c>
      <c r="AH41" s="232" t="s">
        <v>440</v>
      </c>
      <c r="AI41" s="239" t="s">
        <v>440</v>
      </c>
      <c r="AJ41" s="232" t="s">
        <v>527</v>
      </c>
      <c r="AK41" s="239" t="s">
        <v>527</v>
      </c>
      <c r="AL41" s="232" t="s">
        <v>536</v>
      </c>
      <c r="AM41" s="239" t="s">
        <v>536</v>
      </c>
      <c r="AN41" s="232" t="s">
        <v>525</v>
      </c>
      <c r="AO41" s="239" t="s">
        <v>525</v>
      </c>
      <c r="AP41" s="232" t="s">
        <v>441</v>
      </c>
      <c r="AQ41" s="239" t="s">
        <v>441</v>
      </c>
      <c r="AR41" s="232" t="s">
        <v>438</v>
      </c>
      <c r="AS41" s="240" t="s">
        <v>438</v>
      </c>
      <c r="AT41" s="232" t="s">
        <v>482</v>
      </c>
      <c r="AU41" s="240" t="s">
        <v>482</v>
      </c>
      <c r="AV41" s="232" t="s">
        <v>484</v>
      </c>
      <c r="AW41" s="239" t="s">
        <v>484</v>
      </c>
      <c r="AX41" s="232" t="s">
        <v>501</v>
      </c>
      <c r="AY41" s="239" t="s">
        <v>501</v>
      </c>
    </row>
    <row r="42" spans="1:52" hidden="1">
      <c r="A42" s="236" t="s">
        <v>101</v>
      </c>
      <c r="B42" s="221"/>
      <c r="C42" s="221"/>
      <c r="D42" s="221"/>
      <c r="E42" s="221"/>
      <c r="F42" s="221"/>
      <c r="G42" s="221"/>
      <c r="H42" s="221"/>
      <c r="I42" s="221"/>
      <c r="J42" s="221"/>
      <c r="K42" s="221"/>
      <c r="L42" s="221"/>
      <c r="M42" s="221"/>
      <c r="N42" s="231"/>
      <c r="O42" s="231"/>
      <c r="P42" s="231"/>
      <c r="Q42" s="231"/>
      <c r="R42" s="231"/>
      <c r="S42" s="231"/>
      <c r="T42" s="231">
        <v>6862.09</v>
      </c>
      <c r="U42" s="231">
        <v>5466.02</v>
      </c>
      <c r="V42" s="231">
        <v>7008.29</v>
      </c>
      <c r="W42" s="231">
        <v>5228.53</v>
      </c>
      <c r="X42" s="231">
        <v>7052.01</v>
      </c>
      <c r="Y42" s="231">
        <v>5918.51</v>
      </c>
      <c r="Z42" s="231">
        <v>7363.3</v>
      </c>
      <c r="AA42" s="231">
        <v>5926.22</v>
      </c>
      <c r="AB42" s="231">
        <v>7444.78</v>
      </c>
      <c r="AC42" s="231">
        <v>6170.85</v>
      </c>
      <c r="AD42" s="231">
        <v>8016.05</v>
      </c>
      <c r="AE42" s="231">
        <v>6120.58</v>
      </c>
      <c r="AF42" s="231">
        <v>8107.44</v>
      </c>
      <c r="AG42" s="231">
        <v>6146.74</v>
      </c>
      <c r="AH42" s="231">
        <v>8273.11</v>
      </c>
      <c r="AI42" s="231">
        <v>6132.23</v>
      </c>
      <c r="AJ42" s="231">
        <v>8396.0499999999993</v>
      </c>
      <c r="AK42" s="231">
        <v>6292.33</v>
      </c>
      <c r="AL42" s="231">
        <v>8397.69</v>
      </c>
      <c r="AM42" s="231">
        <v>6201.63</v>
      </c>
      <c r="AN42" s="231">
        <v>8536.24</v>
      </c>
      <c r="AO42" s="231">
        <v>6198.55</v>
      </c>
      <c r="AP42" s="231">
        <v>8794.74</v>
      </c>
      <c r="AQ42" s="231">
        <v>6403.89</v>
      </c>
      <c r="AR42" s="231">
        <v>9041.9</v>
      </c>
      <c r="AS42" s="231">
        <v>6414.86</v>
      </c>
      <c r="AT42" s="231">
        <v>9043.19</v>
      </c>
      <c r="AU42" s="231">
        <v>6608.88</v>
      </c>
      <c r="AV42" s="231">
        <v>9175.3654368737461</v>
      </c>
      <c r="AW42" s="231">
        <v>6669.75</v>
      </c>
      <c r="AX42" s="231">
        <v>9235.15</v>
      </c>
      <c r="AY42" s="231">
        <v>6406.86</v>
      </c>
    </row>
    <row r="43" spans="1:52" hidden="1">
      <c r="A43" s="236" t="s">
        <v>102</v>
      </c>
      <c r="B43" s="221"/>
      <c r="C43" s="221"/>
      <c r="D43" s="221"/>
      <c r="E43" s="221"/>
      <c r="F43" s="221"/>
      <c r="G43" s="221"/>
      <c r="H43" s="221"/>
      <c r="I43" s="221"/>
      <c r="J43" s="221"/>
      <c r="K43" s="221"/>
      <c r="L43" s="221"/>
      <c r="M43" s="221"/>
      <c r="N43" s="231"/>
      <c r="O43" s="231"/>
      <c r="P43" s="231"/>
      <c r="Q43" s="231"/>
      <c r="R43" s="231"/>
      <c r="S43" s="231"/>
      <c r="T43" s="231">
        <v>7929.91</v>
      </c>
      <c r="U43" s="231">
        <v>8646.26</v>
      </c>
      <c r="V43" s="231">
        <v>7950.08</v>
      </c>
      <c r="W43" s="231">
        <v>8620.76</v>
      </c>
      <c r="X43" s="231">
        <v>8356.56</v>
      </c>
      <c r="Y43" s="231">
        <v>8685.5</v>
      </c>
      <c r="Z43" s="231">
        <v>7387.96</v>
      </c>
      <c r="AA43" s="231">
        <v>8934.6200000000008</v>
      </c>
      <c r="AB43" s="231">
        <v>7167.07</v>
      </c>
      <c r="AC43" s="231">
        <v>8801.31</v>
      </c>
      <c r="AD43" s="231">
        <v>7605.92</v>
      </c>
      <c r="AE43" s="231">
        <v>8570.25</v>
      </c>
      <c r="AF43" s="231">
        <v>7932.06</v>
      </c>
      <c r="AG43" s="231">
        <v>7801.78</v>
      </c>
      <c r="AH43" s="231">
        <v>7954.11</v>
      </c>
      <c r="AI43" s="231">
        <v>8209.52</v>
      </c>
      <c r="AJ43" s="231">
        <v>8082.35</v>
      </c>
      <c r="AK43" s="231">
        <v>7899.34</v>
      </c>
      <c r="AL43" s="231">
        <v>8597.8700000000008</v>
      </c>
      <c r="AM43" s="231">
        <v>7804.42</v>
      </c>
      <c r="AN43" s="231">
        <v>8651.5499999999993</v>
      </c>
      <c r="AO43" s="231">
        <v>7878.08</v>
      </c>
      <c r="AP43" s="231">
        <v>9077.81</v>
      </c>
      <c r="AQ43" s="231">
        <v>7627.54</v>
      </c>
      <c r="AR43" s="231">
        <v>9163.0499999999993</v>
      </c>
      <c r="AS43" s="231">
        <v>7088.11</v>
      </c>
      <c r="AT43" s="231">
        <v>9184.4599999999991</v>
      </c>
      <c r="AU43" s="231">
        <v>6909.23</v>
      </c>
      <c r="AV43" s="231">
        <v>9212.4380608695701</v>
      </c>
      <c r="AW43" s="231">
        <v>6792.19</v>
      </c>
      <c r="AX43" s="231">
        <v>9340.68</v>
      </c>
      <c r="AY43" s="231">
        <v>6846.92</v>
      </c>
    </row>
    <row r="44" spans="1:52" hidden="1">
      <c r="A44" s="236" t="s">
        <v>92</v>
      </c>
      <c r="B44" s="221"/>
      <c r="C44" s="221"/>
      <c r="D44" s="221"/>
      <c r="E44" s="221"/>
      <c r="F44" s="221"/>
      <c r="G44" s="221"/>
      <c r="H44" s="221"/>
      <c r="I44" s="221"/>
      <c r="J44" s="221"/>
      <c r="K44" s="221"/>
      <c r="L44" s="221"/>
      <c r="M44" s="221"/>
      <c r="N44" s="231"/>
      <c r="O44" s="231"/>
      <c r="P44" s="231"/>
      <c r="Q44" s="231"/>
      <c r="R44" s="231"/>
      <c r="S44" s="231"/>
      <c r="T44" s="231">
        <v>5859.75</v>
      </c>
      <c r="U44" s="231">
        <v>3835.19</v>
      </c>
      <c r="V44" s="231">
        <v>5772.78</v>
      </c>
      <c r="W44" s="231">
        <v>3708.91</v>
      </c>
      <c r="X44" s="231">
        <v>5637.4</v>
      </c>
      <c r="Y44" s="231">
        <v>3907.57</v>
      </c>
      <c r="Z44" s="231">
        <v>5637.4</v>
      </c>
      <c r="AA44" s="231">
        <v>3924.68</v>
      </c>
      <c r="AB44" s="231">
        <v>5621.6</v>
      </c>
      <c r="AC44" s="231">
        <v>3924.68</v>
      </c>
      <c r="AD44" s="231">
        <v>5924.07</v>
      </c>
      <c r="AE44" s="231">
        <v>4047.55</v>
      </c>
      <c r="AF44" s="231">
        <v>5948.37</v>
      </c>
      <c r="AG44" s="231">
        <v>4047.55</v>
      </c>
      <c r="AH44" s="231">
        <v>5880.94</v>
      </c>
      <c r="AI44" s="231">
        <v>4135.4399999999996</v>
      </c>
      <c r="AJ44" s="231">
        <v>5799.6</v>
      </c>
      <c r="AK44" s="231">
        <v>4156.57</v>
      </c>
      <c r="AL44" s="231">
        <v>5757.81</v>
      </c>
      <c r="AM44" s="231">
        <v>4156.57</v>
      </c>
      <c r="AN44" s="231">
        <v>5750.14</v>
      </c>
      <c r="AO44" s="231">
        <v>4156.57</v>
      </c>
      <c r="AP44" s="231">
        <v>5747.2</v>
      </c>
      <c r="AQ44" s="231">
        <v>4259.95</v>
      </c>
      <c r="AR44" s="231">
        <v>5751.11</v>
      </c>
      <c r="AS44" s="231">
        <v>4250.91</v>
      </c>
      <c r="AT44" s="231">
        <v>5751.11</v>
      </c>
      <c r="AU44" s="231">
        <v>4219.03</v>
      </c>
      <c r="AV44" s="231">
        <v>5792.1264186046501</v>
      </c>
      <c r="AW44" s="231">
        <v>4391.16</v>
      </c>
      <c r="AX44" s="231">
        <v>5947.33</v>
      </c>
      <c r="AY44" s="231">
        <v>4233.6099999999997</v>
      </c>
    </row>
    <row r="45" spans="1:52" hidden="1">
      <c r="A45" s="236" t="s">
        <v>93</v>
      </c>
      <c r="B45" s="221"/>
      <c r="C45" s="221"/>
      <c r="D45" s="221"/>
      <c r="E45" s="221"/>
      <c r="F45" s="221"/>
      <c r="G45" s="221"/>
      <c r="H45" s="221"/>
      <c r="I45" s="221"/>
      <c r="J45" s="221"/>
      <c r="K45" s="221"/>
      <c r="L45" s="221"/>
      <c r="M45" s="221"/>
      <c r="N45" s="231"/>
      <c r="O45" s="231"/>
      <c r="P45" s="231"/>
      <c r="Q45" s="231"/>
      <c r="R45" s="231"/>
      <c r="S45" s="231"/>
      <c r="T45" s="231">
        <v>5442.78</v>
      </c>
      <c r="U45" s="231">
        <v>4647.8999999999996</v>
      </c>
      <c r="V45" s="231">
        <v>5543.16</v>
      </c>
      <c r="W45" s="231">
        <v>4678.74</v>
      </c>
      <c r="X45" s="231">
        <v>5851.72</v>
      </c>
      <c r="Y45" s="231">
        <v>4601.21</v>
      </c>
      <c r="Z45" s="231">
        <v>6156.5</v>
      </c>
      <c r="AA45" s="231">
        <v>4762.3599999999997</v>
      </c>
      <c r="AB45" s="231">
        <v>6277.06</v>
      </c>
      <c r="AC45" s="231">
        <v>4771.51</v>
      </c>
      <c r="AD45" s="231">
        <v>6616.3</v>
      </c>
      <c r="AE45" s="231">
        <v>4848.12</v>
      </c>
      <c r="AF45" s="231">
        <v>6903.37</v>
      </c>
      <c r="AG45" s="231">
        <v>4657.3999999999996</v>
      </c>
      <c r="AH45" s="231">
        <v>6947.49</v>
      </c>
      <c r="AI45" s="231">
        <v>4735.88</v>
      </c>
      <c r="AJ45" s="231">
        <v>7000.61</v>
      </c>
      <c r="AK45" s="231">
        <v>4647.45</v>
      </c>
      <c r="AL45" s="231">
        <v>6898.94</v>
      </c>
      <c r="AM45" s="231">
        <v>4870.25</v>
      </c>
      <c r="AN45" s="231">
        <v>7103.36</v>
      </c>
      <c r="AO45" s="231">
        <v>4741.6499999999996</v>
      </c>
      <c r="AP45" s="231">
        <v>7241.35</v>
      </c>
      <c r="AQ45" s="231">
        <v>4923.1499999999996</v>
      </c>
      <c r="AR45" s="231">
        <v>7199.1</v>
      </c>
      <c r="AS45" s="231">
        <v>5048.2</v>
      </c>
      <c r="AT45" s="231">
        <v>7225</v>
      </c>
      <c r="AU45" s="231">
        <v>4876.26</v>
      </c>
      <c r="AV45" s="231">
        <v>7286.1333393316263</v>
      </c>
      <c r="AW45" s="231">
        <v>4573.1499999999996</v>
      </c>
      <c r="AX45" s="231">
        <v>7343.02</v>
      </c>
      <c r="AY45" s="231">
        <v>4591.4799999999996</v>
      </c>
    </row>
    <row r="46" spans="1:52" hidden="1">
      <c r="A46" s="236" t="s">
        <v>94</v>
      </c>
      <c r="B46" s="221"/>
      <c r="C46" s="221"/>
      <c r="D46" s="221"/>
      <c r="E46" s="221"/>
      <c r="F46" s="221"/>
      <c r="G46" s="221"/>
      <c r="H46" s="221"/>
      <c r="I46" s="221"/>
      <c r="J46" s="221"/>
      <c r="K46" s="221"/>
      <c r="L46" s="221"/>
      <c r="M46" s="221"/>
      <c r="N46" s="231"/>
      <c r="O46" s="231"/>
      <c r="P46" s="231"/>
      <c r="Q46" s="231"/>
      <c r="R46" s="231"/>
      <c r="S46" s="231"/>
      <c r="T46" s="231">
        <v>7737.92</v>
      </c>
      <c r="U46" s="231">
        <v>4975.3599999999997</v>
      </c>
      <c r="V46" s="231">
        <v>7556.01</v>
      </c>
      <c r="W46" s="231">
        <v>4839.3900000000003</v>
      </c>
      <c r="X46" s="231">
        <v>8023.03</v>
      </c>
      <c r="Y46" s="231">
        <v>4857.47</v>
      </c>
      <c r="Z46" s="231">
        <v>8162.58</v>
      </c>
      <c r="AA46" s="231">
        <v>4880.67</v>
      </c>
      <c r="AB46" s="231">
        <v>8215.75</v>
      </c>
      <c r="AC46" s="231">
        <v>4789.3999999999996</v>
      </c>
      <c r="AD46" s="231">
        <v>8479.8700000000008</v>
      </c>
      <c r="AE46" s="231">
        <v>5053.18</v>
      </c>
      <c r="AF46" s="231">
        <v>8604.0400000000009</v>
      </c>
      <c r="AG46" s="231">
        <v>5474.87</v>
      </c>
      <c r="AH46" s="231">
        <v>8546.8799999999992</v>
      </c>
      <c r="AI46" s="231">
        <v>5886.59</v>
      </c>
      <c r="AJ46" s="231">
        <v>8956.7800000000007</v>
      </c>
      <c r="AK46" s="231">
        <v>6393.64</v>
      </c>
      <c r="AL46" s="231">
        <v>8870.9</v>
      </c>
      <c r="AM46" s="231">
        <v>6275.25</v>
      </c>
      <c r="AN46" s="231">
        <v>8875.48</v>
      </c>
      <c r="AO46" s="231">
        <v>6178.67</v>
      </c>
      <c r="AP46" s="231">
        <v>8828.32</v>
      </c>
      <c r="AQ46" s="231">
        <v>6680.66</v>
      </c>
      <c r="AR46" s="231">
        <v>9012.27</v>
      </c>
      <c r="AS46" s="231">
        <v>6702.19</v>
      </c>
      <c r="AT46" s="231">
        <v>9064.69</v>
      </c>
      <c r="AU46" s="231">
        <v>6849.44</v>
      </c>
      <c r="AV46" s="231">
        <v>9110.6958030384922</v>
      </c>
      <c r="AW46" s="231">
        <v>7083</v>
      </c>
      <c r="AX46" s="231">
        <v>8980.09</v>
      </c>
      <c r="AY46" s="231">
        <v>6899.91</v>
      </c>
    </row>
    <row r="47" spans="1:52" hidden="1">
      <c r="A47" s="236" t="s">
        <v>519</v>
      </c>
      <c r="B47" s="221"/>
      <c r="C47" s="221"/>
      <c r="D47" s="221"/>
      <c r="E47" s="221"/>
      <c r="F47" s="221"/>
      <c r="G47" s="221"/>
      <c r="H47" s="221"/>
      <c r="I47" s="221"/>
      <c r="J47" s="221"/>
      <c r="K47" s="221"/>
      <c r="L47" s="221"/>
      <c r="M47" s="221"/>
      <c r="N47" s="231"/>
      <c r="O47" s="231"/>
      <c r="P47" s="231"/>
      <c r="Q47" s="231"/>
      <c r="R47" s="231"/>
      <c r="S47" s="231"/>
      <c r="T47" s="231">
        <v>11769.89</v>
      </c>
      <c r="U47" s="231">
        <v>16056.01</v>
      </c>
      <c r="V47" s="231">
        <v>11769.89</v>
      </c>
      <c r="W47" s="231">
        <v>16056.01</v>
      </c>
      <c r="X47" s="231">
        <v>11769.89</v>
      </c>
      <c r="Y47" s="231">
        <v>15831.22</v>
      </c>
      <c r="Z47" s="231">
        <v>11769.89</v>
      </c>
      <c r="AA47" s="231">
        <v>15831.22</v>
      </c>
      <c r="AB47" s="231">
        <v>11769.89</v>
      </c>
      <c r="AC47" s="231">
        <v>15831.22</v>
      </c>
      <c r="AD47" s="231">
        <v>11769.89</v>
      </c>
      <c r="AE47" s="231">
        <v>15523.18</v>
      </c>
      <c r="AF47" s="231">
        <v>11769.89</v>
      </c>
      <c r="AG47" s="231">
        <v>14890.42</v>
      </c>
      <c r="AH47" s="231">
        <v>11769.89</v>
      </c>
      <c r="AI47" s="231">
        <v>15887.88</v>
      </c>
      <c r="AJ47" s="231">
        <v>11769.89</v>
      </c>
      <c r="AK47" s="231">
        <v>15924.06</v>
      </c>
      <c r="AL47" s="231">
        <v>11769.89</v>
      </c>
      <c r="AM47" s="231">
        <v>15636.54</v>
      </c>
      <c r="AN47" s="231">
        <v>11769.89</v>
      </c>
      <c r="AO47" s="231">
        <v>15636.54</v>
      </c>
      <c r="AP47" s="231">
        <v>11769.89</v>
      </c>
      <c r="AQ47" s="231">
        <v>15636.54</v>
      </c>
      <c r="AR47" s="231">
        <v>11769.89</v>
      </c>
      <c r="AS47" s="231">
        <v>15163.84</v>
      </c>
      <c r="AT47" s="231">
        <v>11769.89</v>
      </c>
      <c r="AU47" s="231">
        <v>15164</v>
      </c>
      <c r="AV47" s="231">
        <v>11769.886500000001</v>
      </c>
      <c r="AW47" s="231">
        <v>15909.84</v>
      </c>
      <c r="AX47" s="231">
        <v>11769.89</v>
      </c>
      <c r="AY47" s="231">
        <v>17050.05</v>
      </c>
    </row>
    <row r="48" spans="1:52" hidden="1">
      <c r="A48" s="236" t="s">
        <v>518</v>
      </c>
      <c r="B48" s="221"/>
      <c r="C48" s="221"/>
      <c r="D48" s="221"/>
      <c r="E48" s="221"/>
      <c r="F48" s="221"/>
      <c r="G48" s="221"/>
      <c r="H48" s="221"/>
      <c r="I48" s="221"/>
      <c r="J48" s="221"/>
      <c r="K48" s="221"/>
      <c r="L48" s="221"/>
      <c r="M48" s="221"/>
      <c r="N48" s="231"/>
      <c r="O48" s="231"/>
      <c r="P48" s="231"/>
      <c r="Q48" s="231"/>
      <c r="R48" s="231"/>
      <c r="S48" s="231"/>
      <c r="T48" s="231">
        <v>7560.59</v>
      </c>
      <c r="U48" s="231">
        <v>12398.75</v>
      </c>
      <c r="V48" s="231">
        <v>7560.59</v>
      </c>
      <c r="W48" s="231">
        <v>12393.77</v>
      </c>
      <c r="X48" s="231">
        <v>7560.59</v>
      </c>
      <c r="Y48" s="231">
        <v>12213.89</v>
      </c>
      <c r="Z48" s="231">
        <v>7560.59</v>
      </c>
      <c r="AA48" s="231">
        <v>11828.81</v>
      </c>
      <c r="AB48" s="231">
        <v>7560.59</v>
      </c>
      <c r="AC48" s="231">
        <v>11894.8</v>
      </c>
      <c r="AD48" s="231">
        <v>7700.59</v>
      </c>
      <c r="AE48" s="231">
        <v>12010.3</v>
      </c>
      <c r="AF48" s="231">
        <v>7700.59</v>
      </c>
      <c r="AG48" s="231">
        <v>12010.3</v>
      </c>
      <c r="AH48" s="231">
        <v>7700.59</v>
      </c>
      <c r="AI48" s="231">
        <v>12463.26</v>
      </c>
      <c r="AJ48" s="231">
        <v>7754.88</v>
      </c>
      <c r="AK48" s="231">
        <v>12780.97</v>
      </c>
      <c r="AL48" s="231">
        <v>7754.88</v>
      </c>
      <c r="AM48" s="231">
        <v>13378.29</v>
      </c>
      <c r="AN48" s="231">
        <v>7754.88</v>
      </c>
      <c r="AO48" s="231">
        <v>13629.1</v>
      </c>
      <c r="AP48" s="231">
        <v>7754.88</v>
      </c>
      <c r="AQ48" s="231">
        <v>13753.57</v>
      </c>
      <c r="AR48" s="231">
        <v>7754.88</v>
      </c>
      <c r="AS48" s="231">
        <v>13753.57</v>
      </c>
      <c r="AT48" s="231">
        <v>7754.88</v>
      </c>
      <c r="AU48" s="231">
        <v>13774.79</v>
      </c>
      <c r="AV48" s="231">
        <v>7754.8792499999981</v>
      </c>
      <c r="AW48" s="231">
        <v>14384.28</v>
      </c>
      <c r="AX48" s="231">
        <v>7754.88</v>
      </c>
      <c r="AY48" s="231">
        <v>13455</v>
      </c>
      <c r="AZ48" s="84"/>
    </row>
    <row r="49" spans="1:52" hidden="1">
      <c r="A49" s="236" t="s">
        <v>517</v>
      </c>
      <c r="B49" s="221"/>
      <c r="C49" s="221"/>
      <c r="D49" s="221"/>
      <c r="E49" s="221"/>
      <c r="F49" s="221"/>
      <c r="G49" s="221"/>
      <c r="H49" s="221"/>
      <c r="I49" s="221"/>
      <c r="J49" s="221"/>
      <c r="K49" s="221"/>
      <c r="L49" s="221"/>
      <c r="M49" s="221"/>
      <c r="N49" s="231"/>
      <c r="O49" s="231"/>
      <c r="P49" s="231"/>
      <c r="Q49" s="231"/>
      <c r="R49" s="231"/>
      <c r="S49" s="231"/>
      <c r="T49" s="231">
        <v>0</v>
      </c>
      <c r="U49" s="231">
        <v>0</v>
      </c>
      <c r="V49" s="231">
        <v>0</v>
      </c>
      <c r="W49" s="231">
        <v>0</v>
      </c>
      <c r="X49" s="231">
        <v>6522.62</v>
      </c>
      <c r="Y49" s="231">
        <v>9328.01</v>
      </c>
      <c r="Z49" s="231">
        <v>6653.12</v>
      </c>
      <c r="AA49" s="231">
        <v>9328.01</v>
      </c>
      <c r="AB49" s="231">
        <v>9215.2800000000007</v>
      </c>
      <c r="AC49" s="231">
        <v>9328.01</v>
      </c>
      <c r="AD49" s="231">
        <v>9215.2800000000007</v>
      </c>
      <c r="AE49" s="231">
        <v>9328.01</v>
      </c>
      <c r="AF49" s="231">
        <v>9215.2800000000007</v>
      </c>
      <c r="AG49" s="231">
        <v>9328.01</v>
      </c>
      <c r="AH49" s="231">
        <v>9215.2800000000007</v>
      </c>
      <c r="AI49" s="231">
        <v>9323.01</v>
      </c>
      <c r="AJ49" s="231">
        <v>9215.2800000000007</v>
      </c>
      <c r="AK49" s="231">
        <v>9328.01</v>
      </c>
      <c r="AL49" s="231">
        <v>9215.2800000000007</v>
      </c>
      <c r="AM49" s="231">
        <v>9328.01</v>
      </c>
      <c r="AN49" s="231">
        <v>9215.2800000000007</v>
      </c>
      <c r="AO49" s="231">
        <v>9328.01</v>
      </c>
      <c r="AP49" s="231">
        <v>9215.2800000000007</v>
      </c>
      <c r="AQ49" s="231">
        <v>9328.01</v>
      </c>
      <c r="AR49" s="231">
        <v>9215.2800000000007</v>
      </c>
      <c r="AS49" s="231">
        <v>9328.01</v>
      </c>
      <c r="AT49" s="231">
        <v>9215.2800000000007</v>
      </c>
      <c r="AU49" s="231">
        <v>9328.01</v>
      </c>
      <c r="AV49" s="231">
        <v>9215.2796732026145</v>
      </c>
      <c r="AW49" s="231">
        <v>9328.01</v>
      </c>
      <c r="AX49" s="231">
        <v>9215.2800000000007</v>
      </c>
      <c r="AY49" s="231">
        <v>9328.01</v>
      </c>
      <c r="AZ49" s="84"/>
    </row>
    <row r="50" spans="1:52" hidden="1">
      <c r="A50" s="237" t="s">
        <v>534</v>
      </c>
      <c r="B50" s="237"/>
      <c r="C50" s="234"/>
      <c r="D50" s="234"/>
      <c r="E50" s="234"/>
      <c r="F50" s="234"/>
      <c r="G50" s="234"/>
      <c r="H50" s="234"/>
      <c r="I50" s="234"/>
      <c r="J50" s="234"/>
      <c r="K50" s="234"/>
      <c r="L50" s="234"/>
      <c r="M50" s="234"/>
      <c r="N50" s="234"/>
      <c r="O50" s="234"/>
      <c r="P50" s="234"/>
      <c r="Q50" s="234"/>
      <c r="R50" s="234"/>
      <c r="S50" s="234"/>
      <c r="T50" s="234">
        <v>6772.71</v>
      </c>
      <c r="U50" s="234">
        <v>6221.8</v>
      </c>
      <c r="V50" s="234">
        <v>6809.68</v>
      </c>
      <c r="W50" s="234">
        <v>6102.92</v>
      </c>
      <c r="X50" s="234">
        <v>6986.6</v>
      </c>
      <c r="Y50" s="234">
        <v>6348.14</v>
      </c>
      <c r="Z50" s="234">
        <v>6912.11</v>
      </c>
      <c r="AA50" s="234">
        <v>6449.89</v>
      </c>
      <c r="AB50" s="234">
        <v>7152.46</v>
      </c>
      <c r="AC50" s="234">
        <v>6517.75</v>
      </c>
      <c r="AD50" s="234">
        <v>7716.41</v>
      </c>
      <c r="AE50" s="234">
        <v>6523.25</v>
      </c>
      <c r="AF50" s="234">
        <v>7872.32</v>
      </c>
      <c r="AG50" s="234">
        <v>6456.67</v>
      </c>
      <c r="AH50" s="234">
        <v>7915.13</v>
      </c>
      <c r="AI50" s="234">
        <v>6616.09</v>
      </c>
      <c r="AJ50" s="234">
        <v>9051.5</v>
      </c>
      <c r="AK50" s="234">
        <v>6748.78</v>
      </c>
      <c r="AL50" s="234">
        <v>8072.43</v>
      </c>
      <c r="AM50" s="234">
        <v>6713.99</v>
      </c>
      <c r="AN50" s="234">
        <v>8172.25</v>
      </c>
      <c r="AO50" s="234">
        <v>6648.35</v>
      </c>
      <c r="AP50" s="234">
        <v>8337.76</v>
      </c>
      <c r="AQ50" s="234">
        <v>6795.41</v>
      </c>
      <c r="AR50" s="234">
        <v>8459.01</v>
      </c>
      <c r="AS50" s="234">
        <v>6714.26</v>
      </c>
      <c r="AT50" s="234">
        <v>8485.99</v>
      </c>
      <c r="AU50" s="234">
        <v>6751.74</v>
      </c>
      <c r="AV50" s="234">
        <v>8564.9457267858488</v>
      </c>
      <c r="AW50" s="234">
        <v>6680.37</v>
      </c>
      <c r="AX50" s="234">
        <v>8594.56</v>
      </c>
      <c r="AY50" s="234">
        <v>6539.13</v>
      </c>
      <c r="AZ50" s="84"/>
    </row>
    <row r="51" spans="1:52" hidden="1">
      <c r="AK51" s="84"/>
      <c r="AV51" s="84"/>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70" zoomScaleNormal="100" zoomScaleSheetLayoutView="70" workbookViewId="0">
      <selection activeCell="P31" sqref="P31"/>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7:Q56"/>
  <sheetViews>
    <sheetView showGridLines="0" view="pageBreakPreview" zoomScale="85" zoomScaleNormal="85" zoomScaleSheetLayoutView="85" workbookViewId="0">
      <selection activeCell="P40" sqref="P40"/>
    </sheetView>
  </sheetViews>
  <sheetFormatPr baseColWidth="10" defaultColWidth="11.42578125" defaultRowHeight="15"/>
  <cols>
    <col min="1" max="6" width="11.42578125" style="84"/>
    <col min="7" max="7" width="9.42578125" style="84" customWidth="1"/>
    <col min="8" max="17" width="11.42578125" style="84"/>
    <col min="18" max="18" width="17.85546875" style="84" customWidth="1"/>
    <col min="19" max="16384" width="11.42578125" style="84"/>
  </cols>
  <sheetData>
    <row r="17" spans="15:17">
      <c r="P17" s="168"/>
    </row>
    <row r="18" spans="15:17">
      <c r="P18" s="168"/>
    </row>
    <row r="19" spans="15:17">
      <c r="P19" s="168"/>
    </row>
    <row r="20" spans="15:17">
      <c r="P20" s="168"/>
    </row>
    <row r="21" spans="15:17">
      <c r="P21" s="168"/>
    </row>
    <row r="22" spans="15:17">
      <c r="P22" s="168"/>
    </row>
    <row r="23" spans="15:17">
      <c r="O23" s="293"/>
      <c r="P23" s="168"/>
    </row>
    <row r="24" spans="15:17">
      <c r="P24" s="168"/>
    </row>
    <row r="31" spans="15:17">
      <c r="O31" s="84">
        <f>353+12508</f>
        <v>12861</v>
      </c>
    </row>
    <row r="32" spans="15:17">
      <c r="O32" s="185">
        <f>+O31/172126</f>
        <v>7.4718520153840798E-2</v>
      </c>
      <c r="Q32" s="84">
        <f>39375+57462</f>
        <v>96837</v>
      </c>
    </row>
    <row r="33" spans="14:17">
      <c r="Q33" s="185">
        <f>+Q32/172124</f>
        <v>0.56260021844716601</v>
      </c>
    </row>
    <row r="35" spans="14:17">
      <c r="O35" s="293">
        <f>28.6-13</f>
        <v>15.600000000000001</v>
      </c>
      <c r="Q35" s="84">
        <f>353+12508</f>
        <v>12861</v>
      </c>
    </row>
    <row r="36" spans="14:17">
      <c r="Q36" s="185">
        <f>+Q35/172124</f>
        <v>7.4719388347935206E-2</v>
      </c>
    </row>
    <row r="40" spans="14:17">
      <c r="P40" s="168"/>
    </row>
    <row r="41" spans="14:17">
      <c r="P41" s="168"/>
    </row>
    <row r="42" spans="14:17">
      <c r="N42" s="253"/>
      <c r="O42" s="293"/>
    </row>
    <row r="49" spans="15:16">
      <c r="P49" s="293"/>
    </row>
    <row r="50" spans="15:16">
      <c r="P50" s="293"/>
    </row>
    <row r="56" spans="15:16">
      <c r="O56" s="293"/>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topLeftCell="A6" zoomScale="85" zoomScaleNormal="100" zoomScaleSheetLayoutView="85" workbookViewId="0">
      <selection activeCell="I8" sqref="I8"/>
    </sheetView>
  </sheetViews>
  <sheetFormatPr baseColWidth="10" defaultColWidth="11.42578125" defaultRowHeight="15"/>
  <cols>
    <col min="1" max="1" width="12.28515625" style="44" customWidth="1"/>
    <col min="2" max="2" width="14.140625" style="44" customWidth="1"/>
    <col min="3" max="3" width="15.5703125" style="44" customWidth="1"/>
    <col min="4" max="4" width="13.85546875" style="44" customWidth="1"/>
    <col min="5" max="5" width="15.5703125" style="44" customWidth="1"/>
    <col min="6" max="6" width="18.5703125" style="44" customWidth="1"/>
    <col min="7" max="7" width="18.28515625" style="44" customWidth="1"/>
    <col min="8" max="8" width="17.5703125" style="44" customWidth="1"/>
    <col min="9" max="9" width="17.42578125" style="44" customWidth="1"/>
    <col min="10" max="10" width="19.28515625" style="44" customWidth="1"/>
    <col min="11" max="11" width="14.42578125" style="44" customWidth="1"/>
    <col min="12" max="16384" width="11.42578125" style="44"/>
  </cols>
  <sheetData>
    <row r="1" spans="1:11" s="84" customFormat="1" ht="66" customHeight="1">
      <c r="A1" s="1794"/>
      <c r="B1" s="1794"/>
      <c r="C1" s="1794"/>
      <c r="D1" s="1794"/>
      <c r="E1" s="1794"/>
      <c r="F1" s="1794"/>
      <c r="G1" s="1794"/>
      <c r="H1" s="1794"/>
      <c r="I1" s="1794"/>
      <c r="J1" s="1794"/>
    </row>
    <row r="2" spans="1:11" s="84" customFormat="1" ht="3" customHeight="1"/>
    <row r="3" spans="1:11" s="84" customFormat="1" ht="31.5">
      <c r="A3" s="948" t="s">
        <v>263</v>
      </c>
      <c r="B3" s="964" t="s">
        <v>424</v>
      </c>
      <c r="C3" s="964" t="s">
        <v>262</v>
      </c>
      <c r="D3" s="965" t="s">
        <v>140</v>
      </c>
      <c r="E3" s="964" t="s">
        <v>261</v>
      </c>
      <c r="F3" s="966" t="s">
        <v>429</v>
      </c>
    </row>
    <row r="4" spans="1:11" s="84" customFormat="1" ht="15.75">
      <c r="A4" s="968">
        <v>2005</v>
      </c>
      <c r="B4" s="891">
        <v>3719</v>
      </c>
      <c r="C4" s="891">
        <v>12</v>
      </c>
      <c r="D4" s="892">
        <f t="shared" ref="D4:D14" si="0">+C4+B4</f>
        <v>3731</v>
      </c>
      <c r="E4" s="962">
        <f t="shared" ref="E4:E14" si="1">B4/D4</f>
        <v>0.99678370410077732</v>
      </c>
      <c r="F4" s="963">
        <f t="shared" ref="F4:F10" si="2">C4/D4</f>
        <v>3.2162958992227285E-3</v>
      </c>
    </row>
    <row r="5" spans="1:11" s="84" customFormat="1" ht="15.75">
      <c r="A5" s="967">
        <v>2006</v>
      </c>
      <c r="B5" s="891">
        <v>5483</v>
      </c>
      <c r="C5" s="891">
        <v>52</v>
      </c>
      <c r="D5" s="892">
        <f t="shared" si="0"/>
        <v>5535</v>
      </c>
      <c r="E5" s="962">
        <f t="shared" si="1"/>
        <v>0.9906052393857272</v>
      </c>
      <c r="F5" s="963">
        <f t="shared" si="2"/>
        <v>9.39476061427281E-3</v>
      </c>
    </row>
    <row r="6" spans="1:11" s="84" customFormat="1" ht="15.75">
      <c r="A6" s="968">
        <v>2007</v>
      </c>
      <c r="B6" s="891">
        <v>8459</v>
      </c>
      <c r="C6" s="891">
        <v>85</v>
      </c>
      <c r="D6" s="892">
        <f t="shared" si="0"/>
        <v>8544</v>
      </c>
      <c r="E6" s="962">
        <f t="shared" si="1"/>
        <v>0.99005149812734083</v>
      </c>
      <c r="F6" s="963">
        <f t="shared" si="2"/>
        <v>9.948501872659176E-3</v>
      </c>
    </row>
    <row r="7" spans="1:11" s="84" customFormat="1" ht="15.75">
      <c r="A7" s="967">
        <v>2008</v>
      </c>
      <c r="B7" s="891">
        <v>10873</v>
      </c>
      <c r="C7" s="891">
        <v>104</v>
      </c>
      <c r="D7" s="892">
        <f t="shared" si="0"/>
        <v>10977</v>
      </c>
      <c r="E7" s="962">
        <f t="shared" si="1"/>
        <v>0.99052564452947067</v>
      </c>
      <c r="F7" s="963">
        <f t="shared" si="2"/>
        <v>9.4743554705292877E-3</v>
      </c>
    </row>
    <row r="8" spans="1:11" s="84" customFormat="1" ht="15.75">
      <c r="A8" s="968">
        <v>2009</v>
      </c>
      <c r="B8" s="891">
        <v>14386</v>
      </c>
      <c r="C8" s="891">
        <v>297</v>
      </c>
      <c r="D8" s="892">
        <f t="shared" si="0"/>
        <v>14683</v>
      </c>
      <c r="E8" s="962">
        <f t="shared" si="1"/>
        <v>0.97977252605053466</v>
      </c>
      <c r="F8" s="963">
        <f t="shared" si="2"/>
        <v>2.0227473949465367E-2</v>
      </c>
    </row>
    <row r="9" spans="1:11" s="84" customFormat="1" ht="15.75">
      <c r="A9" s="967">
        <v>2010</v>
      </c>
      <c r="B9" s="891">
        <v>17051</v>
      </c>
      <c r="C9" s="891">
        <v>405</v>
      </c>
      <c r="D9" s="892">
        <f t="shared" si="0"/>
        <v>17456</v>
      </c>
      <c r="E9" s="962">
        <f t="shared" si="1"/>
        <v>0.97679880843263056</v>
      </c>
      <c r="F9" s="963">
        <f t="shared" si="2"/>
        <v>2.3201191567369387E-2</v>
      </c>
    </row>
    <row r="10" spans="1:11" s="84" customFormat="1" ht="15.75">
      <c r="A10" s="967">
        <v>2011</v>
      </c>
      <c r="B10" s="891">
        <v>22120</v>
      </c>
      <c r="C10" s="891">
        <v>477</v>
      </c>
      <c r="D10" s="892">
        <f t="shared" si="0"/>
        <v>22597</v>
      </c>
      <c r="E10" s="962">
        <f t="shared" si="1"/>
        <v>0.97889100323051736</v>
      </c>
      <c r="F10" s="963">
        <f t="shared" si="2"/>
        <v>2.1108996769482673E-2</v>
      </c>
      <c r="K10" s="25"/>
    </row>
    <row r="11" spans="1:11" s="84" customFormat="1" ht="14.25" customHeight="1">
      <c r="A11" s="967" t="s">
        <v>499</v>
      </c>
      <c r="B11" s="891">
        <v>26233</v>
      </c>
      <c r="C11" s="891">
        <v>455</v>
      </c>
      <c r="D11" s="892">
        <f t="shared" si="0"/>
        <v>26688</v>
      </c>
      <c r="E11" s="962">
        <f t="shared" si="1"/>
        <v>0.982951139088729</v>
      </c>
      <c r="F11" s="963">
        <f>C11/D11</f>
        <v>1.7048860911270985E-2</v>
      </c>
      <c r="K11" s="25"/>
    </row>
    <row r="12" spans="1:11" s="84" customFormat="1" ht="14.25" customHeight="1">
      <c r="A12" s="967" t="s">
        <v>619</v>
      </c>
      <c r="B12" s="891">
        <v>28246</v>
      </c>
      <c r="C12" s="891">
        <v>389</v>
      </c>
      <c r="D12" s="892">
        <f t="shared" si="0"/>
        <v>28635</v>
      </c>
      <c r="E12" s="962">
        <f t="shared" si="1"/>
        <v>0.98641522612187882</v>
      </c>
      <c r="F12" s="963">
        <f>C12/D12</f>
        <v>1.358477387812118E-2</v>
      </c>
      <c r="K12" s="25"/>
    </row>
    <row r="13" spans="1:11" s="84" customFormat="1" ht="14.25" customHeight="1">
      <c r="A13" s="967" t="s">
        <v>628</v>
      </c>
      <c r="B13" s="891">
        <v>30630</v>
      </c>
      <c r="C13" s="891">
        <v>402</v>
      </c>
      <c r="D13" s="892">
        <f t="shared" si="0"/>
        <v>31032</v>
      </c>
      <c r="E13" s="962">
        <f t="shared" si="1"/>
        <v>0.98704563031709203</v>
      </c>
      <c r="F13" s="963">
        <f>C13/D13</f>
        <v>1.2954369682907967E-2</v>
      </c>
      <c r="K13" s="25"/>
    </row>
    <row r="14" spans="1:11" s="84" customFormat="1" ht="14.25" customHeight="1">
      <c r="A14" s="967" t="s">
        <v>636</v>
      </c>
      <c r="B14" s="891">
        <v>2219</v>
      </c>
      <c r="C14" s="891">
        <v>29</v>
      </c>
      <c r="D14" s="892">
        <f t="shared" si="0"/>
        <v>2248</v>
      </c>
      <c r="E14" s="962">
        <f t="shared" si="1"/>
        <v>0.98709964412811391</v>
      </c>
      <c r="F14" s="963">
        <f>C14/D14</f>
        <v>1.2900355871886121E-2</v>
      </c>
      <c r="K14" s="25"/>
    </row>
    <row r="15" spans="1:11" s="84" customFormat="1" ht="15.75">
      <c r="A15" s="961" t="s">
        <v>23</v>
      </c>
      <c r="B15" s="969">
        <f>SUM(B4:B14)</f>
        <v>169419</v>
      </c>
      <c r="C15" s="969">
        <f>SUM(C4:C14)</f>
        <v>2707</v>
      </c>
      <c r="D15" s="969">
        <f>SUM(D4:D14)</f>
        <v>172126</v>
      </c>
      <c r="E15" s="970">
        <f>AVERAGE(E4:E11)</f>
        <v>0.9857974453682159</v>
      </c>
      <c r="F15" s="971">
        <f>AVERAGE(F4:F11)</f>
        <v>1.4202554631784051E-2</v>
      </c>
      <c r="K15" s="25"/>
    </row>
    <row r="16" spans="1:11" s="84" customFormat="1">
      <c r="K16" s="44"/>
    </row>
    <row r="17" spans="11:12" s="84" customFormat="1">
      <c r="K17" s="44"/>
    </row>
    <row r="18" spans="11:12" s="84" customFormat="1">
      <c r="K18" s="25"/>
    </row>
    <row r="19" spans="11:12" s="84" customFormat="1">
      <c r="K19" s="25"/>
    </row>
    <row r="20" spans="11:12" s="84" customFormat="1">
      <c r="K20" s="25"/>
      <c r="L20" s="84" t="s">
        <v>182</v>
      </c>
    </row>
    <row r="21" spans="11:12" s="84" customFormat="1">
      <c r="K21" s="25"/>
    </row>
    <row r="22" spans="11:12" s="84" customFormat="1">
      <c r="K22" s="25"/>
    </row>
    <row r="23" spans="11:12" s="84" customFormat="1">
      <c r="K23" s="25"/>
    </row>
    <row r="24" spans="11:12" s="84" customFormat="1">
      <c r="K24" s="25"/>
    </row>
    <row r="25" spans="11:12" s="84" customFormat="1">
      <c r="K25" s="25"/>
    </row>
    <row r="26" spans="11:12" s="84" customFormat="1">
      <c r="K26" s="25"/>
    </row>
    <row r="27" spans="11:12" s="84" customFormat="1">
      <c r="K27" s="25"/>
    </row>
    <row r="28" spans="11:12" s="84" customFormat="1">
      <c r="K28" s="25"/>
    </row>
    <row r="29" spans="11:12" s="84" customFormat="1">
      <c r="K29" s="25"/>
    </row>
    <row r="30" spans="11:12" s="84" customFormat="1">
      <c r="K30" s="25"/>
    </row>
    <row r="31" spans="11:12" s="84" customFormat="1">
      <c r="K31" s="25"/>
    </row>
    <row r="32" spans="11:12" s="84" customFormat="1">
      <c r="K32" s="25"/>
    </row>
    <row r="33" spans="11:11" s="84" customFormat="1">
      <c r="K33" s="25"/>
    </row>
    <row r="34" spans="11:11" s="84" customFormat="1">
      <c r="K34" s="25"/>
    </row>
    <row r="35" spans="11:11" s="84" customFormat="1">
      <c r="K35" s="25"/>
    </row>
    <row r="36" spans="11:11" s="84" customFormat="1"/>
    <row r="37" spans="11:11" s="84" customFormat="1"/>
    <row r="38" spans="11:11" s="84" customFormat="1"/>
    <row r="39" spans="11:11" s="84" customFormat="1"/>
    <row r="40" spans="11:11" s="84" customFormat="1"/>
    <row r="41" spans="11:11" s="84" customFormat="1"/>
    <row r="42" spans="11:11" s="84" customFormat="1"/>
    <row r="43" spans="11:11" s="84" customFormat="1"/>
    <row r="44" spans="11:11" s="84" customFormat="1"/>
    <row r="45" spans="11:11" s="84" customFormat="1"/>
    <row r="46" spans="11:11" s="84" customFormat="1"/>
    <row r="47" spans="11:11" s="84" customFormat="1"/>
    <row r="48" spans="11:11" s="84" customFormat="1"/>
    <row r="49" s="84" customFormat="1"/>
    <row r="50" s="84" customFormat="1"/>
  </sheetData>
  <mergeCells count="1">
    <mergeCell ref="A1:J1"/>
  </mergeCells>
  <printOptions horizontalCentered="1"/>
  <pageMargins left="0.39370078740157483" right="0.39370078740157483" top="0.23622047244094491" bottom="0.23622047244094491" header="0.31496062992125984" footer="0.31496062992125984"/>
  <pageSetup scale="8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T46"/>
  <sheetViews>
    <sheetView showGridLines="0" view="pageBreakPreview" zoomScale="85" zoomScaleNormal="100" zoomScaleSheetLayoutView="85" workbookViewId="0">
      <pane ySplit="1" topLeftCell="A2" activePane="bottomLeft" state="frozen"/>
      <selection activeCell="M22" sqref="M22"/>
      <selection pane="bottomLeft" activeCell="V1" sqref="V1:AM1048576"/>
    </sheetView>
  </sheetViews>
  <sheetFormatPr baseColWidth="10" defaultColWidth="11.42578125" defaultRowHeight="15"/>
  <cols>
    <col min="1" max="1" width="13.5703125" style="44" customWidth="1"/>
    <col min="2" max="2" width="10.28515625" style="44" customWidth="1"/>
    <col min="3" max="3" width="9.42578125" style="44" customWidth="1"/>
    <col min="4" max="4" width="10.85546875" style="44" customWidth="1"/>
    <col min="5" max="5" width="8.85546875" style="44" customWidth="1"/>
    <col min="6" max="6" width="8.7109375" style="44" customWidth="1"/>
    <col min="7" max="7" width="9.28515625" style="44" customWidth="1"/>
    <col min="8" max="8" width="8.28515625" style="44" customWidth="1"/>
    <col min="9" max="9" width="10.42578125" style="44" customWidth="1"/>
    <col min="10" max="10" width="8.5703125" style="44" customWidth="1"/>
    <col min="11" max="11" width="11.140625" style="44" customWidth="1"/>
    <col min="12" max="13" width="10.42578125" style="44" customWidth="1"/>
    <col min="14" max="14" width="10.7109375" style="44" customWidth="1"/>
    <col min="15" max="15" width="10.42578125" style="44" customWidth="1"/>
    <col min="16" max="16" width="10.7109375" style="44" customWidth="1"/>
    <col min="17" max="18" width="10.28515625" style="44" customWidth="1"/>
    <col min="19" max="19" width="10.140625" style="44" customWidth="1"/>
    <col min="20" max="20" width="10.28515625" style="44" customWidth="1"/>
    <col min="21" max="21" width="7.5703125" style="44" customWidth="1"/>
    <col min="22" max="16384" width="11.42578125" style="44"/>
  </cols>
  <sheetData>
    <row r="1" spans="1:20" s="84" customFormat="1" ht="68.25" customHeight="1">
      <c r="A1" s="1794"/>
      <c r="B1" s="1794"/>
      <c r="C1" s="1794"/>
      <c r="D1" s="1794"/>
      <c r="E1" s="1794"/>
      <c r="F1" s="1794"/>
      <c r="G1" s="1794"/>
      <c r="H1" s="1794"/>
      <c r="I1" s="1794"/>
      <c r="J1" s="1794"/>
      <c r="K1" s="1794"/>
      <c r="L1" s="1794"/>
      <c r="M1" s="1794"/>
      <c r="N1" s="1794"/>
      <c r="O1" s="1794"/>
      <c r="P1" s="1794"/>
      <c r="Q1" s="1794"/>
      <c r="R1" s="1794"/>
      <c r="S1" s="1794"/>
      <c r="T1" s="1794"/>
    </row>
    <row r="2" spans="1:20" s="84" customFormat="1" ht="3.75" customHeight="1">
      <c r="A2" s="1898"/>
      <c r="B2" s="1898"/>
      <c r="C2" s="1898"/>
      <c r="D2" s="1898"/>
      <c r="E2" s="1898"/>
      <c r="F2" s="1898"/>
      <c r="G2" s="1898"/>
      <c r="H2" s="1898"/>
      <c r="I2" s="1898"/>
      <c r="J2" s="1898"/>
      <c r="K2" s="1898"/>
      <c r="L2" s="1898"/>
      <c r="M2" s="1898"/>
      <c r="N2" s="1898"/>
      <c r="O2" s="1898"/>
      <c r="P2" s="1898"/>
      <c r="Q2" s="1898"/>
      <c r="R2" s="1898"/>
      <c r="S2" s="1898"/>
      <c r="T2" s="1899"/>
    </row>
    <row r="3" spans="1:20" s="144" customFormat="1" ht="31.5">
      <c r="A3" s="954" t="s">
        <v>263</v>
      </c>
      <c r="B3" s="776" t="s">
        <v>288</v>
      </c>
      <c r="C3" s="776" t="s">
        <v>287</v>
      </c>
      <c r="D3" s="776" t="s">
        <v>286</v>
      </c>
      <c r="E3" s="776" t="s">
        <v>285</v>
      </c>
      <c r="F3" s="776" t="s">
        <v>284</v>
      </c>
      <c r="G3" s="776" t="s">
        <v>283</v>
      </c>
      <c r="H3" s="776" t="s">
        <v>282</v>
      </c>
      <c r="I3" s="776" t="s">
        <v>281</v>
      </c>
      <c r="J3" s="776" t="s">
        <v>280</v>
      </c>
      <c r="K3" s="776" t="s">
        <v>279</v>
      </c>
      <c r="L3" s="776" t="s">
        <v>278</v>
      </c>
      <c r="M3" s="776" t="s">
        <v>277</v>
      </c>
      <c r="N3" s="776" t="s">
        <v>276</v>
      </c>
      <c r="O3" s="776" t="s">
        <v>275</v>
      </c>
      <c r="P3" s="776" t="s">
        <v>274</v>
      </c>
      <c r="Q3" s="776" t="s">
        <v>273</v>
      </c>
      <c r="R3" s="776" t="s">
        <v>272</v>
      </c>
      <c r="S3" s="776" t="s">
        <v>271</v>
      </c>
      <c r="T3" s="777" t="s">
        <v>270</v>
      </c>
    </row>
    <row r="4" spans="1:20" s="84" customFormat="1" ht="15.75">
      <c r="A4" s="796">
        <v>2005</v>
      </c>
      <c r="B4" s="894">
        <v>3726</v>
      </c>
      <c r="C4" s="894">
        <v>1</v>
      </c>
      <c r="D4" s="894">
        <v>1</v>
      </c>
      <c r="E4" s="894">
        <v>0</v>
      </c>
      <c r="F4" s="894">
        <v>1</v>
      </c>
      <c r="G4" s="894">
        <v>2</v>
      </c>
      <c r="H4" s="894">
        <v>0</v>
      </c>
      <c r="I4" s="894">
        <v>0</v>
      </c>
      <c r="J4" s="894">
        <v>0</v>
      </c>
      <c r="K4" s="895">
        <f t="shared" ref="K4:K10" si="0">SUM(B4:J4)</f>
        <v>3731</v>
      </c>
      <c r="L4" s="959">
        <f t="shared" ref="L4:L10" si="1">B4/K4</f>
        <v>0.99865987670865719</v>
      </c>
      <c r="M4" s="959">
        <f t="shared" ref="M4:M15" si="2">C4/K4</f>
        <v>2.6802465826856071E-4</v>
      </c>
      <c r="N4" s="959">
        <f t="shared" ref="N4:N15" si="3">D4/K4</f>
        <v>2.6802465826856071E-4</v>
      </c>
      <c r="O4" s="959">
        <f t="shared" ref="O4:O15" si="4">E4/K4</f>
        <v>0</v>
      </c>
      <c r="P4" s="959">
        <f t="shared" ref="P4:P15" si="5">F4/K4</f>
        <v>2.6802465826856071E-4</v>
      </c>
      <c r="Q4" s="959">
        <f t="shared" ref="Q4:Q15" si="6">G4/K4</f>
        <v>5.3604931653712141E-4</v>
      </c>
      <c r="R4" s="959">
        <f t="shared" ref="R4:R15" si="7">H4/K4</f>
        <v>0</v>
      </c>
      <c r="S4" s="959">
        <f t="shared" ref="S4:S15" si="8">I4/K4</f>
        <v>0</v>
      </c>
      <c r="T4" s="960">
        <f t="shared" ref="T4:T15" si="9">J4/K4</f>
        <v>0</v>
      </c>
    </row>
    <row r="5" spans="1:20" s="84" customFormat="1" ht="15.75">
      <c r="A5" s="955">
        <v>2006</v>
      </c>
      <c r="B5" s="894">
        <v>5469</v>
      </c>
      <c r="C5" s="894">
        <v>10</v>
      </c>
      <c r="D5" s="894">
        <v>17</v>
      </c>
      <c r="E5" s="894">
        <v>2</v>
      </c>
      <c r="F5" s="894">
        <v>1</v>
      </c>
      <c r="G5" s="894">
        <v>23</v>
      </c>
      <c r="H5" s="894">
        <v>5</v>
      </c>
      <c r="I5" s="894">
        <v>8</v>
      </c>
      <c r="J5" s="894">
        <v>0</v>
      </c>
      <c r="K5" s="895">
        <f t="shared" si="0"/>
        <v>5535</v>
      </c>
      <c r="L5" s="959">
        <f t="shared" si="1"/>
        <v>0.98807588075880759</v>
      </c>
      <c r="M5" s="959">
        <f t="shared" si="2"/>
        <v>1.8066847335140017E-3</v>
      </c>
      <c r="N5" s="959">
        <f t="shared" si="3"/>
        <v>3.0713640469738029E-3</v>
      </c>
      <c r="O5" s="959">
        <f t="shared" si="4"/>
        <v>3.6133694670280038E-4</v>
      </c>
      <c r="P5" s="959">
        <f t="shared" si="5"/>
        <v>1.8066847335140019E-4</v>
      </c>
      <c r="Q5" s="959">
        <f t="shared" si="6"/>
        <v>4.1553748870822044E-3</v>
      </c>
      <c r="R5" s="959">
        <f t="shared" si="7"/>
        <v>9.0334236675700087E-4</v>
      </c>
      <c r="S5" s="959">
        <f t="shared" si="8"/>
        <v>1.4453477868112015E-3</v>
      </c>
      <c r="T5" s="960">
        <f t="shared" si="9"/>
        <v>0</v>
      </c>
    </row>
    <row r="6" spans="1:20" s="84" customFormat="1" ht="15.75">
      <c r="A6" s="796">
        <v>2007</v>
      </c>
      <c r="B6" s="894">
        <v>5248</v>
      </c>
      <c r="C6" s="894">
        <v>259</v>
      </c>
      <c r="D6" s="894">
        <v>1131</v>
      </c>
      <c r="E6" s="894">
        <v>112</v>
      </c>
      <c r="F6" s="894">
        <v>54</v>
      </c>
      <c r="G6" s="894">
        <v>1402</v>
      </c>
      <c r="H6" s="894">
        <v>67</v>
      </c>
      <c r="I6" s="894">
        <v>271</v>
      </c>
      <c r="J6" s="894">
        <v>0</v>
      </c>
      <c r="K6" s="895">
        <f t="shared" si="0"/>
        <v>8544</v>
      </c>
      <c r="L6" s="959">
        <f t="shared" si="1"/>
        <v>0.61423220973782766</v>
      </c>
      <c r="M6" s="959">
        <f t="shared" si="2"/>
        <v>3.031367041198502E-2</v>
      </c>
      <c r="N6" s="959">
        <f t="shared" si="3"/>
        <v>0.13237359550561797</v>
      </c>
      <c r="O6" s="959">
        <f t="shared" si="4"/>
        <v>1.3108614232209739E-2</v>
      </c>
      <c r="P6" s="959">
        <f t="shared" si="5"/>
        <v>6.3202247191011234E-3</v>
      </c>
      <c r="Q6" s="959">
        <f t="shared" si="6"/>
        <v>0.16409176029962547</v>
      </c>
      <c r="R6" s="959">
        <f t="shared" si="7"/>
        <v>7.8417602996254682E-3</v>
      </c>
      <c r="S6" s="959">
        <f t="shared" si="8"/>
        <v>3.1718164794007492E-2</v>
      </c>
      <c r="T6" s="960">
        <f t="shared" si="9"/>
        <v>0</v>
      </c>
    </row>
    <row r="7" spans="1:20" s="84" customFormat="1" ht="15.75">
      <c r="A7" s="955">
        <v>2008</v>
      </c>
      <c r="B7" s="894">
        <v>5249</v>
      </c>
      <c r="C7" s="894">
        <v>457</v>
      </c>
      <c r="D7" s="894">
        <v>2480</v>
      </c>
      <c r="E7" s="894">
        <v>167</v>
      </c>
      <c r="F7" s="894">
        <v>61</v>
      </c>
      <c r="G7" s="894">
        <v>2135</v>
      </c>
      <c r="H7" s="894">
        <v>47</v>
      </c>
      <c r="I7" s="894">
        <v>381</v>
      </c>
      <c r="J7" s="894">
        <v>0</v>
      </c>
      <c r="K7" s="895">
        <f t="shared" si="0"/>
        <v>10977</v>
      </c>
      <c r="L7" s="959">
        <f t="shared" si="1"/>
        <v>0.47818165254623302</v>
      </c>
      <c r="M7" s="959">
        <f t="shared" si="2"/>
        <v>4.1632504327229661E-2</v>
      </c>
      <c r="N7" s="959">
        <f t="shared" si="3"/>
        <v>0.22592693814339074</v>
      </c>
      <c r="O7" s="959">
        <f t="shared" si="4"/>
        <v>1.5213628495946069E-2</v>
      </c>
      <c r="P7" s="959">
        <f t="shared" si="5"/>
        <v>5.5570738817527559E-3</v>
      </c>
      <c r="Q7" s="959">
        <f t="shared" si="6"/>
        <v>0.19449758586134644</v>
      </c>
      <c r="R7" s="959">
        <f t="shared" si="7"/>
        <v>4.2816798761045822E-3</v>
      </c>
      <c r="S7" s="959">
        <f t="shared" si="8"/>
        <v>3.4708936867996719E-2</v>
      </c>
      <c r="T7" s="960">
        <f t="shared" si="9"/>
        <v>0</v>
      </c>
    </row>
    <row r="8" spans="1:20" s="84" customFormat="1" ht="15.75">
      <c r="A8" s="796">
        <v>2009</v>
      </c>
      <c r="B8" s="894">
        <v>5951</v>
      </c>
      <c r="C8" s="894">
        <v>466</v>
      </c>
      <c r="D8" s="894">
        <v>3922</v>
      </c>
      <c r="E8" s="894">
        <v>308</v>
      </c>
      <c r="F8" s="894">
        <v>128</v>
      </c>
      <c r="G8" s="894">
        <v>2899</v>
      </c>
      <c r="H8" s="894">
        <v>159</v>
      </c>
      <c r="I8" s="894">
        <v>850</v>
      </c>
      <c r="J8" s="894">
        <v>0</v>
      </c>
      <c r="K8" s="895">
        <f t="shared" si="0"/>
        <v>14683</v>
      </c>
      <c r="L8" s="959">
        <f t="shared" si="1"/>
        <v>0.40529864469113941</v>
      </c>
      <c r="M8" s="959">
        <f t="shared" si="2"/>
        <v>3.1737383368521423E-2</v>
      </c>
      <c r="N8" s="959">
        <f t="shared" si="3"/>
        <v>0.26711162568957297</v>
      </c>
      <c r="O8" s="959">
        <f t="shared" si="4"/>
        <v>2.0976639651297417E-2</v>
      </c>
      <c r="P8" s="959">
        <f t="shared" si="5"/>
        <v>8.7175645304093177E-3</v>
      </c>
      <c r="Q8" s="959">
        <f t="shared" si="6"/>
        <v>0.19743921541919227</v>
      </c>
      <c r="R8" s="959">
        <f t="shared" si="7"/>
        <v>1.0828849690117824E-2</v>
      </c>
      <c r="S8" s="959">
        <f t="shared" si="8"/>
        <v>5.7890076959749369E-2</v>
      </c>
      <c r="T8" s="960">
        <f t="shared" si="9"/>
        <v>0</v>
      </c>
    </row>
    <row r="9" spans="1:20" s="84" customFormat="1" ht="15.75">
      <c r="A9" s="955">
        <v>2010</v>
      </c>
      <c r="B9" s="894">
        <v>6247</v>
      </c>
      <c r="C9" s="894">
        <v>524</v>
      </c>
      <c r="D9" s="894">
        <v>4790</v>
      </c>
      <c r="E9" s="894">
        <v>428</v>
      </c>
      <c r="F9" s="894">
        <v>239</v>
      </c>
      <c r="G9" s="894">
        <v>3860</v>
      </c>
      <c r="H9" s="894">
        <v>234</v>
      </c>
      <c r="I9" s="894">
        <v>1134</v>
      </c>
      <c r="J9" s="894">
        <v>0</v>
      </c>
      <c r="K9" s="895">
        <f t="shared" si="0"/>
        <v>17456</v>
      </c>
      <c r="L9" s="959">
        <f t="shared" si="1"/>
        <v>0.35787121906507791</v>
      </c>
      <c r="M9" s="959">
        <f t="shared" si="2"/>
        <v>3.0018331805682859E-2</v>
      </c>
      <c r="N9" s="959">
        <f t="shared" si="3"/>
        <v>0.27440421631530704</v>
      </c>
      <c r="O9" s="959">
        <f t="shared" si="4"/>
        <v>2.451879010082493E-2</v>
      </c>
      <c r="P9" s="959">
        <f t="shared" si="5"/>
        <v>1.3691567369385885E-2</v>
      </c>
      <c r="Q9" s="959">
        <f t="shared" si="6"/>
        <v>0.22112740604949588</v>
      </c>
      <c r="R9" s="959">
        <f t="shared" si="7"/>
        <v>1.3405132905591201E-2</v>
      </c>
      <c r="S9" s="959">
        <f t="shared" si="8"/>
        <v>6.4963336388634274E-2</v>
      </c>
      <c r="T9" s="960">
        <f t="shared" si="9"/>
        <v>0</v>
      </c>
    </row>
    <row r="10" spans="1:20" s="84" customFormat="1" ht="15.75">
      <c r="A10" s="955">
        <v>2011</v>
      </c>
      <c r="B10" s="894">
        <v>7512</v>
      </c>
      <c r="C10" s="894">
        <v>818</v>
      </c>
      <c r="D10" s="894">
        <v>6018</v>
      </c>
      <c r="E10" s="894">
        <v>681</v>
      </c>
      <c r="F10" s="894">
        <v>471</v>
      </c>
      <c r="G10" s="894">
        <v>5158</v>
      </c>
      <c r="H10" s="894">
        <v>364</v>
      </c>
      <c r="I10" s="894">
        <v>1575</v>
      </c>
      <c r="J10" s="894">
        <v>0</v>
      </c>
      <c r="K10" s="895">
        <f t="shared" si="0"/>
        <v>22597</v>
      </c>
      <c r="L10" s="959">
        <f t="shared" si="1"/>
        <v>0.33243350887285922</v>
      </c>
      <c r="M10" s="959">
        <f t="shared" si="2"/>
        <v>3.6199495508253306E-2</v>
      </c>
      <c r="N10" s="959">
        <f t="shared" si="3"/>
        <v>0.26631853785900783</v>
      </c>
      <c r="O10" s="959">
        <f t="shared" si="4"/>
        <v>3.0136743815550735E-2</v>
      </c>
      <c r="P10" s="959">
        <f t="shared" si="5"/>
        <v>2.0843474797539497E-2</v>
      </c>
      <c r="Q10" s="959">
        <f t="shared" si="6"/>
        <v>0.22826038854715228</v>
      </c>
      <c r="R10" s="959">
        <f t="shared" si="7"/>
        <v>1.6108332964552816E-2</v>
      </c>
      <c r="S10" s="959">
        <f t="shared" si="8"/>
        <v>6.9699517635084307E-2</v>
      </c>
      <c r="T10" s="960">
        <f t="shared" si="9"/>
        <v>0</v>
      </c>
    </row>
    <row r="11" spans="1:20" s="84" customFormat="1" ht="15.75">
      <c r="A11" s="955" t="s">
        <v>499</v>
      </c>
      <c r="B11" s="894">
        <v>8554</v>
      </c>
      <c r="C11" s="894">
        <v>1073</v>
      </c>
      <c r="D11" s="894">
        <v>7266</v>
      </c>
      <c r="E11" s="894">
        <v>925</v>
      </c>
      <c r="F11" s="894">
        <v>535</v>
      </c>
      <c r="G11" s="894">
        <v>5902</v>
      </c>
      <c r="H11" s="894">
        <v>474</v>
      </c>
      <c r="I11" s="894">
        <v>1959</v>
      </c>
      <c r="J11" s="894">
        <v>0</v>
      </c>
      <c r="K11" s="895">
        <f>SUM(B11:J11)</f>
        <v>26688</v>
      </c>
      <c r="L11" s="959">
        <f>B11/K11</f>
        <v>0.32051858513189446</v>
      </c>
      <c r="M11" s="959">
        <f>C11/K11</f>
        <v>4.0205335731414868E-2</v>
      </c>
      <c r="N11" s="959">
        <f>D11/K11</f>
        <v>0.27225719424460432</v>
      </c>
      <c r="O11" s="959">
        <f>E11/K11</f>
        <v>3.4659772182254196E-2</v>
      </c>
      <c r="P11" s="959">
        <f>F11/K11</f>
        <v>2.0046462829736211E-2</v>
      </c>
      <c r="Q11" s="959">
        <f>G11/K11</f>
        <v>0.2211480815347722</v>
      </c>
      <c r="R11" s="959">
        <f>H11/K11</f>
        <v>1.7760791366906475E-2</v>
      </c>
      <c r="S11" s="959">
        <f>I11/K11</f>
        <v>7.3403776978417268E-2</v>
      </c>
      <c r="T11" s="960">
        <f>J11/K11</f>
        <v>0</v>
      </c>
    </row>
    <row r="12" spans="1:20" s="144" customFormat="1" ht="15.75">
      <c r="A12" s="955" t="s">
        <v>619</v>
      </c>
      <c r="B12" s="894">
        <v>9093</v>
      </c>
      <c r="C12" s="894">
        <v>1147</v>
      </c>
      <c r="D12" s="894">
        <v>8256</v>
      </c>
      <c r="E12" s="894">
        <v>933</v>
      </c>
      <c r="F12" s="894">
        <v>584</v>
      </c>
      <c r="G12" s="894">
        <v>5913</v>
      </c>
      <c r="H12" s="894">
        <v>417</v>
      </c>
      <c r="I12" s="894">
        <v>2292</v>
      </c>
      <c r="J12" s="894">
        <v>0</v>
      </c>
      <c r="K12" s="895">
        <f>SUM(B12:J12)</f>
        <v>28635</v>
      </c>
      <c r="L12" s="959">
        <f>B12/K12</f>
        <v>0.31754845468831849</v>
      </c>
      <c r="M12" s="959">
        <f>C12/K12</f>
        <v>4.0055875676619522E-2</v>
      </c>
      <c r="N12" s="959">
        <f>D12/K12</f>
        <v>0.28831849135673127</v>
      </c>
      <c r="O12" s="959">
        <f>E12/K12</f>
        <v>3.2582503928758513E-2</v>
      </c>
      <c r="P12" s="959">
        <f>F12/K12</f>
        <v>2.0394621966125372E-2</v>
      </c>
      <c r="Q12" s="959">
        <f>G12/K12</f>
        <v>0.20649554740701939</v>
      </c>
      <c r="R12" s="959">
        <f>H12/K12</f>
        <v>1.4562598218962807E-2</v>
      </c>
      <c r="S12" s="959">
        <f>I12/K12</f>
        <v>8.0041906757464643E-2</v>
      </c>
      <c r="T12" s="960">
        <f>J12/K12</f>
        <v>0</v>
      </c>
    </row>
    <row r="13" spans="1:20" s="144" customFormat="1" ht="15.75">
      <c r="A13" s="955" t="s">
        <v>628</v>
      </c>
      <c r="B13" s="894">
        <v>10098</v>
      </c>
      <c r="C13" s="894">
        <v>1346</v>
      </c>
      <c r="D13" s="894">
        <v>8494</v>
      </c>
      <c r="E13" s="894">
        <v>1003</v>
      </c>
      <c r="F13" s="894">
        <v>627</v>
      </c>
      <c r="G13" s="894">
        <v>6354</v>
      </c>
      <c r="H13" s="894">
        <v>518</v>
      </c>
      <c r="I13" s="894">
        <v>2592</v>
      </c>
      <c r="J13" s="894">
        <v>0</v>
      </c>
      <c r="K13" s="895">
        <f>SUM(B13:J13)</f>
        <v>31032</v>
      </c>
      <c r="L13" s="959">
        <f>B13/K13</f>
        <v>0.32540603248259858</v>
      </c>
      <c r="M13" s="959">
        <f>C13/K13</f>
        <v>4.337458107759732E-2</v>
      </c>
      <c r="N13" s="959">
        <f>D13/K13</f>
        <v>0.27371745295179167</v>
      </c>
      <c r="O13" s="959">
        <f>E13/K13</f>
        <v>3.2321474606857435E-2</v>
      </c>
      <c r="P13" s="959">
        <f>F13/K13</f>
        <v>2.0204949729311677E-2</v>
      </c>
      <c r="Q13" s="959">
        <f>G13/K13</f>
        <v>0.20475638051044084</v>
      </c>
      <c r="R13" s="959">
        <f>H13/K13</f>
        <v>1.6692446506831656E-2</v>
      </c>
      <c r="S13" s="959">
        <f>I13/K13</f>
        <v>8.3526682134570762E-2</v>
      </c>
      <c r="T13" s="960">
        <f>J13/K13</f>
        <v>0</v>
      </c>
    </row>
    <row r="14" spans="1:20" s="144" customFormat="1" ht="15.75">
      <c r="A14" s="955" t="s">
        <v>632</v>
      </c>
      <c r="B14" s="894">
        <v>713</v>
      </c>
      <c r="C14" s="894">
        <v>96</v>
      </c>
      <c r="D14" s="894">
        <v>595</v>
      </c>
      <c r="E14" s="894">
        <v>67</v>
      </c>
      <c r="F14" s="894">
        <v>15</v>
      </c>
      <c r="G14" s="894">
        <v>509</v>
      </c>
      <c r="H14" s="894">
        <v>39</v>
      </c>
      <c r="I14" s="894">
        <v>214</v>
      </c>
      <c r="J14" s="894">
        <v>0</v>
      </c>
      <c r="K14" s="895">
        <f>SUM(B14:J14)</f>
        <v>2248</v>
      </c>
      <c r="L14" s="959">
        <f>B14/K14</f>
        <v>0.31717081850533807</v>
      </c>
      <c r="M14" s="959">
        <f>C14/K14</f>
        <v>4.2704626334519574E-2</v>
      </c>
      <c r="N14" s="959">
        <f>D14/K14</f>
        <v>0.26467971530249113</v>
      </c>
      <c r="O14" s="959">
        <f>E14/K14</f>
        <v>2.9804270462633453E-2</v>
      </c>
      <c r="P14" s="959">
        <f>F14/K14</f>
        <v>6.6725978647686835E-3</v>
      </c>
      <c r="Q14" s="959">
        <f>G14/K14</f>
        <v>0.22642348754448399</v>
      </c>
      <c r="R14" s="959">
        <f>H14/K14</f>
        <v>1.7348754448398576E-2</v>
      </c>
      <c r="S14" s="959">
        <f>I14/K14</f>
        <v>9.5195729537366547E-2</v>
      </c>
      <c r="T14" s="960">
        <f>J14/K14</f>
        <v>0</v>
      </c>
    </row>
    <row r="15" spans="1:20" s="84" customFormat="1" ht="15.75">
      <c r="A15" s="954" t="s">
        <v>143</v>
      </c>
      <c r="B15" s="956">
        <f>SUM(B4:B14)</f>
        <v>67860</v>
      </c>
      <c r="C15" s="956">
        <f t="shared" ref="C15:K15" si="10">SUM(C4:C14)</f>
        <v>6197</v>
      </c>
      <c r="D15" s="956">
        <f t="shared" si="10"/>
        <v>42970</v>
      </c>
      <c r="E15" s="956">
        <f t="shared" si="10"/>
        <v>4626</v>
      </c>
      <c r="F15" s="956">
        <f t="shared" si="10"/>
        <v>2716</v>
      </c>
      <c r="G15" s="956">
        <f t="shared" si="10"/>
        <v>34157</v>
      </c>
      <c r="H15" s="956">
        <f t="shared" si="10"/>
        <v>2324</v>
      </c>
      <c r="I15" s="956">
        <f t="shared" si="10"/>
        <v>11276</v>
      </c>
      <c r="J15" s="956">
        <f t="shared" si="10"/>
        <v>0</v>
      </c>
      <c r="K15" s="956">
        <f t="shared" si="10"/>
        <v>172126</v>
      </c>
      <c r="L15" s="957">
        <f>B15/K15</f>
        <v>0.39424607554930691</v>
      </c>
      <c r="M15" s="957">
        <f t="shared" si="2"/>
        <v>3.6002695699661878E-2</v>
      </c>
      <c r="N15" s="957">
        <f t="shared" si="3"/>
        <v>0.24964270360085053</v>
      </c>
      <c r="O15" s="957">
        <f t="shared" si="4"/>
        <v>2.6875660853095989E-2</v>
      </c>
      <c r="P15" s="957">
        <f t="shared" si="5"/>
        <v>1.5779138538047709E-2</v>
      </c>
      <c r="Q15" s="957">
        <f t="shared" si="6"/>
        <v>0.19844183911785551</v>
      </c>
      <c r="R15" s="957">
        <f t="shared" si="7"/>
        <v>1.3501737099566596E-2</v>
      </c>
      <c r="S15" s="957">
        <f t="shared" si="8"/>
        <v>6.5510149541614868E-2</v>
      </c>
      <c r="T15" s="958">
        <f t="shared" si="9"/>
        <v>0</v>
      </c>
    </row>
    <row r="16" spans="1:20" s="84" customFormat="1">
      <c r="K16" s="44"/>
    </row>
    <row r="17" spans="8:12" s="84" customFormat="1" ht="15.75">
      <c r="H17" s="155"/>
      <c r="K17" s="220">
        <f>+(K5-K4)/K4</f>
        <v>0.48351648351648352</v>
      </c>
    </row>
    <row r="18" spans="8:12" s="84" customFormat="1">
      <c r="K18" s="220">
        <f t="shared" ref="K18:K24" si="11">+(K6-K5)/K5</f>
        <v>0.54363143631436317</v>
      </c>
    </row>
    <row r="19" spans="8:12" s="84" customFormat="1">
      <c r="K19" s="220">
        <f t="shared" si="11"/>
        <v>0.2847612359550562</v>
      </c>
    </row>
    <row r="20" spans="8:12" s="84" customFormat="1">
      <c r="K20" s="220">
        <f t="shared" si="11"/>
        <v>0.33761501320943793</v>
      </c>
      <c r="L20" s="25"/>
    </row>
    <row r="21" spans="8:12" s="84" customFormat="1">
      <c r="K21" s="220">
        <f t="shared" si="11"/>
        <v>0.18885786283457059</v>
      </c>
      <c r="L21" s="25"/>
    </row>
    <row r="22" spans="8:12" s="84" customFormat="1">
      <c r="K22" s="220">
        <f t="shared" si="11"/>
        <v>0.29451191567369384</v>
      </c>
      <c r="L22" s="25"/>
    </row>
    <row r="23" spans="8:12" s="84" customFormat="1">
      <c r="K23" s="220">
        <f t="shared" si="11"/>
        <v>0.18104173120325706</v>
      </c>
      <c r="L23" s="25"/>
    </row>
    <row r="24" spans="8:12" s="84" customFormat="1">
      <c r="K24" s="220">
        <f t="shared" si="11"/>
        <v>7.2954136690647486E-2</v>
      </c>
      <c r="L24" s="25"/>
    </row>
    <row r="25" spans="8:12" s="84" customFormat="1">
      <c r="K25" s="220">
        <f>+(K13-K12)/K12</f>
        <v>8.3708748035620742E-2</v>
      </c>
      <c r="L25" s="25"/>
    </row>
    <row r="26" spans="8:12" s="84" customFormat="1">
      <c r="K26" s="220"/>
      <c r="L26" s="25"/>
    </row>
    <row r="27" spans="8:12" s="84" customFormat="1">
      <c r="K27" s="220">
        <f>AVERAGE(K17:K26)</f>
        <v>0.27451095149257004</v>
      </c>
      <c r="L27" s="25"/>
    </row>
    <row r="28" spans="8:12" s="84" customFormat="1">
      <c r="K28" s="220"/>
      <c r="L28" s="25"/>
    </row>
    <row r="29" spans="8:12" s="84" customFormat="1">
      <c r="K29" s="25"/>
      <c r="L29" s="25"/>
    </row>
    <row r="30" spans="8:12" s="84" customFormat="1">
      <c r="K30" s="25"/>
      <c r="L30" s="25"/>
    </row>
    <row r="31" spans="8:12" s="84" customFormat="1">
      <c r="K31" s="25"/>
      <c r="L31" s="25"/>
    </row>
    <row r="32" spans="8:12" s="84" customFormat="1">
      <c r="K32" s="25"/>
      <c r="L32" s="25"/>
    </row>
    <row r="33" spans="3:12" s="84" customFormat="1">
      <c r="K33" s="25"/>
      <c r="L33" s="25"/>
    </row>
    <row r="34" spans="3:12" s="84" customFormat="1">
      <c r="K34" s="25"/>
      <c r="L34" s="25"/>
    </row>
    <row r="35" spans="3:12" s="84" customFormat="1">
      <c r="K35" s="25"/>
      <c r="L35" s="25"/>
    </row>
    <row r="36" spans="3:12" s="84" customFormat="1"/>
    <row r="37" spans="3:12" s="84" customFormat="1"/>
    <row r="38" spans="3:12" s="84" customFormat="1" ht="15.75">
      <c r="C38" s="145"/>
    </row>
    <row r="39" spans="3:12" s="84" customFormat="1"/>
    <row r="40" spans="3:12" s="84" customFormat="1"/>
    <row r="41" spans="3:12" s="84" customFormat="1"/>
    <row r="42" spans="3:12" s="84" customFormat="1"/>
    <row r="43" spans="3:12" s="84" customFormat="1" ht="46.5" customHeight="1"/>
    <row r="44" spans="3:12" s="84" customFormat="1" ht="54.75" customHeight="1"/>
    <row r="45" spans="3:12" s="84" customFormat="1"/>
    <row r="46" spans="3:12" s="8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R49"/>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1" sqref="S1:U1048576"/>
    </sheetView>
  </sheetViews>
  <sheetFormatPr baseColWidth="10" defaultColWidth="11.42578125" defaultRowHeight="15"/>
  <cols>
    <col min="1" max="1" width="27.28515625" style="44" customWidth="1"/>
    <col min="2" max="2" width="9.42578125" style="44" hidden="1" customWidth="1"/>
    <col min="3" max="3" width="10" style="44" customWidth="1"/>
    <col min="4" max="4" width="9" style="44" customWidth="1"/>
    <col min="5" max="5" width="10.42578125" style="44" customWidth="1"/>
    <col min="6" max="7" width="10.5703125" style="44" customWidth="1"/>
    <col min="8" max="8" width="10" style="44" customWidth="1"/>
    <col min="9" max="9" width="11.140625" style="44" customWidth="1"/>
    <col min="10" max="12" width="11.5703125" style="44" customWidth="1"/>
    <col min="13" max="13" width="13" style="44" customWidth="1"/>
    <col min="14" max="14" width="12.42578125" style="44" customWidth="1"/>
    <col min="15" max="15" width="19.85546875" style="44" customWidth="1"/>
    <col min="16" max="16" width="11.42578125" style="44"/>
    <col min="17" max="18" width="6.7109375" style="44" customWidth="1"/>
    <col min="19" max="16384" width="11.42578125" style="44"/>
  </cols>
  <sheetData>
    <row r="1" spans="1:18" s="84" customFormat="1" ht="78.75" customHeight="1">
      <c r="A1" s="1900"/>
      <c r="B1" s="1900"/>
      <c r="C1" s="1900"/>
      <c r="D1" s="1900"/>
      <c r="E1" s="1900"/>
      <c r="F1" s="1900"/>
      <c r="G1" s="1900"/>
      <c r="H1" s="1900"/>
      <c r="I1" s="1900"/>
      <c r="J1" s="1900"/>
      <c r="K1" s="1900"/>
      <c r="L1" s="1900"/>
      <c r="M1" s="1900"/>
      <c r="N1" s="1900"/>
      <c r="O1" s="1900"/>
      <c r="P1" s="1900"/>
      <c r="Q1" s="1900"/>
      <c r="R1" s="215"/>
    </row>
    <row r="2" spans="1:18" s="84" customFormat="1" ht="6" customHeight="1">
      <c r="A2" s="836"/>
      <c r="B2" s="189"/>
      <c r="C2" s="189"/>
      <c r="D2" s="189"/>
      <c r="E2" s="189"/>
      <c r="F2" s="189"/>
      <c r="G2" s="189"/>
      <c r="H2" s="189"/>
      <c r="I2" s="189"/>
      <c r="J2" s="189"/>
      <c r="K2" s="189"/>
      <c r="L2" s="189"/>
      <c r="M2" s="189"/>
      <c r="N2" s="837"/>
    </row>
    <row r="3" spans="1:18" s="144" customFormat="1" ht="18" customHeight="1">
      <c r="A3" s="833" t="s">
        <v>318</v>
      </c>
      <c r="B3" s="839" t="s">
        <v>266</v>
      </c>
      <c r="C3" s="839" t="s">
        <v>265</v>
      </c>
      <c r="D3" s="839" t="s">
        <v>264</v>
      </c>
      <c r="E3" s="839" t="s">
        <v>179</v>
      </c>
      <c r="F3" s="839" t="s">
        <v>235</v>
      </c>
      <c r="G3" s="839" t="s">
        <v>236</v>
      </c>
      <c r="H3" s="839" t="s">
        <v>197</v>
      </c>
      <c r="I3" s="839" t="s">
        <v>237</v>
      </c>
      <c r="J3" s="839" t="s">
        <v>499</v>
      </c>
      <c r="K3" s="839" t="s">
        <v>619</v>
      </c>
      <c r="L3" s="839" t="s">
        <v>628</v>
      </c>
      <c r="M3" s="839" t="s">
        <v>669</v>
      </c>
      <c r="N3" s="844" t="s">
        <v>143</v>
      </c>
      <c r="O3" s="834" t="s">
        <v>317</v>
      </c>
    </row>
    <row r="4" spans="1:18" s="84" customFormat="1" ht="17.25" customHeight="1">
      <c r="A4" s="841" t="s">
        <v>471</v>
      </c>
      <c r="B4" s="300">
        <v>1</v>
      </c>
      <c r="C4" s="300">
        <v>2</v>
      </c>
      <c r="D4" s="300">
        <v>10</v>
      </c>
      <c r="E4" s="300">
        <v>636</v>
      </c>
      <c r="F4" s="300">
        <v>1044</v>
      </c>
      <c r="G4" s="300">
        <v>1446</v>
      </c>
      <c r="H4" s="300">
        <v>2079</v>
      </c>
      <c r="I4" s="300">
        <v>2640</v>
      </c>
      <c r="J4" s="300">
        <v>3181</v>
      </c>
      <c r="K4" s="300">
        <v>3142</v>
      </c>
      <c r="L4" s="300">
        <v>3337</v>
      </c>
      <c r="M4" s="300">
        <v>283</v>
      </c>
      <c r="N4" s="845">
        <f>+M4+L4+K4+J4+I4+H4+G4+F4+E4+D4+C4</f>
        <v>17800</v>
      </c>
      <c r="O4" s="847">
        <f t="shared" ref="O4:O35" si="0">N4/$N$36</f>
        <v>0.10341261633919338</v>
      </c>
      <c r="P4" s="144"/>
      <c r="Q4" s="144"/>
      <c r="R4" s="144"/>
    </row>
    <row r="5" spans="1:18" s="84" customFormat="1" ht="15.75">
      <c r="A5" s="841" t="s">
        <v>316</v>
      </c>
      <c r="B5" s="300">
        <v>0</v>
      </c>
      <c r="C5" s="300">
        <v>0</v>
      </c>
      <c r="D5" s="300">
        <v>2</v>
      </c>
      <c r="E5" s="300">
        <v>29</v>
      </c>
      <c r="F5" s="300">
        <v>19</v>
      </c>
      <c r="G5" s="300">
        <v>63</v>
      </c>
      <c r="H5" s="300">
        <v>110</v>
      </c>
      <c r="I5" s="300">
        <v>126</v>
      </c>
      <c r="J5" s="300">
        <v>156</v>
      </c>
      <c r="K5" s="300">
        <v>132</v>
      </c>
      <c r="L5" s="300">
        <v>173</v>
      </c>
      <c r="M5" s="300">
        <v>21</v>
      </c>
      <c r="N5" s="845">
        <f t="shared" ref="N5:N35" si="1">+M5+L5+K5+J5+I5+H5+G5+F5+E5+D5+C5</f>
        <v>831</v>
      </c>
      <c r="O5" s="847">
        <f t="shared" si="0"/>
        <v>4.8278586616780734E-3</v>
      </c>
      <c r="P5" s="185">
        <f>+O4+O9+O32+O16</f>
        <v>0.70759211275461009</v>
      </c>
    </row>
    <row r="6" spans="1:18" s="84" customFormat="1" ht="15.75">
      <c r="A6" s="841" t="s">
        <v>315</v>
      </c>
      <c r="B6" s="300">
        <v>0</v>
      </c>
      <c r="C6" s="300">
        <v>0</v>
      </c>
      <c r="D6" s="300">
        <v>0</v>
      </c>
      <c r="E6" s="300">
        <v>2</v>
      </c>
      <c r="F6" s="300">
        <v>4</v>
      </c>
      <c r="G6" s="300">
        <v>8</v>
      </c>
      <c r="H6" s="300">
        <v>9</v>
      </c>
      <c r="I6" s="300">
        <v>24</v>
      </c>
      <c r="J6" s="300">
        <v>50</v>
      </c>
      <c r="K6" s="300">
        <v>53</v>
      </c>
      <c r="L6" s="300">
        <v>93</v>
      </c>
      <c r="M6" s="300">
        <v>7</v>
      </c>
      <c r="N6" s="845">
        <f t="shared" si="1"/>
        <v>250</v>
      </c>
      <c r="O6" s="847">
        <f t="shared" si="0"/>
        <v>1.452424386786424E-3</v>
      </c>
    </row>
    <row r="7" spans="1:18" s="84" customFormat="1" ht="15.75">
      <c r="A7" s="841" t="s">
        <v>314</v>
      </c>
      <c r="B7" s="300">
        <v>0</v>
      </c>
      <c r="C7" s="300">
        <v>0</v>
      </c>
      <c r="D7" s="300">
        <v>0</v>
      </c>
      <c r="E7" s="300">
        <v>32</v>
      </c>
      <c r="F7" s="300">
        <v>44</v>
      </c>
      <c r="G7" s="300">
        <v>91</v>
      </c>
      <c r="H7" s="300">
        <v>158</v>
      </c>
      <c r="I7" s="300">
        <v>245</v>
      </c>
      <c r="J7" s="300">
        <v>293</v>
      </c>
      <c r="K7" s="300">
        <v>348</v>
      </c>
      <c r="L7" s="300">
        <v>309</v>
      </c>
      <c r="M7" s="300">
        <v>1</v>
      </c>
      <c r="N7" s="845">
        <f t="shared" si="1"/>
        <v>1521</v>
      </c>
      <c r="O7" s="847">
        <f t="shared" si="0"/>
        <v>8.8365499692086031E-3</v>
      </c>
    </row>
    <row r="8" spans="1:18" s="84" customFormat="1" ht="15.75">
      <c r="A8" s="841" t="s">
        <v>313</v>
      </c>
      <c r="B8" s="300">
        <v>0</v>
      </c>
      <c r="C8" s="300">
        <v>0</v>
      </c>
      <c r="D8" s="300">
        <v>0</v>
      </c>
      <c r="E8" s="300">
        <v>3</v>
      </c>
      <c r="F8" s="300">
        <v>1</v>
      </c>
      <c r="G8" s="300">
        <v>38</v>
      </c>
      <c r="H8" s="300">
        <v>52</v>
      </c>
      <c r="I8" s="300">
        <v>89</v>
      </c>
      <c r="J8" s="300">
        <v>103</v>
      </c>
      <c r="K8" s="300">
        <v>157</v>
      </c>
      <c r="L8" s="300">
        <v>134</v>
      </c>
      <c r="M8" s="300">
        <v>9</v>
      </c>
      <c r="N8" s="845">
        <f t="shared" si="1"/>
        <v>586</v>
      </c>
      <c r="O8" s="847">
        <f t="shared" si="0"/>
        <v>3.4044827626273778E-3</v>
      </c>
    </row>
    <row r="9" spans="1:18" s="84" customFormat="1" ht="17.25" customHeight="1">
      <c r="A9" s="841" t="s">
        <v>141</v>
      </c>
      <c r="B9" s="300">
        <v>2643</v>
      </c>
      <c r="C9" s="300">
        <v>3722</v>
      </c>
      <c r="D9" s="300">
        <v>5459</v>
      </c>
      <c r="E9" s="300">
        <v>4339</v>
      </c>
      <c r="F9" s="300">
        <v>4630</v>
      </c>
      <c r="G9" s="300">
        <v>5594</v>
      </c>
      <c r="H9" s="300">
        <v>5468</v>
      </c>
      <c r="I9" s="300">
        <v>6340</v>
      </c>
      <c r="J9" s="300">
        <v>7066</v>
      </c>
      <c r="K9" s="300">
        <v>7848</v>
      </c>
      <c r="L9" s="300">
        <v>8452</v>
      </c>
      <c r="M9" s="300">
        <v>619</v>
      </c>
      <c r="N9" s="845">
        <f t="shared" si="1"/>
        <v>59537</v>
      </c>
      <c r="O9" s="847">
        <f t="shared" si="0"/>
        <v>0.34589196286441326</v>
      </c>
    </row>
    <row r="10" spans="1:18" s="84" customFormat="1" ht="15.75">
      <c r="A10" s="841" t="s">
        <v>312</v>
      </c>
      <c r="B10" s="300">
        <v>0</v>
      </c>
      <c r="C10" s="300">
        <v>0</v>
      </c>
      <c r="D10" s="300">
        <v>2</v>
      </c>
      <c r="E10" s="300">
        <v>81</v>
      </c>
      <c r="F10" s="300">
        <v>108</v>
      </c>
      <c r="G10" s="300">
        <v>152</v>
      </c>
      <c r="H10" s="300">
        <v>189</v>
      </c>
      <c r="I10" s="300">
        <v>337</v>
      </c>
      <c r="J10" s="300">
        <v>416</v>
      </c>
      <c r="K10" s="300">
        <v>423</v>
      </c>
      <c r="L10" s="300">
        <v>467</v>
      </c>
      <c r="M10" s="300">
        <v>38</v>
      </c>
      <c r="N10" s="845">
        <f t="shared" si="1"/>
        <v>2213</v>
      </c>
      <c r="O10" s="847">
        <f t="shared" si="0"/>
        <v>1.2856860671833425E-2</v>
      </c>
    </row>
    <row r="11" spans="1:18" s="84" customFormat="1" ht="15.75">
      <c r="A11" s="841" t="s">
        <v>311</v>
      </c>
      <c r="B11" s="300">
        <v>0</v>
      </c>
      <c r="C11" s="300">
        <v>0</v>
      </c>
      <c r="D11" s="300">
        <v>0</v>
      </c>
      <c r="E11" s="300">
        <v>13</v>
      </c>
      <c r="F11" s="300">
        <v>15</v>
      </c>
      <c r="G11" s="300">
        <v>14</v>
      </c>
      <c r="H11" s="300">
        <v>12</v>
      </c>
      <c r="I11" s="300">
        <v>29</v>
      </c>
      <c r="J11" s="300">
        <v>40</v>
      </c>
      <c r="K11" s="300">
        <v>35</v>
      </c>
      <c r="L11" s="300">
        <v>54</v>
      </c>
      <c r="M11" s="300">
        <v>3</v>
      </c>
      <c r="N11" s="845">
        <f t="shared" si="1"/>
        <v>215</v>
      </c>
      <c r="O11" s="847">
        <f t="shared" si="0"/>
        <v>1.2490849726363245E-3</v>
      </c>
    </row>
    <row r="12" spans="1:18" s="84" customFormat="1" ht="15.75">
      <c r="A12" s="841" t="s">
        <v>431</v>
      </c>
      <c r="B12" s="300">
        <v>0</v>
      </c>
      <c r="C12" s="300">
        <v>0</v>
      </c>
      <c r="D12" s="300">
        <v>0</v>
      </c>
      <c r="E12" s="300">
        <v>0</v>
      </c>
      <c r="F12" s="300">
        <v>8</v>
      </c>
      <c r="G12" s="300">
        <v>12</v>
      </c>
      <c r="H12" s="300">
        <v>12</v>
      </c>
      <c r="I12" s="300">
        <v>47</v>
      </c>
      <c r="J12" s="300">
        <v>85</v>
      </c>
      <c r="K12" s="300">
        <v>84</v>
      </c>
      <c r="L12" s="300">
        <v>104</v>
      </c>
      <c r="M12" s="300">
        <v>5</v>
      </c>
      <c r="N12" s="845">
        <f t="shared" si="1"/>
        <v>357</v>
      </c>
      <c r="O12" s="847">
        <f t="shared" si="0"/>
        <v>2.0740620243310131E-3</v>
      </c>
    </row>
    <row r="13" spans="1:18" s="84" customFormat="1" ht="15.75">
      <c r="A13" s="841" t="s">
        <v>310</v>
      </c>
      <c r="B13" s="300">
        <v>0</v>
      </c>
      <c r="C13" s="300">
        <v>0</v>
      </c>
      <c r="D13" s="300">
        <v>1</v>
      </c>
      <c r="E13" s="300">
        <v>23</v>
      </c>
      <c r="F13" s="300">
        <v>38</v>
      </c>
      <c r="G13" s="300">
        <v>65</v>
      </c>
      <c r="H13" s="300">
        <v>123</v>
      </c>
      <c r="I13" s="300">
        <v>268</v>
      </c>
      <c r="J13" s="300">
        <v>441</v>
      </c>
      <c r="K13" s="300">
        <v>608</v>
      </c>
      <c r="L13" s="300">
        <v>672</v>
      </c>
      <c r="M13" s="300">
        <v>45</v>
      </c>
      <c r="N13" s="845">
        <f t="shared" si="1"/>
        <v>2284</v>
      </c>
      <c r="O13" s="847">
        <f t="shared" si="0"/>
        <v>1.3269349197680769E-2</v>
      </c>
    </row>
    <row r="14" spans="1:18" s="84" customFormat="1" ht="15.75">
      <c r="A14" s="841" t="s">
        <v>309</v>
      </c>
      <c r="B14" s="300">
        <v>0</v>
      </c>
      <c r="C14" s="300">
        <v>0</v>
      </c>
      <c r="D14" s="300">
        <v>0</v>
      </c>
      <c r="E14" s="300">
        <v>67</v>
      </c>
      <c r="F14" s="300">
        <v>40</v>
      </c>
      <c r="G14" s="300">
        <v>69</v>
      </c>
      <c r="H14" s="300">
        <v>67</v>
      </c>
      <c r="I14" s="300">
        <v>110</v>
      </c>
      <c r="J14" s="300">
        <v>161</v>
      </c>
      <c r="K14" s="300">
        <v>200</v>
      </c>
      <c r="L14" s="300">
        <v>223</v>
      </c>
      <c r="M14" s="300">
        <v>14</v>
      </c>
      <c r="N14" s="845">
        <f t="shared" si="1"/>
        <v>951</v>
      </c>
      <c r="O14" s="847">
        <f t="shared" si="0"/>
        <v>5.5250223673355562E-3</v>
      </c>
    </row>
    <row r="15" spans="1:18" s="84" customFormat="1" ht="17.25" customHeight="1">
      <c r="A15" s="841" t="s">
        <v>308</v>
      </c>
      <c r="B15" s="300">
        <v>0</v>
      </c>
      <c r="C15" s="300">
        <v>0</v>
      </c>
      <c r="D15" s="300">
        <v>0</v>
      </c>
      <c r="E15" s="300">
        <v>3</v>
      </c>
      <c r="F15" s="300">
        <v>2</v>
      </c>
      <c r="G15" s="300">
        <v>13</v>
      </c>
      <c r="H15" s="300">
        <v>29</v>
      </c>
      <c r="I15" s="300">
        <v>36</v>
      </c>
      <c r="J15" s="300">
        <v>51</v>
      </c>
      <c r="K15" s="300">
        <v>44</v>
      </c>
      <c r="L15" s="300">
        <v>73</v>
      </c>
      <c r="M15" s="300">
        <v>4</v>
      </c>
      <c r="N15" s="845">
        <f t="shared" si="1"/>
        <v>255</v>
      </c>
      <c r="O15" s="847">
        <f t="shared" si="0"/>
        <v>1.4814728745221523E-3</v>
      </c>
    </row>
    <row r="16" spans="1:18" s="84" customFormat="1" ht="15.75">
      <c r="A16" s="841" t="s">
        <v>307</v>
      </c>
      <c r="B16" s="300">
        <v>0</v>
      </c>
      <c r="C16" s="300">
        <v>1</v>
      </c>
      <c r="D16" s="300">
        <v>9</v>
      </c>
      <c r="E16" s="300">
        <v>512</v>
      </c>
      <c r="F16" s="300">
        <v>667</v>
      </c>
      <c r="G16" s="300">
        <v>854</v>
      </c>
      <c r="H16" s="300">
        <v>1224</v>
      </c>
      <c r="I16" s="300">
        <v>1579</v>
      </c>
      <c r="J16" s="300">
        <v>1879</v>
      </c>
      <c r="K16" s="300">
        <v>1757</v>
      </c>
      <c r="L16" s="300">
        <v>1808</v>
      </c>
      <c r="M16" s="300">
        <v>145</v>
      </c>
      <c r="N16" s="845">
        <f t="shared" si="1"/>
        <v>10435</v>
      </c>
      <c r="O16" s="847">
        <f t="shared" si="0"/>
        <v>6.0624193904465336E-2</v>
      </c>
    </row>
    <row r="17" spans="1:15" s="84" customFormat="1" ht="15.75">
      <c r="A17" s="841" t="s">
        <v>306</v>
      </c>
      <c r="B17" s="300">
        <v>0</v>
      </c>
      <c r="C17" s="300">
        <v>0</v>
      </c>
      <c r="D17" s="300">
        <v>1</v>
      </c>
      <c r="E17" s="300">
        <v>124</v>
      </c>
      <c r="F17" s="300">
        <v>218</v>
      </c>
      <c r="G17" s="300">
        <v>320</v>
      </c>
      <c r="H17" s="300">
        <v>324</v>
      </c>
      <c r="I17" s="300">
        <v>467</v>
      </c>
      <c r="J17" s="300">
        <v>655</v>
      </c>
      <c r="K17" s="300">
        <v>716</v>
      </c>
      <c r="L17" s="300">
        <v>816</v>
      </c>
      <c r="M17" s="300">
        <v>76</v>
      </c>
      <c r="N17" s="845">
        <f t="shared" si="1"/>
        <v>3717</v>
      </c>
      <c r="O17" s="847">
        <f t="shared" si="0"/>
        <v>2.1594645782740552E-2</v>
      </c>
    </row>
    <row r="18" spans="1:15" s="84" customFormat="1" ht="15" customHeight="1">
      <c r="A18" s="841" t="s">
        <v>305</v>
      </c>
      <c r="B18" s="300">
        <v>0</v>
      </c>
      <c r="C18" s="300">
        <v>0</v>
      </c>
      <c r="D18" s="300">
        <v>0</v>
      </c>
      <c r="E18" s="300">
        <v>13</v>
      </c>
      <c r="F18" s="300">
        <v>38</v>
      </c>
      <c r="G18" s="300">
        <v>131</v>
      </c>
      <c r="H18" s="300">
        <v>173</v>
      </c>
      <c r="I18" s="300">
        <v>155</v>
      </c>
      <c r="J18" s="300">
        <v>229</v>
      </c>
      <c r="K18" s="300">
        <v>180</v>
      </c>
      <c r="L18" s="300">
        <v>232</v>
      </c>
      <c r="M18" s="300">
        <v>15</v>
      </c>
      <c r="N18" s="845">
        <f t="shared" si="1"/>
        <v>1166</v>
      </c>
      <c r="O18" s="847">
        <f t="shared" si="0"/>
        <v>6.7741073399718811E-3</v>
      </c>
    </row>
    <row r="19" spans="1:15" s="84" customFormat="1" ht="15" customHeight="1">
      <c r="A19" s="841" t="s">
        <v>304</v>
      </c>
      <c r="B19" s="300">
        <v>0</v>
      </c>
      <c r="C19" s="300">
        <v>0</v>
      </c>
      <c r="D19" s="300">
        <v>5</v>
      </c>
      <c r="E19" s="300">
        <v>63</v>
      </c>
      <c r="F19" s="300">
        <v>48</v>
      </c>
      <c r="G19" s="300">
        <v>187</v>
      </c>
      <c r="H19" s="300">
        <v>303</v>
      </c>
      <c r="I19" s="300">
        <v>303</v>
      </c>
      <c r="J19" s="300">
        <v>397</v>
      </c>
      <c r="K19" s="300">
        <v>370</v>
      </c>
      <c r="L19" s="300">
        <v>402</v>
      </c>
      <c r="M19" s="300">
        <v>26</v>
      </c>
      <c r="N19" s="845">
        <f t="shared" si="1"/>
        <v>2104</v>
      </c>
      <c r="O19" s="847">
        <f t="shared" si="0"/>
        <v>1.2223603639194544E-2</v>
      </c>
    </row>
    <row r="20" spans="1:15" s="84" customFormat="1" ht="18.75" customHeight="1">
      <c r="A20" s="841" t="s">
        <v>303</v>
      </c>
      <c r="B20" s="300">
        <v>0</v>
      </c>
      <c r="C20" s="300">
        <v>1</v>
      </c>
      <c r="D20" s="300">
        <v>0</v>
      </c>
      <c r="E20" s="300">
        <v>11</v>
      </c>
      <c r="F20" s="300">
        <v>6</v>
      </c>
      <c r="G20" s="300">
        <v>15</v>
      </c>
      <c r="H20" s="300">
        <v>47</v>
      </c>
      <c r="I20" s="300">
        <v>54</v>
      </c>
      <c r="J20" s="300">
        <v>66</v>
      </c>
      <c r="K20" s="300">
        <v>77</v>
      </c>
      <c r="L20" s="300">
        <v>175</v>
      </c>
      <c r="M20" s="300">
        <v>4</v>
      </c>
      <c r="N20" s="845">
        <f t="shared" si="1"/>
        <v>456</v>
      </c>
      <c r="O20" s="847">
        <f t="shared" si="0"/>
        <v>2.649222081498437E-3</v>
      </c>
    </row>
    <row r="21" spans="1:15" s="84" customFormat="1" ht="17.25" customHeight="1">
      <c r="A21" s="841" t="s">
        <v>302</v>
      </c>
      <c r="B21" s="300">
        <v>0</v>
      </c>
      <c r="C21" s="300">
        <v>0</v>
      </c>
      <c r="D21" s="300">
        <v>0</v>
      </c>
      <c r="E21" s="300">
        <v>8</v>
      </c>
      <c r="F21" s="300">
        <v>9</v>
      </c>
      <c r="G21" s="300">
        <v>22</v>
      </c>
      <c r="H21" s="300">
        <v>66</v>
      </c>
      <c r="I21" s="300">
        <v>121</v>
      </c>
      <c r="J21" s="300">
        <v>133</v>
      </c>
      <c r="K21" s="300">
        <v>223</v>
      </c>
      <c r="L21" s="300">
        <v>266</v>
      </c>
      <c r="M21" s="300">
        <v>21</v>
      </c>
      <c r="N21" s="845">
        <f t="shared" si="1"/>
        <v>869</v>
      </c>
      <c r="O21" s="847">
        <f t="shared" si="0"/>
        <v>5.0486271684696098E-3</v>
      </c>
    </row>
    <row r="22" spans="1:15" s="84" customFormat="1" ht="15.75">
      <c r="A22" s="841" t="s">
        <v>301</v>
      </c>
      <c r="B22" s="300">
        <v>0</v>
      </c>
      <c r="C22" s="300">
        <v>1</v>
      </c>
      <c r="D22" s="300">
        <v>1</v>
      </c>
      <c r="E22" s="300">
        <v>17</v>
      </c>
      <c r="F22" s="300">
        <v>11</v>
      </c>
      <c r="G22" s="300">
        <v>16</v>
      </c>
      <c r="H22" s="300">
        <v>43</v>
      </c>
      <c r="I22" s="300">
        <v>166</v>
      </c>
      <c r="J22" s="300">
        <v>141</v>
      </c>
      <c r="K22" s="300">
        <v>139</v>
      </c>
      <c r="L22" s="300">
        <v>152</v>
      </c>
      <c r="M22" s="300">
        <v>3</v>
      </c>
      <c r="N22" s="845">
        <f t="shared" si="1"/>
        <v>690</v>
      </c>
      <c r="O22" s="847">
        <f t="shared" si="0"/>
        <v>4.0086913075305297E-3</v>
      </c>
    </row>
    <row r="23" spans="1:15" s="84" customFormat="1" ht="15.75">
      <c r="A23" s="841" t="s">
        <v>300</v>
      </c>
      <c r="B23" s="300">
        <v>0</v>
      </c>
      <c r="C23" s="300">
        <v>0</v>
      </c>
      <c r="D23" s="300">
        <v>1</v>
      </c>
      <c r="E23" s="300">
        <v>22</v>
      </c>
      <c r="F23" s="300">
        <v>30</v>
      </c>
      <c r="G23" s="300">
        <v>44</v>
      </c>
      <c r="H23" s="300">
        <v>82</v>
      </c>
      <c r="I23" s="300">
        <v>177</v>
      </c>
      <c r="J23" s="300">
        <v>260</v>
      </c>
      <c r="K23" s="300">
        <v>282</v>
      </c>
      <c r="L23" s="300">
        <v>342</v>
      </c>
      <c r="M23" s="300">
        <v>21</v>
      </c>
      <c r="N23" s="845">
        <f t="shared" si="1"/>
        <v>1261</v>
      </c>
      <c r="O23" s="847">
        <f t="shared" si="0"/>
        <v>7.3260286069507224E-3</v>
      </c>
    </row>
    <row r="24" spans="1:15" s="84" customFormat="1" ht="15.75">
      <c r="A24" s="841" t="s">
        <v>299</v>
      </c>
      <c r="B24" s="300">
        <v>0</v>
      </c>
      <c r="C24" s="300">
        <v>0</v>
      </c>
      <c r="D24" s="300">
        <v>4</v>
      </c>
      <c r="E24" s="300">
        <v>278</v>
      </c>
      <c r="F24" s="300">
        <v>496</v>
      </c>
      <c r="G24" s="300">
        <v>725</v>
      </c>
      <c r="H24" s="300">
        <v>943</v>
      </c>
      <c r="I24" s="300">
        <v>992</v>
      </c>
      <c r="J24" s="300">
        <v>1013</v>
      </c>
      <c r="K24" s="300">
        <v>1085</v>
      </c>
      <c r="L24" s="300">
        <v>1043</v>
      </c>
      <c r="M24" s="300">
        <v>84</v>
      </c>
      <c r="N24" s="845">
        <f t="shared" si="1"/>
        <v>6663</v>
      </c>
      <c r="O24" s="847">
        <f t="shared" si="0"/>
        <v>3.8710014756631772E-2</v>
      </c>
    </row>
    <row r="25" spans="1:15" s="84" customFormat="1" ht="15.75">
      <c r="A25" s="841" t="s">
        <v>298</v>
      </c>
      <c r="B25" s="300">
        <v>0</v>
      </c>
      <c r="C25" s="300">
        <v>0</v>
      </c>
      <c r="D25" s="300">
        <v>0</v>
      </c>
      <c r="E25" s="300">
        <v>2</v>
      </c>
      <c r="F25" s="300">
        <v>9</v>
      </c>
      <c r="G25" s="300">
        <v>19</v>
      </c>
      <c r="H25" s="300">
        <v>33</v>
      </c>
      <c r="I25" s="300">
        <v>83</v>
      </c>
      <c r="J25" s="300">
        <v>128</v>
      </c>
      <c r="K25" s="300">
        <v>180</v>
      </c>
      <c r="L25" s="300">
        <v>177</v>
      </c>
      <c r="M25" s="300">
        <v>6</v>
      </c>
      <c r="N25" s="845">
        <f t="shared" si="1"/>
        <v>637</v>
      </c>
      <c r="O25" s="847">
        <f t="shared" si="0"/>
        <v>3.7007773375318082E-3</v>
      </c>
    </row>
    <row r="26" spans="1:15" s="84" customFormat="1" ht="15.75">
      <c r="A26" s="841" t="s">
        <v>297</v>
      </c>
      <c r="B26" s="300">
        <v>0</v>
      </c>
      <c r="C26" s="300">
        <v>0</v>
      </c>
      <c r="D26" s="300">
        <v>0</v>
      </c>
      <c r="E26" s="300">
        <v>17</v>
      </c>
      <c r="F26" s="300">
        <v>12</v>
      </c>
      <c r="G26" s="300">
        <v>6</v>
      </c>
      <c r="H26" s="300">
        <v>33</v>
      </c>
      <c r="I26" s="300">
        <v>106</v>
      </c>
      <c r="J26" s="300">
        <v>152</v>
      </c>
      <c r="K26" s="300">
        <v>150</v>
      </c>
      <c r="L26" s="300">
        <v>127</v>
      </c>
      <c r="M26" s="300">
        <v>8</v>
      </c>
      <c r="N26" s="845">
        <f t="shared" si="1"/>
        <v>611</v>
      </c>
      <c r="O26" s="847">
        <f t="shared" si="0"/>
        <v>3.5497252013060201E-3</v>
      </c>
    </row>
    <row r="27" spans="1:15" s="84" customFormat="1" ht="15.75">
      <c r="A27" s="841" t="s">
        <v>296</v>
      </c>
      <c r="B27" s="300">
        <v>1</v>
      </c>
      <c r="C27" s="300">
        <v>1</v>
      </c>
      <c r="D27" s="300">
        <v>9</v>
      </c>
      <c r="E27" s="300">
        <v>234</v>
      </c>
      <c r="F27" s="300">
        <v>426</v>
      </c>
      <c r="G27" s="300">
        <v>422</v>
      </c>
      <c r="H27" s="300">
        <v>441</v>
      </c>
      <c r="I27" s="300">
        <v>639</v>
      </c>
      <c r="J27" s="300">
        <v>812</v>
      </c>
      <c r="K27" s="300">
        <v>865</v>
      </c>
      <c r="L27" s="300">
        <v>1003</v>
      </c>
      <c r="M27" s="300">
        <v>75</v>
      </c>
      <c r="N27" s="845">
        <f t="shared" si="1"/>
        <v>4927</v>
      </c>
      <c r="O27" s="847">
        <f t="shared" si="0"/>
        <v>2.8624379814786841E-2</v>
      </c>
    </row>
    <row r="28" spans="1:15" s="84" customFormat="1" ht="15.75">
      <c r="A28" s="841" t="s">
        <v>295</v>
      </c>
      <c r="B28" s="300">
        <v>0</v>
      </c>
      <c r="C28" s="300">
        <v>0</v>
      </c>
      <c r="D28" s="300">
        <v>0</v>
      </c>
      <c r="E28" s="300">
        <v>4</v>
      </c>
      <c r="F28" s="300">
        <v>1</v>
      </c>
      <c r="G28" s="300">
        <v>0</v>
      </c>
      <c r="H28" s="300">
        <v>1</v>
      </c>
      <c r="I28" s="300">
        <v>2</v>
      </c>
      <c r="J28" s="300">
        <v>1</v>
      </c>
      <c r="K28" s="300">
        <v>0</v>
      </c>
      <c r="L28" s="300">
        <v>2</v>
      </c>
      <c r="M28" s="300">
        <v>0</v>
      </c>
      <c r="N28" s="845">
        <f t="shared" si="1"/>
        <v>11</v>
      </c>
      <c r="O28" s="847">
        <f t="shared" si="0"/>
        <v>6.3906673018602648E-5</v>
      </c>
    </row>
    <row r="29" spans="1:15" s="84" customFormat="1" ht="15.75">
      <c r="A29" s="841" t="s">
        <v>294</v>
      </c>
      <c r="B29" s="300">
        <v>0</v>
      </c>
      <c r="C29" s="300">
        <v>0</v>
      </c>
      <c r="D29" s="300">
        <v>3</v>
      </c>
      <c r="E29" s="300">
        <v>39</v>
      </c>
      <c r="F29" s="300">
        <v>21</v>
      </c>
      <c r="G29" s="300">
        <v>84</v>
      </c>
      <c r="H29" s="300">
        <v>112</v>
      </c>
      <c r="I29" s="300">
        <v>191</v>
      </c>
      <c r="J29" s="300">
        <v>233</v>
      </c>
      <c r="K29" s="300">
        <v>201</v>
      </c>
      <c r="L29" s="300">
        <v>241</v>
      </c>
      <c r="M29" s="300">
        <v>13</v>
      </c>
      <c r="N29" s="845">
        <f t="shared" si="1"/>
        <v>1138</v>
      </c>
      <c r="O29" s="847">
        <f t="shared" si="0"/>
        <v>6.6114358086518015E-3</v>
      </c>
    </row>
    <row r="30" spans="1:15" s="84" customFormat="1" ht="15.75">
      <c r="A30" s="841" t="s">
        <v>293</v>
      </c>
      <c r="B30" s="300">
        <v>0</v>
      </c>
      <c r="C30" s="300">
        <v>0</v>
      </c>
      <c r="D30" s="300">
        <v>3</v>
      </c>
      <c r="E30" s="300">
        <v>175</v>
      </c>
      <c r="F30" s="300">
        <v>369</v>
      </c>
      <c r="G30" s="300">
        <v>516</v>
      </c>
      <c r="H30" s="300">
        <v>478</v>
      </c>
      <c r="I30" s="300">
        <v>801</v>
      </c>
      <c r="J30" s="300">
        <v>641</v>
      </c>
      <c r="K30" s="300">
        <v>779</v>
      </c>
      <c r="L30" s="300">
        <v>932</v>
      </c>
      <c r="M30" s="300">
        <v>64</v>
      </c>
      <c r="N30" s="845">
        <f t="shared" si="1"/>
        <v>4758</v>
      </c>
      <c r="O30" s="847">
        <f t="shared" si="0"/>
        <v>2.7642540929319219E-2</v>
      </c>
    </row>
    <row r="31" spans="1:15" s="84" customFormat="1" ht="15.75">
      <c r="A31" s="841" t="s">
        <v>292</v>
      </c>
      <c r="B31" s="300">
        <v>0</v>
      </c>
      <c r="C31" s="300">
        <v>0</v>
      </c>
      <c r="D31" s="300">
        <v>1</v>
      </c>
      <c r="E31" s="300">
        <v>21</v>
      </c>
      <c r="F31" s="300">
        <v>26</v>
      </c>
      <c r="G31" s="300">
        <v>71</v>
      </c>
      <c r="H31" s="300">
        <v>90</v>
      </c>
      <c r="I31" s="300">
        <v>191</v>
      </c>
      <c r="J31" s="300">
        <v>177</v>
      </c>
      <c r="K31" s="300">
        <v>230</v>
      </c>
      <c r="L31" s="300">
        <v>227</v>
      </c>
      <c r="M31" s="300">
        <v>18</v>
      </c>
      <c r="N31" s="845">
        <f t="shared" si="1"/>
        <v>1052</v>
      </c>
      <c r="O31" s="847">
        <f t="shared" si="0"/>
        <v>6.111801819597272E-3</v>
      </c>
    </row>
    <row r="32" spans="1:15" s="84" customFormat="1" ht="15.75">
      <c r="A32" s="841" t="s">
        <v>291</v>
      </c>
      <c r="B32" s="300">
        <v>1</v>
      </c>
      <c r="C32" s="300">
        <v>1</v>
      </c>
      <c r="D32" s="300">
        <v>11</v>
      </c>
      <c r="E32" s="300">
        <v>831</v>
      </c>
      <c r="F32" s="300">
        <v>1946</v>
      </c>
      <c r="G32" s="300">
        <v>3132</v>
      </c>
      <c r="H32" s="300">
        <v>3724</v>
      </c>
      <c r="I32" s="300">
        <v>4758</v>
      </c>
      <c r="J32" s="300">
        <v>5812</v>
      </c>
      <c r="K32" s="300">
        <v>6563</v>
      </c>
      <c r="L32" s="300">
        <v>6779</v>
      </c>
      <c r="M32" s="300">
        <v>466</v>
      </c>
      <c r="N32" s="845">
        <f t="shared" si="1"/>
        <v>34023</v>
      </c>
      <c r="O32" s="847">
        <f t="shared" si="0"/>
        <v>0.19766333964653801</v>
      </c>
    </row>
    <row r="33" spans="1:18" s="84" customFormat="1" ht="15.75">
      <c r="A33" s="841" t="s">
        <v>290</v>
      </c>
      <c r="B33" s="300">
        <v>0</v>
      </c>
      <c r="C33" s="300">
        <v>0</v>
      </c>
      <c r="D33" s="300">
        <v>1</v>
      </c>
      <c r="E33" s="300">
        <v>18</v>
      </c>
      <c r="F33" s="300">
        <v>26</v>
      </c>
      <c r="G33" s="300">
        <v>63</v>
      </c>
      <c r="H33" s="300">
        <v>84</v>
      </c>
      <c r="I33" s="300">
        <v>122</v>
      </c>
      <c r="J33" s="300">
        <v>134</v>
      </c>
      <c r="K33" s="300">
        <v>149</v>
      </c>
      <c r="L33" s="300">
        <v>131</v>
      </c>
      <c r="M33" s="300">
        <v>12</v>
      </c>
      <c r="N33" s="845">
        <f t="shared" si="1"/>
        <v>740</v>
      </c>
      <c r="O33" s="847">
        <f t="shared" si="0"/>
        <v>4.2991761848878152E-3</v>
      </c>
    </row>
    <row r="34" spans="1:18" s="84" customFormat="1" ht="15.75">
      <c r="A34" s="841" t="s">
        <v>142</v>
      </c>
      <c r="B34" s="300">
        <v>1</v>
      </c>
      <c r="C34" s="300">
        <v>2</v>
      </c>
      <c r="D34" s="300">
        <v>12</v>
      </c>
      <c r="E34" s="300">
        <v>891</v>
      </c>
      <c r="F34" s="300">
        <v>611</v>
      </c>
      <c r="G34" s="300">
        <v>342</v>
      </c>
      <c r="H34" s="300">
        <v>732</v>
      </c>
      <c r="I34" s="300">
        <v>1119</v>
      </c>
      <c r="J34" s="300">
        <v>1422</v>
      </c>
      <c r="K34" s="300">
        <v>1168</v>
      </c>
      <c r="L34" s="300">
        <v>1470</v>
      </c>
      <c r="M34" s="300">
        <v>90</v>
      </c>
      <c r="N34" s="845">
        <f t="shared" si="1"/>
        <v>7859</v>
      </c>
      <c r="O34" s="847">
        <f t="shared" si="0"/>
        <v>4.565841302301802E-2</v>
      </c>
    </row>
    <row r="35" spans="1:18" s="144" customFormat="1" ht="15.75" customHeight="1">
      <c r="A35" s="842" t="s">
        <v>289</v>
      </c>
      <c r="B35" s="838">
        <v>0</v>
      </c>
      <c r="C35" s="838">
        <v>0</v>
      </c>
      <c r="D35" s="838">
        <v>0</v>
      </c>
      <c r="E35" s="838">
        <v>36</v>
      </c>
      <c r="F35" s="838">
        <v>54</v>
      </c>
      <c r="G35" s="838">
        <v>149</v>
      </c>
      <c r="H35" s="838">
        <v>215</v>
      </c>
      <c r="I35" s="838">
        <v>280</v>
      </c>
      <c r="J35" s="300">
        <v>360</v>
      </c>
      <c r="K35" s="300">
        <v>447</v>
      </c>
      <c r="L35" s="300">
        <v>616</v>
      </c>
      <c r="M35" s="300">
        <v>52</v>
      </c>
      <c r="N35" s="845">
        <f t="shared" si="1"/>
        <v>2209</v>
      </c>
      <c r="O35" s="848">
        <f t="shared" si="0"/>
        <v>1.2833621881644842E-2</v>
      </c>
    </row>
    <row r="36" spans="1:18" s="144" customFormat="1" ht="18" customHeight="1">
      <c r="A36" s="834" t="s">
        <v>23</v>
      </c>
      <c r="B36" s="843">
        <f>SUM(B5:B35)</f>
        <v>2646</v>
      </c>
      <c r="C36" s="843">
        <f t="shared" ref="C36:L36" si="2">SUM(C4:C35)</f>
        <v>3731</v>
      </c>
      <c r="D36" s="843">
        <f t="shared" si="2"/>
        <v>5535</v>
      </c>
      <c r="E36" s="843">
        <f t="shared" si="2"/>
        <v>8544</v>
      </c>
      <c r="F36" s="843">
        <f t="shared" si="2"/>
        <v>10977</v>
      </c>
      <c r="G36" s="843">
        <f t="shared" si="2"/>
        <v>14683</v>
      </c>
      <c r="H36" s="843">
        <f t="shared" si="2"/>
        <v>17456</v>
      </c>
      <c r="I36" s="843">
        <f t="shared" si="2"/>
        <v>22597</v>
      </c>
      <c r="J36" s="843">
        <f t="shared" si="2"/>
        <v>26688</v>
      </c>
      <c r="K36" s="843">
        <f t="shared" si="2"/>
        <v>28635</v>
      </c>
      <c r="L36" s="843">
        <f t="shared" si="2"/>
        <v>31032</v>
      </c>
      <c r="M36" s="843">
        <v>2248</v>
      </c>
      <c r="N36" s="846">
        <f>SUM(N4:N35)</f>
        <v>172126</v>
      </c>
      <c r="O36" s="835">
        <f>SUM(O5:O35)</f>
        <v>0.89658738366080659</v>
      </c>
      <c r="Q36" s="84"/>
      <c r="R36" s="84"/>
    </row>
    <row r="37" spans="1:18" s="84" customFormat="1"/>
    <row r="38" spans="1:18" s="84" customFormat="1">
      <c r="P38" s="144"/>
      <c r="Q38" s="144"/>
      <c r="R38" s="144"/>
    </row>
    <row r="39" spans="1:18" s="84" customFormat="1" ht="21" customHeight="1"/>
    <row r="40" spans="1:18" s="84" customFormat="1"/>
    <row r="41" spans="1:18" s="84" customFormat="1"/>
    <row r="42" spans="1:18" s="84" customFormat="1" ht="21" customHeight="1"/>
    <row r="43" spans="1:18" s="84" customFormat="1"/>
    <row r="44" spans="1:18" s="84" customFormat="1"/>
    <row r="45" spans="1:18" s="84" customFormat="1" ht="21" customHeight="1"/>
    <row r="46" spans="1:18" s="84" customFormat="1" ht="31.5" customHeight="1"/>
    <row r="47" spans="1:18" s="84" customFormat="1"/>
    <row r="48" spans="1:18" ht="21" customHeight="1">
      <c r="P48" s="84"/>
      <c r="Q48" s="84"/>
      <c r="R48" s="84"/>
    </row>
    <row r="49" spans="16:18">
      <c r="P49" s="84"/>
      <c r="Q49" s="84"/>
      <c r="R49" s="84"/>
    </row>
  </sheetData>
  <mergeCells count="1">
    <mergeCell ref="A1:Q1"/>
  </mergeCells>
  <printOptions horizontalCentered="1"/>
  <pageMargins left="0.39370078740157483" right="0.39370078740157483" top="0.23622047244094491" bottom="0.23622047244094491" header="0.31496062992125984" footer="0.31496062992125984"/>
  <pageSetup scale="56"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27"/>
  <sheetViews>
    <sheetView showGridLines="0" view="pageBreakPreview" zoomScale="70" zoomScaleNormal="100" zoomScaleSheetLayoutView="70" workbookViewId="0">
      <selection activeCell="Q22" sqref="Q22"/>
    </sheetView>
  </sheetViews>
  <sheetFormatPr baseColWidth="10" defaultColWidth="11.42578125" defaultRowHeight="15"/>
  <cols>
    <col min="1" max="1" width="16.42578125" style="44" customWidth="1"/>
    <col min="2" max="2" width="11" style="44" customWidth="1"/>
    <col min="3" max="3" width="10.85546875" style="44" customWidth="1"/>
    <col min="4" max="4" width="13.85546875" style="44" customWidth="1"/>
    <col min="5" max="5" width="11.5703125" style="44" customWidth="1"/>
    <col min="6" max="6" width="10.85546875" style="44" customWidth="1"/>
    <col min="7" max="7" width="12.28515625" style="44" customWidth="1"/>
    <col min="8" max="8" width="13.5703125" style="44" customWidth="1"/>
    <col min="9" max="9" width="20.28515625" style="44" customWidth="1"/>
    <col min="10" max="10" width="21.42578125" style="44" customWidth="1"/>
    <col min="11" max="11" width="16.7109375" style="44" customWidth="1"/>
    <col min="12" max="12" width="18.42578125" style="44" customWidth="1"/>
    <col min="13" max="16384" width="11.42578125" style="44"/>
  </cols>
  <sheetData>
    <row r="1" spans="1:12" s="84" customFormat="1" ht="69" customHeight="1">
      <c r="A1" s="1901"/>
      <c r="B1" s="1901"/>
      <c r="C1" s="1901"/>
      <c r="D1" s="1901"/>
      <c r="E1" s="1901"/>
      <c r="F1" s="1901"/>
      <c r="G1" s="1901"/>
      <c r="H1" s="1901"/>
      <c r="I1" s="1901"/>
      <c r="J1" s="1901"/>
      <c r="K1" s="1901"/>
      <c r="L1" s="1901"/>
    </row>
    <row r="2" spans="1:12" s="84" customFormat="1" ht="12" customHeight="1">
      <c r="A2" s="144"/>
      <c r="B2" s="144"/>
      <c r="C2" s="144"/>
      <c r="D2" s="144"/>
      <c r="E2" s="144"/>
      <c r="F2" s="144"/>
      <c r="G2" s="144"/>
      <c r="H2" s="144"/>
      <c r="I2" s="144"/>
      <c r="J2" s="144"/>
      <c r="K2" s="144"/>
      <c r="L2" s="144"/>
    </row>
    <row r="3" spans="1:12" s="144" customFormat="1" ht="34.5" customHeight="1">
      <c r="A3" s="948" t="s">
        <v>0</v>
      </c>
      <c r="B3" s="946" t="s">
        <v>324</v>
      </c>
      <c r="C3" s="946" t="s">
        <v>323</v>
      </c>
      <c r="D3" s="946" t="s">
        <v>322</v>
      </c>
      <c r="E3" s="946" t="s">
        <v>143</v>
      </c>
      <c r="F3" s="946" t="s">
        <v>321</v>
      </c>
      <c r="G3" s="946" t="s">
        <v>320</v>
      </c>
      <c r="H3" s="947" t="s">
        <v>319</v>
      </c>
    </row>
    <row r="4" spans="1:12" s="84" customFormat="1" ht="15.75">
      <c r="A4" s="949">
        <v>2005</v>
      </c>
      <c r="B4" s="893">
        <v>215</v>
      </c>
      <c r="C4" s="893">
        <v>3135</v>
      </c>
      <c r="D4" s="893">
        <v>381</v>
      </c>
      <c r="E4" s="944">
        <f t="shared" ref="E4:E10" si="0">SUM(B4:D4)</f>
        <v>3731</v>
      </c>
      <c r="F4" s="945">
        <f t="shared" ref="F4:F15" si="1">B4/E4</f>
        <v>5.7625301527740549E-2</v>
      </c>
      <c r="G4" s="945">
        <f t="shared" ref="G4:G15" si="2">C4/E4</f>
        <v>0.84025730367193785</v>
      </c>
      <c r="H4" s="950">
        <f t="shared" ref="H4:H15" si="3">D4/E4</f>
        <v>0.10211739480032163</v>
      </c>
    </row>
    <row r="5" spans="1:12" s="84" customFormat="1" ht="15.75">
      <c r="A5" s="949" t="s">
        <v>264</v>
      </c>
      <c r="B5" s="893">
        <v>530</v>
      </c>
      <c r="C5" s="893">
        <v>4514</v>
      </c>
      <c r="D5" s="893">
        <v>491</v>
      </c>
      <c r="E5" s="944">
        <f t="shared" si="0"/>
        <v>5535</v>
      </c>
      <c r="F5" s="945">
        <f t="shared" si="1"/>
        <v>9.5754290876242099E-2</v>
      </c>
      <c r="G5" s="945">
        <f t="shared" si="2"/>
        <v>0.8155374887082204</v>
      </c>
      <c r="H5" s="950">
        <f t="shared" si="3"/>
        <v>8.8708220415537484E-2</v>
      </c>
    </row>
    <row r="6" spans="1:12" s="84" customFormat="1" ht="15.75">
      <c r="A6" s="949" t="s">
        <v>179</v>
      </c>
      <c r="B6" s="893">
        <v>973</v>
      </c>
      <c r="C6" s="893">
        <v>7357</v>
      </c>
      <c r="D6" s="893">
        <v>214</v>
      </c>
      <c r="E6" s="944">
        <f t="shared" si="0"/>
        <v>8544</v>
      </c>
      <c r="F6" s="945">
        <f t="shared" si="1"/>
        <v>0.11388108614232209</v>
      </c>
      <c r="G6" s="945">
        <f t="shared" si="2"/>
        <v>0.86107209737827717</v>
      </c>
      <c r="H6" s="950">
        <f t="shared" si="3"/>
        <v>2.5046816479400748E-2</v>
      </c>
    </row>
    <row r="7" spans="1:12" s="84" customFormat="1" ht="15.75">
      <c r="A7" s="949" t="s">
        <v>235</v>
      </c>
      <c r="B7" s="893">
        <v>1313</v>
      </c>
      <c r="C7" s="893">
        <v>9407</v>
      </c>
      <c r="D7" s="893">
        <v>257</v>
      </c>
      <c r="E7" s="944">
        <f t="shared" si="0"/>
        <v>10977</v>
      </c>
      <c r="F7" s="945">
        <f t="shared" si="1"/>
        <v>0.11961373781543226</v>
      </c>
      <c r="G7" s="945">
        <f t="shared" si="2"/>
        <v>0.85697367222374055</v>
      </c>
      <c r="H7" s="950">
        <f t="shared" si="3"/>
        <v>2.3412589960827183E-2</v>
      </c>
    </row>
    <row r="8" spans="1:12" s="84" customFormat="1" ht="15.75">
      <c r="A8" s="949" t="s">
        <v>236</v>
      </c>
      <c r="B8" s="893">
        <v>1953</v>
      </c>
      <c r="C8" s="893">
        <v>12523</v>
      </c>
      <c r="D8" s="893">
        <v>207</v>
      </c>
      <c r="E8" s="944">
        <f t="shared" si="0"/>
        <v>14683</v>
      </c>
      <c r="F8" s="945">
        <f t="shared" si="1"/>
        <v>0.1330109650616359</v>
      </c>
      <c r="G8" s="945">
        <f t="shared" si="2"/>
        <v>0.85289109854934275</v>
      </c>
      <c r="H8" s="950">
        <f t="shared" si="3"/>
        <v>1.4097936389021317E-2</v>
      </c>
    </row>
    <row r="9" spans="1:12" s="84" customFormat="1" ht="15.75">
      <c r="A9" s="949" t="s">
        <v>197</v>
      </c>
      <c r="B9" s="893">
        <v>2519</v>
      </c>
      <c r="C9" s="893">
        <v>14493</v>
      </c>
      <c r="D9" s="893">
        <v>444</v>
      </c>
      <c r="E9" s="944">
        <f t="shared" si="0"/>
        <v>17456</v>
      </c>
      <c r="F9" s="945">
        <f t="shared" si="1"/>
        <v>0.1443056828597617</v>
      </c>
      <c r="G9" s="945">
        <f t="shared" si="2"/>
        <v>0.8302589367552704</v>
      </c>
      <c r="H9" s="950">
        <f t="shared" si="3"/>
        <v>2.5435380384967919E-2</v>
      </c>
    </row>
    <row r="10" spans="1:12" s="84" customFormat="1" ht="15.75">
      <c r="A10" s="949" t="s">
        <v>237</v>
      </c>
      <c r="B10" s="893">
        <v>3191</v>
      </c>
      <c r="C10" s="893">
        <v>18636</v>
      </c>
      <c r="D10" s="893">
        <v>770</v>
      </c>
      <c r="E10" s="944">
        <f t="shared" si="0"/>
        <v>22597</v>
      </c>
      <c r="F10" s="945">
        <f t="shared" si="1"/>
        <v>0.14121343541178033</v>
      </c>
      <c r="G10" s="945">
        <f t="shared" si="2"/>
        <v>0.82471124485551184</v>
      </c>
      <c r="H10" s="950">
        <f t="shared" si="3"/>
        <v>3.407531973270788E-2</v>
      </c>
    </row>
    <row r="11" spans="1:12" s="84" customFormat="1" ht="15.75">
      <c r="A11" s="949" t="s">
        <v>499</v>
      </c>
      <c r="B11" s="893">
        <v>3646</v>
      </c>
      <c r="C11" s="893">
        <v>23042</v>
      </c>
      <c r="D11" s="893">
        <v>0</v>
      </c>
      <c r="E11" s="944">
        <f>SUM(B11:D11)</f>
        <v>26688</v>
      </c>
      <c r="F11" s="945">
        <f>B11/E11</f>
        <v>0.13661570743405277</v>
      </c>
      <c r="G11" s="945">
        <f>C11/E11</f>
        <v>0.86338429256594729</v>
      </c>
      <c r="H11" s="950">
        <f>D11/E11</f>
        <v>0</v>
      </c>
    </row>
    <row r="12" spans="1:12" s="84" customFormat="1" ht="15.75">
      <c r="A12" s="949" t="s">
        <v>619</v>
      </c>
      <c r="B12" s="893">
        <v>4605</v>
      </c>
      <c r="C12" s="893">
        <v>24027</v>
      </c>
      <c r="D12" s="893">
        <v>3</v>
      </c>
      <c r="E12" s="944">
        <f>SUM(B12:D12)</f>
        <v>28635</v>
      </c>
      <c r="F12" s="945">
        <f>B12/E12</f>
        <v>0.16081718177056051</v>
      </c>
      <c r="G12" s="945">
        <f>C12/E12</f>
        <v>0.83907805133577784</v>
      </c>
      <c r="H12" s="950">
        <f>D12/E12</f>
        <v>1.0476689366160294E-4</v>
      </c>
    </row>
    <row r="13" spans="1:12" s="84" customFormat="1" ht="15.75">
      <c r="A13" s="949" t="s">
        <v>628</v>
      </c>
      <c r="B13" s="893">
        <v>4791</v>
      </c>
      <c r="C13" s="893">
        <v>26240</v>
      </c>
      <c r="D13" s="893">
        <v>1</v>
      </c>
      <c r="E13" s="944">
        <f>SUM(B13:D13)</f>
        <v>31032</v>
      </c>
      <c r="F13" s="945">
        <f>B13/E13</f>
        <v>0.15438901778808972</v>
      </c>
      <c r="G13" s="945">
        <f>C13/E13</f>
        <v>0.84557875741170407</v>
      </c>
      <c r="H13" s="950">
        <f>D13/E13</f>
        <v>3.2224800206238723E-5</v>
      </c>
    </row>
    <row r="14" spans="1:12" s="84" customFormat="1" ht="15.75">
      <c r="A14" s="949" t="s">
        <v>632</v>
      </c>
      <c r="B14" s="893">
        <v>314</v>
      </c>
      <c r="C14" s="893">
        <v>1934</v>
      </c>
      <c r="D14" s="893">
        <v>0</v>
      </c>
      <c r="E14" s="944">
        <f>SUM(B14:D14)</f>
        <v>2248</v>
      </c>
      <c r="F14" s="945">
        <f>B14/E14</f>
        <v>0.1396797153024911</v>
      </c>
      <c r="G14" s="945">
        <f>C14/E14</f>
        <v>0.86032028469750887</v>
      </c>
      <c r="H14" s="950">
        <f>D14/E14</f>
        <v>0</v>
      </c>
    </row>
    <row r="15" spans="1:12" s="84" customFormat="1" ht="15.75">
      <c r="A15" s="874" t="s">
        <v>23</v>
      </c>
      <c r="B15" s="951">
        <f>SUM(B4:B14)</f>
        <v>24050</v>
      </c>
      <c r="C15" s="951">
        <f>SUM(C4:C14)</f>
        <v>145308</v>
      </c>
      <c r="D15" s="951">
        <f>SUM(D4:D14)</f>
        <v>2768</v>
      </c>
      <c r="E15" s="951">
        <f>SUM(E4:E14)</f>
        <v>172126</v>
      </c>
      <c r="F15" s="952">
        <f t="shared" si="1"/>
        <v>0.13972322600885398</v>
      </c>
      <c r="G15" s="952">
        <f t="shared" si="2"/>
        <v>0.84419553118064672</v>
      </c>
      <c r="H15" s="953">
        <f t="shared" si="3"/>
        <v>1.6081242810499285E-2</v>
      </c>
    </row>
    <row r="16" spans="1:12" s="84" customFormat="1">
      <c r="A16" s="152"/>
      <c r="B16" s="151"/>
      <c r="C16" s="151"/>
      <c r="D16" s="151"/>
      <c r="L16" s="44"/>
    </row>
    <row r="17" spans="1:12" s="84" customFormat="1">
      <c r="A17" s="152"/>
      <c r="B17" s="151"/>
      <c r="C17" s="151"/>
      <c r="D17" s="151"/>
      <c r="L17" s="44"/>
    </row>
    <row r="18" spans="1:12" s="84" customFormat="1">
      <c r="A18" s="152"/>
      <c r="B18" s="151"/>
      <c r="C18" s="151"/>
      <c r="D18" s="151"/>
    </row>
    <row r="19" spans="1:12" s="84" customFormat="1">
      <c r="A19" s="152"/>
      <c r="B19" s="151"/>
      <c r="C19" s="151"/>
      <c r="D19" s="151"/>
    </row>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c r="H26" s="84"/>
    </row>
    <row r="27" spans="1:12">
      <c r="L27" s="150"/>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M25" sqref="M25"/>
    </sheetView>
  </sheetViews>
  <sheetFormatPr baseColWidth="10" defaultColWidth="11.42578125" defaultRowHeight="15"/>
  <cols>
    <col min="1" max="1" width="15.7109375" style="44" customWidth="1"/>
    <col min="2" max="2" width="12.28515625" style="44" customWidth="1"/>
    <col min="3" max="3" width="14.42578125" style="44" customWidth="1"/>
    <col min="4" max="4" width="14.42578125" style="44" hidden="1" customWidth="1"/>
    <col min="5" max="5" width="12.7109375" style="44" customWidth="1"/>
    <col min="6" max="6" width="14.5703125" style="44" customWidth="1"/>
    <col min="7" max="7" width="13.7109375" style="44" customWidth="1"/>
    <col min="8" max="8" width="20.28515625" style="44" customWidth="1"/>
    <col min="9" max="9" width="18.85546875" style="44" customWidth="1"/>
    <col min="10" max="10" width="21" style="44" customWidth="1"/>
    <col min="11" max="11" width="16.28515625" style="44" customWidth="1"/>
    <col min="12" max="12" width="18.85546875" style="44" customWidth="1"/>
    <col min="13" max="13" width="40.42578125" style="44" customWidth="1"/>
    <col min="14" max="16384" width="11.42578125" style="44"/>
  </cols>
  <sheetData>
    <row r="1" spans="1:13" s="84" customFormat="1" ht="70.5" customHeight="1">
      <c r="A1" s="1901"/>
      <c r="B1" s="1901"/>
      <c r="C1" s="1901"/>
      <c r="D1" s="1901"/>
      <c r="E1" s="1901"/>
      <c r="F1" s="1901"/>
      <c r="G1" s="1901"/>
      <c r="H1" s="1901"/>
      <c r="I1" s="1901"/>
      <c r="J1" s="1901"/>
      <c r="K1" s="1901"/>
      <c r="L1" s="1901"/>
    </row>
    <row r="2" spans="1:13" s="43" customFormat="1" ht="15.75" customHeight="1">
      <c r="A2" s="875"/>
      <c r="B2" s="188"/>
      <c r="C2" s="188"/>
      <c r="D2" s="188"/>
      <c r="E2" s="188"/>
      <c r="F2" s="188"/>
      <c r="G2" s="188"/>
      <c r="H2" s="188"/>
      <c r="I2" s="188"/>
      <c r="J2" s="188"/>
      <c r="K2" s="188"/>
      <c r="L2" s="188"/>
    </row>
    <row r="3" spans="1:13" s="84" customFormat="1" ht="31.5">
      <c r="A3" s="832" t="s">
        <v>0</v>
      </c>
      <c r="B3" s="854" t="s">
        <v>328</v>
      </c>
      <c r="C3" s="854" t="s">
        <v>327</v>
      </c>
      <c r="D3" s="854" t="s">
        <v>414</v>
      </c>
      <c r="E3" s="854" t="s">
        <v>143</v>
      </c>
      <c r="F3" s="854" t="s">
        <v>326</v>
      </c>
      <c r="G3" s="855" t="s">
        <v>325</v>
      </c>
    </row>
    <row r="4" spans="1:13" s="84" customFormat="1" ht="15.75">
      <c r="A4" s="856">
        <v>2005</v>
      </c>
      <c r="B4" s="850">
        <v>90</v>
      </c>
      <c r="C4" s="850">
        <v>3641</v>
      </c>
      <c r="D4" s="850"/>
      <c r="E4" s="851">
        <f t="shared" ref="E4:E10" si="0">SUM(B4:C4)</f>
        <v>3731</v>
      </c>
      <c r="F4" s="852">
        <f t="shared" ref="F4:F11" si="1">B4/E4</f>
        <v>2.4122219244170465E-2</v>
      </c>
      <c r="G4" s="853">
        <f t="shared" ref="G4:G11" si="2">C4/E4</f>
        <v>0.97587778075582954</v>
      </c>
    </row>
    <row r="5" spans="1:13" s="84" customFormat="1" ht="15.75">
      <c r="A5" s="856" t="s">
        <v>264</v>
      </c>
      <c r="B5" s="850">
        <v>253</v>
      </c>
      <c r="C5" s="850">
        <v>5282</v>
      </c>
      <c r="D5" s="850"/>
      <c r="E5" s="851">
        <f t="shared" si="0"/>
        <v>5535</v>
      </c>
      <c r="F5" s="852">
        <f t="shared" si="1"/>
        <v>4.5709123757904244E-2</v>
      </c>
      <c r="G5" s="853">
        <f t="shared" si="2"/>
        <v>0.95429087624209574</v>
      </c>
    </row>
    <row r="6" spans="1:13" s="84" customFormat="1" ht="15.75">
      <c r="A6" s="856" t="s">
        <v>179</v>
      </c>
      <c r="B6" s="850">
        <v>445</v>
      </c>
      <c r="C6" s="850">
        <v>8099</v>
      </c>
      <c r="D6" s="850"/>
      <c r="E6" s="851">
        <f t="shared" si="0"/>
        <v>8544</v>
      </c>
      <c r="F6" s="852">
        <f t="shared" si="1"/>
        <v>5.2083333333333336E-2</v>
      </c>
      <c r="G6" s="853">
        <f t="shared" si="2"/>
        <v>0.94791666666666663</v>
      </c>
    </row>
    <row r="7" spans="1:13" s="84" customFormat="1" ht="15.75">
      <c r="A7" s="856" t="s">
        <v>235</v>
      </c>
      <c r="B7" s="850">
        <v>660</v>
      </c>
      <c r="C7" s="850">
        <v>10317</v>
      </c>
      <c r="D7" s="850"/>
      <c r="E7" s="851">
        <f t="shared" si="0"/>
        <v>10977</v>
      </c>
      <c r="F7" s="852">
        <f t="shared" si="1"/>
        <v>6.0125717409128178E-2</v>
      </c>
      <c r="G7" s="853">
        <f t="shared" si="2"/>
        <v>0.9398742825908718</v>
      </c>
    </row>
    <row r="8" spans="1:13" s="84" customFormat="1" ht="15.75">
      <c r="A8" s="856" t="s">
        <v>236</v>
      </c>
      <c r="B8" s="850">
        <v>986</v>
      </c>
      <c r="C8" s="850">
        <v>13697</v>
      </c>
      <c r="D8" s="850"/>
      <c r="E8" s="851">
        <f t="shared" si="0"/>
        <v>14683</v>
      </c>
      <c r="F8" s="852">
        <f t="shared" si="1"/>
        <v>6.7152489273309274E-2</v>
      </c>
      <c r="G8" s="853">
        <f t="shared" si="2"/>
        <v>0.9328475107266907</v>
      </c>
    </row>
    <row r="9" spans="1:13" s="84" customFormat="1" ht="15.75">
      <c r="A9" s="856" t="s">
        <v>197</v>
      </c>
      <c r="B9" s="850">
        <v>1477</v>
      </c>
      <c r="C9" s="850">
        <v>15979</v>
      </c>
      <c r="D9" s="850"/>
      <c r="E9" s="851">
        <f t="shared" si="0"/>
        <v>17456</v>
      </c>
      <c r="F9" s="852">
        <f t="shared" si="1"/>
        <v>8.4612740604949582E-2</v>
      </c>
      <c r="G9" s="853">
        <f t="shared" si="2"/>
        <v>0.91538725939505039</v>
      </c>
      <c r="M9" s="44"/>
    </row>
    <row r="10" spans="1:13" s="84" customFormat="1" ht="15.75">
      <c r="A10" s="856">
        <v>2011</v>
      </c>
      <c r="B10" s="850">
        <v>2094</v>
      </c>
      <c r="C10" s="850">
        <v>20503</v>
      </c>
      <c r="D10" s="850"/>
      <c r="E10" s="851">
        <f t="shared" si="0"/>
        <v>22597</v>
      </c>
      <c r="F10" s="852">
        <f t="shared" si="1"/>
        <v>9.2667168208169226E-2</v>
      </c>
      <c r="G10" s="853">
        <f t="shared" si="2"/>
        <v>0.90733283179183077</v>
      </c>
      <c r="M10" s="44"/>
    </row>
    <row r="11" spans="1:13" s="84" customFormat="1" ht="15.75">
      <c r="A11" s="856" t="s">
        <v>499</v>
      </c>
      <c r="B11" s="850">
        <v>3858</v>
      </c>
      <c r="C11" s="850">
        <v>22830</v>
      </c>
      <c r="D11" s="850"/>
      <c r="E11" s="851">
        <f>SUM(B11:D11)</f>
        <v>26688</v>
      </c>
      <c r="F11" s="852">
        <f t="shared" si="1"/>
        <v>0.1445593525179856</v>
      </c>
      <c r="G11" s="853">
        <f t="shared" si="2"/>
        <v>0.85544064748201443</v>
      </c>
      <c r="M11" s="44"/>
    </row>
    <row r="12" spans="1:13" s="84" customFormat="1" ht="15.75">
      <c r="A12" s="856" t="s">
        <v>619</v>
      </c>
      <c r="B12" s="850">
        <v>4451</v>
      </c>
      <c r="C12" s="850">
        <v>24184</v>
      </c>
      <c r="D12" s="850"/>
      <c r="E12" s="851">
        <f>SUM(B12:D12)</f>
        <v>28635</v>
      </c>
      <c r="F12" s="852">
        <f>B12/E12</f>
        <v>0.15543914789593155</v>
      </c>
      <c r="G12" s="853">
        <f>C12/E12</f>
        <v>0.84456085210406839</v>
      </c>
      <c r="M12" s="44"/>
    </row>
    <row r="13" spans="1:13" s="84" customFormat="1" ht="15.75">
      <c r="A13" s="856" t="s">
        <v>628</v>
      </c>
      <c r="B13" s="850">
        <v>5112</v>
      </c>
      <c r="C13" s="850">
        <v>25920</v>
      </c>
      <c r="D13" s="850"/>
      <c r="E13" s="851">
        <f>SUM(B13:D13)</f>
        <v>31032</v>
      </c>
      <c r="F13" s="852">
        <f>B13/E13</f>
        <v>0.16473317865429235</v>
      </c>
      <c r="G13" s="853">
        <f>C13/E13</f>
        <v>0.83526682134570762</v>
      </c>
      <c r="M13" s="44"/>
    </row>
    <row r="14" spans="1:13" s="84" customFormat="1" ht="15.75">
      <c r="A14" s="856" t="s">
        <v>632</v>
      </c>
      <c r="B14" s="850">
        <v>348</v>
      </c>
      <c r="C14" s="850">
        <v>1900</v>
      </c>
      <c r="D14" s="850"/>
      <c r="E14" s="851">
        <f>SUM(B14:D14)</f>
        <v>2248</v>
      </c>
      <c r="F14" s="852">
        <f>B14/E14</f>
        <v>0.15480427046263345</v>
      </c>
      <c r="G14" s="853">
        <f>C14/E14</f>
        <v>0.84519572953736655</v>
      </c>
      <c r="M14" s="44"/>
    </row>
    <row r="15" spans="1:13" s="84" customFormat="1" ht="15.75">
      <c r="A15" s="849" t="s">
        <v>23</v>
      </c>
      <c r="B15" s="857">
        <f>SUM(B4:B14)</f>
        <v>19774</v>
      </c>
      <c r="C15" s="857">
        <f>SUM(C4:C14)</f>
        <v>152352</v>
      </c>
      <c r="D15" s="857">
        <f>SUM(D4:D14)</f>
        <v>0</v>
      </c>
      <c r="E15" s="857">
        <f>SUM(E4:E14)</f>
        <v>172126</v>
      </c>
      <c r="F15" s="858">
        <f>B15/E15</f>
        <v>0.11488095929725899</v>
      </c>
      <c r="G15" s="859">
        <f>C15/E15</f>
        <v>0.88511904070274106</v>
      </c>
      <c r="L15" s="44"/>
    </row>
    <row r="16" spans="1:13" s="84" customFormat="1">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row>
    <row r="27" spans="1:12">
      <c r="K27" s="150"/>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topLeftCell="C1" zoomScale="70" zoomScaleNormal="85" zoomScaleSheetLayoutView="70" workbookViewId="0">
      <selection activeCell="K7" sqref="K7"/>
    </sheetView>
  </sheetViews>
  <sheetFormatPr baseColWidth="10" defaultColWidth="11.42578125" defaultRowHeight="11.25" customHeight="1"/>
  <cols>
    <col min="1" max="1" width="22.5703125" style="80" customWidth="1"/>
    <col min="2" max="2" width="22" style="80" customWidth="1"/>
    <col min="3" max="3" width="22.140625" style="80" customWidth="1"/>
    <col min="4" max="4" width="21.7109375" style="80" customWidth="1"/>
    <col min="5" max="5" width="20" style="80" customWidth="1"/>
    <col min="6" max="7" width="11.42578125" style="80"/>
    <col min="8" max="8" width="12.5703125" style="80" bestFit="1" customWidth="1"/>
    <col min="9" max="9" width="13.5703125" style="80" bestFit="1" customWidth="1"/>
    <col min="10" max="10" width="12" style="80" customWidth="1"/>
    <col min="11" max="11" width="13.85546875" style="80" customWidth="1"/>
    <col min="12" max="12" width="15.140625" style="80" customWidth="1"/>
    <col min="13" max="13" width="19.140625" style="80" customWidth="1"/>
    <col min="14" max="14" width="24.28515625" style="80" customWidth="1"/>
    <col min="15" max="18" width="11.42578125" style="80"/>
    <col min="19" max="19" width="10" style="80" customWidth="1"/>
    <col min="20" max="16384" width="11.42578125" style="80"/>
  </cols>
  <sheetData>
    <row r="1" spans="1:20" ht="105" customHeight="1">
      <c r="A1" s="1751"/>
      <c r="B1" s="1751"/>
      <c r="C1" s="1751"/>
      <c r="D1" s="1751"/>
      <c r="E1" s="1751"/>
      <c r="F1" s="1751"/>
      <c r="G1" s="1751"/>
      <c r="H1" s="1751"/>
      <c r="I1" s="1751"/>
      <c r="J1" s="1751"/>
      <c r="K1" s="1751"/>
      <c r="L1" s="1751"/>
      <c r="M1" s="1751"/>
      <c r="N1" s="1751"/>
    </row>
    <row r="2" spans="1:20" s="76" customFormat="1" ht="2.25" customHeight="1">
      <c r="A2" s="81"/>
      <c r="B2" s="81"/>
      <c r="C2" s="81"/>
      <c r="D2" s="81"/>
      <c r="E2" s="81"/>
    </row>
    <row r="3" spans="1:20" s="76" customFormat="1" ht="39.75" customHeight="1">
      <c r="A3" s="320" t="s">
        <v>165</v>
      </c>
      <c r="B3" s="414" t="s">
        <v>168</v>
      </c>
      <c r="C3" s="415" t="s">
        <v>169</v>
      </c>
      <c r="D3" s="416" t="s">
        <v>170</v>
      </c>
      <c r="E3" s="81"/>
      <c r="F3" s="77"/>
      <c r="J3" s="264"/>
      <c r="M3" s="173"/>
    </row>
    <row r="4" spans="1:20" s="76" customFormat="1" ht="19.5" customHeight="1">
      <c r="A4" s="321" t="s">
        <v>500</v>
      </c>
      <c r="B4" s="508">
        <v>12759.99</v>
      </c>
      <c r="C4" s="509">
        <v>15836.19</v>
      </c>
      <c r="D4" s="510">
        <v>14748.51</v>
      </c>
      <c r="E4" s="81"/>
      <c r="F4" s="77"/>
      <c r="O4" s="194"/>
      <c r="P4" s="194"/>
      <c r="Q4" s="194"/>
      <c r="R4" s="194"/>
      <c r="S4" s="274"/>
      <c r="T4" s="274"/>
    </row>
    <row r="5" spans="1:20" s="76" customFormat="1" ht="21.75" customHeight="1">
      <c r="A5" s="321" t="s">
        <v>439</v>
      </c>
      <c r="B5" s="511">
        <v>13453</v>
      </c>
      <c r="C5" s="512">
        <v>14653.84</v>
      </c>
      <c r="D5" s="513">
        <v>15155.74</v>
      </c>
      <c r="E5" s="81"/>
      <c r="F5" s="77"/>
      <c r="O5" s="194"/>
      <c r="P5" s="194"/>
      <c r="Q5" s="194"/>
      <c r="R5" s="194"/>
      <c r="S5" s="274"/>
      <c r="T5" s="274"/>
    </row>
    <row r="6" spans="1:20" s="76" customFormat="1" ht="20.25" customHeight="1">
      <c r="A6" s="321" t="s">
        <v>440</v>
      </c>
      <c r="B6" s="511">
        <v>13943.45</v>
      </c>
      <c r="C6" s="512">
        <v>16719.03</v>
      </c>
      <c r="D6" s="513">
        <v>15971.57</v>
      </c>
      <c r="E6" s="81"/>
      <c r="F6" s="77"/>
      <c r="O6" s="194"/>
      <c r="P6" s="194"/>
      <c r="Q6" s="194"/>
      <c r="R6" s="194"/>
      <c r="S6" s="274"/>
      <c r="T6" s="274"/>
    </row>
    <row r="7" spans="1:20" s="76" customFormat="1" ht="18" customHeight="1">
      <c r="A7" s="321" t="s">
        <v>441</v>
      </c>
      <c r="B7" s="511">
        <v>15132</v>
      </c>
      <c r="C7" s="512">
        <v>17464</v>
      </c>
      <c r="D7" s="513">
        <v>17399</v>
      </c>
      <c r="E7" s="81"/>
      <c r="F7" s="77"/>
      <c r="G7" s="77"/>
      <c r="H7" s="77"/>
      <c r="I7" s="77"/>
      <c r="J7" s="77"/>
      <c r="K7" s="77"/>
      <c r="N7" s="194"/>
      <c r="O7" s="194"/>
      <c r="P7" s="194"/>
      <c r="Q7" s="194"/>
      <c r="R7" s="194"/>
      <c r="S7" s="274"/>
      <c r="T7" s="274"/>
    </row>
    <row r="8" spans="1:20" ht="18.75" customHeight="1">
      <c r="A8" s="321" t="s">
        <v>501</v>
      </c>
      <c r="B8" s="511">
        <v>15533</v>
      </c>
      <c r="C8" s="512">
        <v>18675</v>
      </c>
      <c r="D8" s="513">
        <v>17851</v>
      </c>
      <c r="E8" s="81"/>
      <c r="F8" s="81"/>
      <c r="G8" s="77"/>
      <c r="H8" s="77"/>
      <c r="I8" s="77"/>
      <c r="K8" s="76"/>
      <c r="L8" s="76"/>
      <c r="M8" s="76"/>
      <c r="N8" s="194"/>
      <c r="O8" s="194"/>
      <c r="P8" s="194"/>
      <c r="Q8" s="194"/>
      <c r="R8" s="194"/>
      <c r="S8" s="274"/>
      <c r="T8" s="274"/>
    </row>
    <row r="9" spans="1:20" ht="18.75">
      <c r="A9" s="321" t="s">
        <v>570</v>
      </c>
      <c r="B9" s="511">
        <v>16191</v>
      </c>
      <c r="C9" s="512">
        <v>19327</v>
      </c>
      <c r="D9" s="513">
        <v>20747</v>
      </c>
      <c r="E9" s="81"/>
      <c r="F9" s="81"/>
      <c r="G9" s="77"/>
      <c r="H9" s="77"/>
      <c r="I9" s="77"/>
      <c r="K9" s="76"/>
      <c r="L9" s="76"/>
      <c r="M9" s="76"/>
      <c r="N9" s="194"/>
      <c r="O9" s="194"/>
      <c r="P9" s="194"/>
      <c r="Q9" s="194"/>
      <c r="R9" s="194"/>
      <c r="S9" s="275"/>
    </row>
    <row r="10" spans="1:20" ht="18.75">
      <c r="A10" s="321" t="s">
        <v>635</v>
      </c>
      <c r="B10" s="511">
        <v>16415</v>
      </c>
      <c r="C10" s="512">
        <v>20545</v>
      </c>
      <c r="D10" s="513">
        <v>22507</v>
      </c>
      <c r="E10" s="81"/>
      <c r="F10" s="81"/>
      <c r="G10" s="77"/>
      <c r="H10" s="77"/>
      <c r="I10" s="77"/>
      <c r="K10" s="76"/>
      <c r="L10" s="76"/>
      <c r="M10" s="76"/>
      <c r="N10" s="194"/>
      <c r="O10" s="194"/>
      <c r="P10" s="194"/>
      <c r="Q10" s="194"/>
      <c r="R10" s="194"/>
      <c r="S10" s="275"/>
    </row>
    <row r="11" spans="1:20" ht="18.75">
      <c r="A11" s="322" t="s">
        <v>636</v>
      </c>
      <c r="B11" s="514">
        <v>16524</v>
      </c>
      <c r="C11" s="515">
        <v>20829</v>
      </c>
      <c r="D11" s="516">
        <v>23807</v>
      </c>
      <c r="E11" s="81"/>
      <c r="F11" s="81"/>
      <c r="G11" s="81"/>
      <c r="H11" s="81"/>
      <c r="I11" s="81"/>
      <c r="J11" s="81"/>
      <c r="N11" s="194"/>
      <c r="O11" s="194"/>
      <c r="P11" s="194"/>
      <c r="Q11" s="194"/>
      <c r="R11" s="194"/>
    </row>
    <row r="12" spans="1:20" ht="11.25" customHeight="1">
      <c r="A12" s="276"/>
      <c r="B12" s="78"/>
      <c r="C12" s="81"/>
      <c r="D12" s="81"/>
      <c r="E12" s="81"/>
      <c r="F12" s="81"/>
      <c r="G12" s="81"/>
      <c r="H12" s="81"/>
      <c r="I12" s="81"/>
      <c r="J12" s="81"/>
      <c r="N12" s="194"/>
      <c r="O12" s="194"/>
      <c r="P12" s="194"/>
      <c r="Q12" s="194"/>
      <c r="R12" s="194"/>
    </row>
    <row r="13" spans="1:20" ht="11.25" customHeight="1">
      <c r="B13" s="78"/>
      <c r="C13" s="81"/>
      <c r="D13" s="81"/>
      <c r="E13" s="81"/>
      <c r="F13" s="81"/>
      <c r="G13" s="81"/>
      <c r="H13" s="81"/>
      <c r="I13" s="81"/>
      <c r="J13" s="81"/>
      <c r="N13" s="194"/>
      <c r="O13" s="194"/>
      <c r="P13" s="194"/>
      <c r="Q13" s="194"/>
      <c r="R13" s="194"/>
    </row>
    <row r="14" spans="1:20" ht="11.25" customHeight="1">
      <c r="B14" s="78"/>
      <c r="C14" s="81"/>
      <c r="D14" s="81"/>
      <c r="E14" s="81"/>
      <c r="F14" s="81"/>
      <c r="G14" s="81"/>
      <c r="H14" s="81"/>
      <c r="I14" s="81"/>
      <c r="J14" s="81"/>
      <c r="N14" s="194"/>
      <c r="O14" s="194"/>
      <c r="P14" s="194"/>
      <c r="Q14" s="194"/>
      <c r="R14" s="194"/>
    </row>
    <row r="15" spans="1:20" ht="11.25" customHeight="1">
      <c r="B15" s="78"/>
      <c r="C15" s="81"/>
      <c r="D15" s="81"/>
      <c r="E15" s="81"/>
      <c r="F15" s="81"/>
      <c r="G15" s="81"/>
      <c r="H15" s="81"/>
      <c r="I15" s="81"/>
      <c r="J15" s="81"/>
      <c r="N15" s="194"/>
      <c r="O15" s="194"/>
      <c r="P15" s="194"/>
      <c r="Q15" s="194"/>
      <c r="R15" s="194"/>
    </row>
    <row r="16" spans="1:20" ht="11.25" customHeight="1">
      <c r="N16" s="194"/>
      <c r="O16" s="194"/>
      <c r="P16" s="194"/>
      <c r="Q16" s="194"/>
      <c r="R16" s="194"/>
    </row>
    <row r="17" spans="14:18" ht="11.25" customHeight="1">
      <c r="N17" s="194"/>
      <c r="O17" s="194"/>
      <c r="P17" s="194"/>
      <c r="Q17" s="194"/>
      <c r="R17" s="194"/>
    </row>
    <row r="18" spans="14:18" ht="11.25" customHeight="1">
      <c r="N18" s="194"/>
      <c r="O18" s="194"/>
      <c r="P18" s="194"/>
      <c r="Q18" s="194"/>
      <c r="R18" s="194"/>
    </row>
    <row r="19" spans="14:18" ht="11.25" customHeight="1">
      <c r="N19" s="194"/>
      <c r="O19" s="194"/>
      <c r="P19" s="194"/>
      <c r="Q19" s="194"/>
      <c r="R19" s="194"/>
    </row>
    <row r="20" spans="14:18" ht="11.25" customHeight="1">
      <c r="N20" s="194"/>
      <c r="O20" s="194"/>
      <c r="P20" s="194"/>
      <c r="Q20" s="194"/>
      <c r="R20" s="194"/>
    </row>
    <row r="21" spans="14:18" ht="11.25" customHeight="1">
      <c r="N21" s="194"/>
      <c r="O21" s="194"/>
      <c r="P21" s="194"/>
      <c r="Q21" s="194"/>
      <c r="R21" s="194"/>
    </row>
    <row r="22" spans="14:18" ht="11.25" customHeight="1">
      <c r="N22" s="194"/>
      <c r="O22" s="194"/>
      <c r="P22" s="194"/>
      <c r="Q22" s="194"/>
      <c r="R22" s="194"/>
    </row>
    <row r="23" spans="14:18" ht="11.25" customHeight="1">
      <c r="N23" s="194"/>
      <c r="O23" s="194"/>
      <c r="P23" s="194"/>
      <c r="Q23" s="194"/>
      <c r="R23" s="194"/>
    </row>
    <row r="24" spans="14:18" ht="11.25" customHeight="1">
      <c r="N24" s="194"/>
      <c r="O24" s="194"/>
      <c r="P24" s="194"/>
      <c r="Q24" s="194"/>
      <c r="R24" s="194"/>
    </row>
    <row r="25" spans="14:18" ht="11.25" customHeight="1">
      <c r="N25" s="194"/>
      <c r="O25" s="194"/>
      <c r="P25" s="194"/>
      <c r="Q25" s="194"/>
      <c r="R25" s="194"/>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topLeftCell="A2" zoomScale="70" zoomScaleNormal="100" zoomScaleSheetLayoutView="70" workbookViewId="0">
      <selection activeCell="K5" sqref="K5:L19"/>
    </sheetView>
  </sheetViews>
  <sheetFormatPr baseColWidth="10" defaultColWidth="11.42578125" defaultRowHeight="15"/>
  <cols>
    <col min="1" max="1" width="16.28515625" style="44" customWidth="1"/>
    <col min="2" max="2" width="17.140625" style="44" customWidth="1"/>
    <col min="3" max="3" width="15.5703125" style="44" customWidth="1"/>
    <col min="4" max="4" width="13.85546875" style="44" customWidth="1"/>
    <col min="5" max="5" width="15" style="44" customWidth="1"/>
    <col min="6" max="6" width="14.28515625" style="44" customWidth="1"/>
    <col min="7" max="7" width="13.140625" style="44" customWidth="1"/>
    <col min="8" max="8" width="21.85546875" style="44" customWidth="1"/>
    <col min="9" max="9" width="17.42578125" style="44" customWidth="1"/>
    <col min="10" max="10" width="19.28515625" style="44" customWidth="1"/>
    <col min="11" max="11" width="14.42578125" style="44" customWidth="1"/>
    <col min="12" max="12" width="9.42578125" style="44" customWidth="1"/>
    <col min="13" max="16384" width="11.42578125" style="44"/>
  </cols>
  <sheetData>
    <row r="1" spans="1:11" s="84" customFormat="1" ht="69" customHeight="1">
      <c r="A1" s="1794"/>
      <c r="B1" s="1794"/>
      <c r="C1" s="1794"/>
      <c r="D1" s="1794"/>
      <c r="E1" s="1794"/>
      <c r="F1" s="1794"/>
      <c r="G1" s="1794"/>
      <c r="H1" s="1794"/>
      <c r="I1" s="1794"/>
      <c r="J1" s="1794"/>
    </row>
    <row r="2" spans="1:11" s="43" customFormat="1" ht="6.75" customHeight="1">
      <c r="A2" s="144"/>
      <c r="B2" s="144"/>
      <c r="C2" s="144"/>
      <c r="D2" s="144"/>
      <c r="E2" s="144"/>
      <c r="F2" s="144"/>
      <c r="G2" s="144"/>
      <c r="H2" s="144"/>
      <c r="I2" s="144"/>
      <c r="J2" s="144"/>
    </row>
    <row r="3" spans="1:11" s="144" customFormat="1" ht="21" customHeight="1">
      <c r="A3" s="833" t="s">
        <v>263</v>
      </c>
      <c r="B3" s="676" t="s">
        <v>51</v>
      </c>
      <c r="C3" s="676" t="s">
        <v>50</v>
      </c>
      <c r="D3" s="861" t="s">
        <v>140</v>
      </c>
      <c r="E3" s="676" t="s">
        <v>233</v>
      </c>
      <c r="F3" s="677" t="s">
        <v>232</v>
      </c>
      <c r="K3" s="165"/>
    </row>
    <row r="4" spans="1:11" s="84" customFormat="1" ht="15.75">
      <c r="A4" s="740">
        <v>2005</v>
      </c>
      <c r="B4" s="300">
        <v>484</v>
      </c>
      <c r="C4" s="300">
        <v>3247</v>
      </c>
      <c r="D4" s="860">
        <f t="shared" ref="D4:D10" si="0">B4+C4</f>
        <v>3731</v>
      </c>
      <c r="E4" s="294">
        <f t="shared" ref="E4:E10" si="1">B4/D4</f>
        <v>0.12972393460198339</v>
      </c>
      <c r="F4" s="658">
        <f t="shared" ref="F4:F10" si="2">C4/D4</f>
        <v>0.87027606539801661</v>
      </c>
    </row>
    <row r="5" spans="1:11" s="84" customFormat="1" ht="15.75">
      <c r="A5" s="740">
        <v>2006</v>
      </c>
      <c r="B5" s="300">
        <v>960</v>
      </c>
      <c r="C5" s="300">
        <v>4575</v>
      </c>
      <c r="D5" s="860">
        <f t="shared" si="0"/>
        <v>5535</v>
      </c>
      <c r="E5" s="294">
        <f t="shared" si="1"/>
        <v>0.17344173441734417</v>
      </c>
      <c r="F5" s="658">
        <f t="shared" si="2"/>
        <v>0.82655826558265577</v>
      </c>
    </row>
    <row r="6" spans="1:11" s="84" customFormat="1" ht="15.75">
      <c r="A6" s="740">
        <v>2007</v>
      </c>
      <c r="B6" s="300">
        <v>1468</v>
      </c>
      <c r="C6" s="300">
        <v>7076</v>
      </c>
      <c r="D6" s="860">
        <f t="shared" si="0"/>
        <v>8544</v>
      </c>
      <c r="E6" s="294">
        <f t="shared" si="1"/>
        <v>0.17181647940074907</v>
      </c>
      <c r="F6" s="658">
        <f t="shared" si="2"/>
        <v>0.82818352059925093</v>
      </c>
    </row>
    <row r="7" spans="1:11" s="84" customFormat="1" ht="15.75">
      <c r="A7" s="740">
        <v>2008</v>
      </c>
      <c r="B7" s="300">
        <v>2080</v>
      </c>
      <c r="C7" s="300">
        <v>8897</v>
      </c>
      <c r="D7" s="860">
        <f t="shared" si="0"/>
        <v>10977</v>
      </c>
      <c r="E7" s="294">
        <f t="shared" si="1"/>
        <v>0.18948710941058577</v>
      </c>
      <c r="F7" s="658">
        <f t="shared" si="2"/>
        <v>0.81051289058941423</v>
      </c>
    </row>
    <row r="8" spans="1:11" s="84" customFormat="1" ht="15.75">
      <c r="A8" s="740">
        <v>2009</v>
      </c>
      <c r="B8" s="300">
        <v>3076</v>
      </c>
      <c r="C8" s="300">
        <v>11607</v>
      </c>
      <c r="D8" s="860">
        <f t="shared" si="0"/>
        <v>14683</v>
      </c>
      <c r="E8" s="294">
        <f t="shared" si="1"/>
        <v>0.20949397262139891</v>
      </c>
      <c r="F8" s="658">
        <f t="shared" si="2"/>
        <v>0.79050602737860109</v>
      </c>
    </row>
    <row r="9" spans="1:11" s="84" customFormat="1" ht="15.75">
      <c r="A9" s="740">
        <v>2010</v>
      </c>
      <c r="B9" s="300">
        <v>3940</v>
      </c>
      <c r="C9" s="300">
        <v>13516</v>
      </c>
      <c r="D9" s="860">
        <f t="shared" si="0"/>
        <v>17456</v>
      </c>
      <c r="E9" s="294">
        <f t="shared" si="1"/>
        <v>0.22571035747021082</v>
      </c>
      <c r="F9" s="658">
        <f t="shared" si="2"/>
        <v>0.77428964252978916</v>
      </c>
    </row>
    <row r="10" spans="1:11" s="84" customFormat="1" ht="15.75">
      <c r="A10" s="740">
        <v>2011</v>
      </c>
      <c r="B10" s="300">
        <v>5648</v>
      </c>
      <c r="C10" s="300">
        <v>16949</v>
      </c>
      <c r="D10" s="860">
        <f t="shared" si="0"/>
        <v>22597</v>
      </c>
      <c r="E10" s="294">
        <f t="shared" si="1"/>
        <v>0.24994468292251185</v>
      </c>
      <c r="F10" s="658">
        <f t="shared" si="2"/>
        <v>0.75005531707748818</v>
      </c>
      <c r="K10" s="25"/>
    </row>
    <row r="11" spans="1:11" s="84" customFormat="1" ht="15.75">
      <c r="A11" s="740">
        <v>2012</v>
      </c>
      <c r="B11" s="300">
        <v>7023</v>
      </c>
      <c r="C11" s="300">
        <v>19665</v>
      </c>
      <c r="D11" s="860">
        <f>B11+C11</f>
        <v>26688</v>
      </c>
      <c r="E11" s="294">
        <f>B11/D11</f>
        <v>0.26315197841726617</v>
      </c>
      <c r="F11" s="658">
        <f>C11/D11</f>
        <v>0.73684802158273377</v>
      </c>
      <c r="K11" s="25"/>
    </row>
    <row r="12" spans="1:11" s="84" customFormat="1" ht="15.75">
      <c r="A12" s="740">
        <v>2013</v>
      </c>
      <c r="B12" s="300">
        <v>7836</v>
      </c>
      <c r="C12" s="300">
        <v>20799</v>
      </c>
      <c r="D12" s="860">
        <f>B12+C12</f>
        <v>28635</v>
      </c>
      <c r="E12" s="294">
        <f>B12/D12</f>
        <v>0.27365112624410687</v>
      </c>
      <c r="F12" s="658">
        <f>C12/D12</f>
        <v>0.72634887375589319</v>
      </c>
      <c r="K12" s="25"/>
    </row>
    <row r="13" spans="1:11" s="84" customFormat="1" ht="15.75">
      <c r="A13" s="740">
        <v>2014</v>
      </c>
      <c r="B13" s="300">
        <v>8866</v>
      </c>
      <c r="C13" s="300">
        <v>22166</v>
      </c>
      <c r="D13" s="860">
        <f>B13+C13</f>
        <v>31032</v>
      </c>
      <c r="E13" s="294">
        <f>B13/D13</f>
        <v>0.28570507862851252</v>
      </c>
      <c r="F13" s="658">
        <f>C13/D13</f>
        <v>0.71429492137148753</v>
      </c>
      <c r="K13" s="25"/>
    </row>
    <row r="14" spans="1:11" s="84" customFormat="1" ht="15.75">
      <c r="A14" s="740" t="s">
        <v>632</v>
      </c>
      <c r="B14" s="300">
        <v>605</v>
      </c>
      <c r="C14" s="300">
        <v>1643</v>
      </c>
      <c r="D14" s="860">
        <f>B14+C14</f>
        <v>2248</v>
      </c>
      <c r="E14" s="294">
        <f>B14/D14</f>
        <v>0.26912811387900354</v>
      </c>
      <c r="F14" s="658">
        <f>C14/D14</f>
        <v>0.73087188612099641</v>
      </c>
      <c r="K14" s="25"/>
    </row>
    <row r="15" spans="1:11" s="84" customFormat="1" ht="15.75">
      <c r="A15" s="833" t="s">
        <v>23</v>
      </c>
      <c r="B15" s="680">
        <f>SUM(B4:B14)</f>
        <v>41986</v>
      </c>
      <c r="C15" s="680">
        <f>SUM(C4:C14)</f>
        <v>130140</v>
      </c>
      <c r="D15" s="680">
        <f>SUM(D4:D14)</f>
        <v>172126</v>
      </c>
      <c r="E15" s="862">
        <f>AVERAGE(E4:E10)</f>
        <v>0.19280261012068342</v>
      </c>
      <c r="F15" s="863">
        <f>AVERAGE(F4:F10)</f>
        <v>0.80719738987931655</v>
      </c>
      <c r="K15" s="44"/>
    </row>
    <row r="16" spans="1:11" s="84" customFormat="1" ht="15.75">
      <c r="H16" s="155"/>
      <c r="K16" s="44"/>
    </row>
    <row r="17" spans="11:11" s="84" customFormat="1">
      <c r="K17" s="25"/>
    </row>
    <row r="18" spans="11:11" s="84" customFormat="1">
      <c r="K18" s="25"/>
    </row>
    <row r="19" spans="11:11" s="84" customFormat="1">
      <c r="K19" s="25"/>
    </row>
    <row r="20" spans="11:11" s="84" customFormat="1">
      <c r="K20" s="25"/>
    </row>
    <row r="21" spans="11:11" s="84" customFormat="1">
      <c r="K21" s="25"/>
    </row>
    <row r="22" spans="11:11" s="84" customFormat="1">
      <c r="K22" s="25"/>
    </row>
    <row r="23" spans="11:11" s="84" customFormat="1">
      <c r="K23" s="25"/>
    </row>
    <row r="24" spans="11:11" s="84" customFormat="1">
      <c r="K24" s="25"/>
    </row>
    <row r="25" spans="11:11" s="84" customFormat="1">
      <c r="K25" s="25"/>
    </row>
    <row r="26" spans="11:11" s="84" customFormat="1">
      <c r="K26" s="25"/>
    </row>
    <row r="27" spans="11:11" s="84" customFormat="1">
      <c r="K27" s="25"/>
    </row>
    <row r="28" spans="11:11" s="84" customFormat="1">
      <c r="K28" s="25"/>
    </row>
    <row r="29" spans="11:11" s="84" customFormat="1">
      <c r="K29" s="25"/>
    </row>
    <row r="30" spans="11:11" s="84" customFormat="1">
      <c r="K30" s="25"/>
    </row>
    <row r="31" spans="11:11" s="84" customFormat="1">
      <c r="K31" s="25"/>
    </row>
    <row r="32" spans="11:11" s="84" customFormat="1">
      <c r="K32" s="25"/>
    </row>
    <row r="33" spans="3:11" s="84" customFormat="1">
      <c r="K33" s="25"/>
    </row>
    <row r="34" spans="3:11" s="84" customFormat="1">
      <c r="K34" s="25"/>
    </row>
    <row r="35" spans="3:11" s="84" customFormat="1"/>
    <row r="36" spans="3:11" s="84" customFormat="1"/>
    <row r="37" spans="3:11" s="84" customFormat="1"/>
    <row r="38" spans="3:11" s="84" customFormat="1" ht="15.75">
      <c r="C38" s="145"/>
    </row>
    <row r="39" spans="3:11" s="84" customFormat="1"/>
    <row r="40" spans="3:11" s="84" customFormat="1"/>
    <row r="41" spans="3:11" s="84" customFormat="1"/>
    <row r="42" spans="3:11" s="84" customFormat="1"/>
    <row r="43" spans="3:11" s="84" customFormat="1"/>
    <row r="44" spans="3:11" s="84" customFormat="1"/>
    <row r="45" spans="3:11" s="84" customFormat="1"/>
    <row r="46" spans="3:11" s="84" customFormat="1"/>
    <row r="47" spans="3:11" s="84" customFormat="1"/>
    <row r="48" spans="3:11" s="84" customFormat="1"/>
    <row r="49" spans="1:6" s="84" customFormat="1"/>
    <row r="50" spans="1:6">
      <c r="A50" s="84"/>
      <c r="B50" s="84"/>
      <c r="C50" s="84"/>
      <c r="D50" s="84"/>
      <c r="E50" s="84"/>
      <c r="F50" s="84"/>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N26"/>
  <sheetViews>
    <sheetView showGridLines="0" view="pageBreakPreview" zoomScale="73" zoomScaleNormal="100" zoomScaleSheetLayoutView="73" workbookViewId="0">
      <selection activeCell="Q1" sqref="Q1:U25"/>
    </sheetView>
  </sheetViews>
  <sheetFormatPr baseColWidth="10" defaultColWidth="11.42578125" defaultRowHeight="15"/>
  <cols>
    <col min="1" max="1" width="10.28515625" style="44" customWidth="1"/>
    <col min="2" max="2" width="10.7109375" style="44" customWidth="1"/>
    <col min="3" max="6" width="9" style="44" bestFit="1" customWidth="1"/>
    <col min="7" max="7" width="10.28515625" style="44" customWidth="1"/>
    <col min="8" max="8" width="10.140625" style="44" bestFit="1" customWidth="1"/>
    <col min="9" max="9" width="17.5703125" style="44" customWidth="1"/>
    <col min="10" max="10" width="16.28515625" style="44" customWidth="1"/>
    <col min="11" max="11" width="16" style="44" customWidth="1"/>
    <col min="12" max="12" width="16.42578125" style="44" customWidth="1"/>
    <col min="13" max="13" width="16.28515625" style="44" customWidth="1"/>
    <col min="14" max="14" width="16.42578125" style="44" customWidth="1"/>
    <col min="15" max="15" width="4.140625" style="44" customWidth="1"/>
    <col min="16" max="16" width="1.85546875" style="44" customWidth="1"/>
    <col min="17" max="20" width="11.42578125" style="44"/>
    <col min="21" max="21" width="15.7109375" style="44" customWidth="1"/>
    <col min="22" max="16384" width="11.42578125" style="44"/>
  </cols>
  <sheetData>
    <row r="1" spans="1:14" s="84" customFormat="1" ht="60.75" customHeight="1">
      <c r="A1" s="1794"/>
      <c r="B1" s="1794"/>
      <c r="C1" s="1794"/>
      <c r="D1" s="1794"/>
      <c r="E1" s="1794"/>
      <c r="F1" s="1794"/>
      <c r="G1" s="1794"/>
      <c r="H1" s="1794"/>
      <c r="I1" s="1794"/>
      <c r="J1" s="1794"/>
      <c r="K1" s="1794"/>
      <c r="L1" s="1794"/>
      <c r="M1" s="1794"/>
      <c r="N1" s="1794"/>
    </row>
    <row r="2" spans="1:14" s="84" customFormat="1" ht="6" customHeight="1">
      <c r="A2" s="1110"/>
      <c r="B2" s="1091"/>
      <c r="C2" s="1091"/>
      <c r="D2" s="1091"/>
      <c r="E2" s="1091"/>
      <c r="F2" s="1091"/>
      <c r="G2" s="1091"/>
      <c r="H2" s="1091"/>
      <c r="I2" s="1091"/>
      <c r="J2" s="1091"/>
      <c r="K2" s="1091"/>
      <c r="L2" s="1091"/>
      <c r="M2" s="1091"/>
      <c r="N2" s="1111"/>
    </row>
    <row r="3" spans="1:14" s="144" customFormat="1" ht="61.5" customHeight="1">
      <c r="A3" s="832" t="s">
        <v>0</v>
      </c>
      <c r="B3" s="854" t="s">
        <v>349</v>
      </c>
      <c r="C3" s="854" t="s">
        <v>348</v>
      </c>
      <c r="D3" s="854" t="s">
        <v>347</v>
      </c>
      <c r="E3" s="854" t="s">
        <v>346</v>
      </c>
      <c r="F3" s="854" t="s">
        <v>345</v>
      </c>
      <c r="G3" s="854" t="s">
        <v>344</v>
      </c>
      <c r="H3" s="854" t="s">
        <v>143</v>
      </c>
      <c r="I3" s="854" t="s">
        <v>343</v>
      </c>
      <c r="J3" s="854" t="s">
        <v>452</v>
      </c>
      <c r="K3" s="854" t="s">
        <v>453</v>
      </c>
      <c r="L3" s="854" t="s">
        <v>342</v>
      </c>
      <c r="M3" s="854" t="s">
        <v>341</v>
      </c>
      <c r="N3" s="855" t="s">
        <v>340</v>
      </c>
    </row>
    <row r="4" spans="1:14" s="84" customFormat="1" ht="15.75">
      <c r="A4" s="856">
        <v>2005</v>
      </c>
      <c r="B4" s="926">
        <v>145</v>
      </c>
      <c r="C4" s="926">
        <v>345</v>
      </c>
      <c r="D4" s="926">
        <v>1445</v>
      </c>
      <c r="E4" s="926">
        <v>1013</v>
      </c>
      <c r="F4" s="926">
        <v>511</v>
      </c>
      <c r="G4" s="926">
        <v>275</v>
      </c>
      <c r="H4" s="938">
        <f t="shared" ref="H4:H10" si="0">SUM(B4:G4)</f>
        <v>3734</v>
      </c>
      <c r="I4" s="939">
        <f t="shared" ref="I4:I15" si="1">B4/H4</f>
        <v>3.8832351365827529E-2</v>
      </c>
      <c r="J4" s="939">
        <f t="shared" ref="J4:J15" si="2">C4/H4</f>
        <v>9.2394215318693088E-2</v>
      </c>
      <c r="K4" s="939">
        <f t="shared" ref="K4:K15" si="3">D4/H4</f>
        <v>0.38698446705945366</v>
      </c>
      <c r="L4" s="939">
        <f t="shared" ref="L4:L15" si="4">E4/H4</f>
        <v>0.27129084092126404</v>
      </c>
      <c r="M4" s="939">
        <f t="shared" ref="M4:M15" si="5">F4/H4</f>
        <v>0.1368505623995715</v>
      </c>
      <c r="N4" s="943">
        <f t="shared" ref="N4:N15" si="6">G4/H4</f>
        <v>7.3647562935190147E-2</v>
      </c>
    </row>
    <row r="5" spans="1:14" s="84" customFormat="1" ht="15.75">
      <c r="A5" s="856" t="s">
        <v>264</v>
      </c>
      <c r="B5" s="926">
        <v>37</v>
      </c>
      <c r="C5" s="926">
        <v>740</v>
      </c>
      <c r="D5" s="926">
        <v>2043</v>
      </c>
      <c r="E5" s="926">
        <v>1536</v>
      </c>
      <c r="F5" s="926">
        <v>808</v>
      </c>
      <c r="G5" s="926">
        <v>371</v>
      </c>
      <c r="H5" s="938">
        <f t="shared" si="0"/>
        <v>5535</v>
      </c>
      <c r="I5" s="939">
        <f t="shared" si="1"/>
        <v>6.6847335140018064E-3</v>
      </c>
      <c r="J5" s="939">
        <f t="shared" si="2"/>
        <v>0.13369467028003612</v>
      </c>
      <c r="K5" s="939">
        <f t="shared" si="3"/>
        <v>0.36910569105691055</v>
      </c>
      <c r="L5" s="939">
        <f t="shared" si="4"/>
        <v>0.27750677506775068</v>
      </c>
      <c r="M5" s="939">
        <f t="shared" si="5"/>
        <v>0.14598012646793135</v>
      </c>
      <c r="N5" s="943">
        <f t="shared" si="6"/>
        <v>6.7028003613369469E-2</v>
      </c>
    </row>
    <row r="6" spans="1:14" s="84" customFormat="1" ht="15.75">
      <c r="A6" s="856" t="s">
        <v>179</v>
      </c>
      <c r="B6" s="926">
        <v>9</v>
      </c>
      <c r="C6" s="926">
        <v>1413</v>
      </c>
      <c r="D6" s="926">
        <v>3274</v>
      </c>
      <c r="E6" s="926">
        <v>2149</v>
      </c>
      <c r="F6" s="926">
        <v>1123</v>
      </c>
      <c r="G6" s="926">
        <v>571</v>
      </c>
      <c r="H6" s="938">
        <f t="shared" si="0"/>
        <v>8539</v>
      </c>
      <c r="I6" s="939">
        <f t="shared" si="1"/>
        <v>1.0539875863684273E-3</v>
      </c>
      <c r="J6" s="939">
        <f t="shared" si="2"/>
        <v>0.16547605105984306</v>
      </c>
      <c r="K6" s="939">
        <f t="shared" si="3"/>
        <v>0.38341726197447007</v>
      </c>
      <c r="L6" s="939">
        <f t="shared" si="4"/>
        <v>0.2516688136784167</v>
      </c>
      <c r="M6" s="939">
        <f t="shared" si="5"/>
        <v>0.13151422883241598</v>
      </c>
      <c r="N6" s="943">
        <f t="shared" si="6"/>
        <v>6.6869656868485769E-2</v>
      </c>
    </row>
    <row r="7" spans="1:14" s="84" customFormat="1" ht="15.75">
      <c r="A7" s="856" t="s">
        <v>235</v>
      </c>
      <c r="B7" s="926">
        <v>7</v>
      </c>
      <c r="C7" s="926">
        <v>1031</v>
      </c>
      <c r="D7" s="926">
        <v>4066</v>
      </c>
      <c r="E7" s="926">
        <v>3112</v>
      </c>
      <c r="F7" s="926">
        <v>1708</v>
      </c>
      <c r="G7" s="926">
        <v>1053</v>
      </c>
      <c r="H7" s="938">
        <f t="shared" si="0"/>
        <v>10977</v>
      </c>
      <c r="I7" s="939">
        <f t="shared" si="1"/>
        <v>6.3769700282408678E-4</v>
      </c>
      <c r="J7" s="939">
        <f t="shared" si="2"/>
        <v>9.3923658558804773E-2</v>
      </c>
      <c r="K7" s="939">
        <f t="shared" si="3"/>
        <v>0.37041085906896237</v>
      </c>
      <c r="L7" s="939">
        <f t="shared" si="4"/>
        <v>0.28350186754122253</v>
      </c>
      <c r="M7" s="939">
        <f t="shared" si="5"/>
        <v>0.15559806868907716</v>
      </c>
      <c r="N7" s="943">
        <f t="shared" si="6"/>
        <v>9.5927849139109039E-2</v>
      </c>
    </row>
    <row r="8" spans="1:14" s="84" customFormat="1" ht="15.75">
      <c r="A8" s="856" t="s">
        <v>236</v>
      </c>
      <c r="B8" s="926">
        <v>2</v>
      </c>
      <c r="C8" s="926">
        <v>2024</v>
      </c>
      <c r="D8" s="926">
        <v>5530</v>
      </c>
      <c r="E8" s="926">
        <v>3839</v>
      </c>
      <c r="F8" s="926">
        <v>2108</v>
      </c>
      <c r="G8" s="926">
        <v>1181</v>
      </c>
      <c r="H8" s="938">
        <f t="shared" si="0"/>
        <v>14684</v>
      </c>
      <c r="I8" s="939">
        <f t="shared" si="1"/>
        <v>1.3620266957232362E-4</v>
      </c>
      <c r="J8" s="939">
        <f t="shared" si="2"/>
        <v>0.13783710160719151</v>
      </c>
      <c r="K8" s="939">
        <f t="shared" si="3"/>
        <v>0.37660038136747481</v>
      </c>
      <c r="L8" s="939">
        <f t="shared" si="4"/>
        <v>0.26144102424407517</v>
      </c>
      <c r="M8" s="939">
        <f t="shared" si="5"/>
        <v>0.14355761372922909</v>
      </c>
      <c r="N8" s="943">
        <f t="shared" si="6"/>
        <v>8.0427676382457097E-2</v>
      </c>
    </row>
    <row r="9" spans="1:14" s="84" customFormat="1" ht="15.75">
      <c r="A9" s="856" t="s">
        <v>197</v>
      </c>
      <c r="B9" s="926">
        <v>0</v>
      </c>
      <c r="C9" s="926">
        <v>3154</v>
      </c>
      <c r="D9" s="926">
        <v>6350</v>
      </c>
      <c r="E9" s="926">
        <v>4256</v>
      </c>
      <c r="F9" s="926">
        <v>2407</v>
      </c>
      <c r="G9" s="926">
        <v>1289</v>
      </c>
      <c r="H9" s="938">
        <f t="shared" si="0"/>
        <v>17456</v>
      </c>
      <c r="I9" s="939">
        <f t="shared" si="1"/>
        <v>0</v>
      </c>
      <c r="J9" s="939">
        <f t="shared" si="2"/>
        <v>0.18068285976168652</v>
      </c>
      <c r="K9" s="939">
        <f t="shared" si="3"/>
        <v>0.3637717690192484</v>
      </c>
      <c r="L9" s="939">
        <f t="shared" si="4"/>
        <v>0.24381301558203483</v>
      </c>
      <c r="M9" s="939">
        <f t="shared" si="5"/>
        <v>0.13788955087076077</v>
      </c>
      <c r="N9" s="943">
        <f t="shared" si="6"/>
        <v>7.3842804766269476E-2</v>
      </c>
    </row>
    <row r="10" spans="1:14" s="84" customFormat="1" ht="15.75">
      <c r="A10" s="856">
        <v>2011</v>
      </c>
      <c r="B10" s="926">
        <v>6</v>
      </c>
      <c r="C10" s="926">
        <v>4931</v>
      </c>
      <c r="D10" s="926">
        <v>7715</v>
      </c>
      <c r="E10" s="926">
        <v>5319</v>
      </c>
      <c r="F10" s="926">
        <v>3017</v>
      </c>
      <c r="G10" s="926">
        <v>1609</v>
      </c>
      <c r="H10" s="938">
        <f t="shared" si="0"/>
        <v>22597</v>
      </c>
      <c r="I10" s="939">
        <f t="shared" si="1"/>
        <v>2.6552197194317829E-4</v>
      </c>
      <c r="J10" s="939">
        <f t="shared" si="2"/>
        <v>0.21821480727530204</v>
      </c>
      <c r="K10" s="939">
        <f t="shared" si="3"/>
        <v>0.34141700225693677</v>
      </c>
      <c r="L10" s="939">
        <f t="shared" si="4"/>
        <v>0.23538522812762755</v>
      </c>
      <c r="M10" s="939">
        <f t="shared" si="5"/>
        <v>0.13351329822542815</v>
      </c>
      <c r="N10" s="943">
        <f t="shared" si="6"/>
        <v>7.1204142142762314E-2</v>
      </c>
    </row>
    <row r="11" spans="1:14" s="84" customFormat="1" ht="15.75">
      <c r="A11" s="856" t="s">
        <v>499</v>
      </c>
      <c r="B11" s="926">
        <v>18</v>
      </c>
      <c r="C11" s="926">
        <v>6875</v>
      </c>
      <c r="D11" s="926">
        <v>8611</v>
      </c>
      <c r="E11" s="926">
        <v>5883</v>
      </c>
      <c r="F11" s="926">
        <v>3457</v>
      </c>
      <c r="G11" s="926">
        <v>1845</v>
      </c>
      <c r="H11" s="938">
        <f>SUM(B11:G11)</f>
        <v>26689</v>
      </c>
      <c r="I11" s="939">
        <f>B11/H11</f>
        <v>6.7443516055303682E-4</v>
      </c>
      <c r="J11" s="939">
        <f>C11/H11</f>
        <v>0.25759676271122933</v>
      </c>
      <c r="K11" s="939">
        <f>D11/H11</f>
        <v>0.32264228708456666</v>
      </c>
      <c r="L11" s="939">
        <f>E11/H11</f>
        <v>0.22042789164075088</v>
      </c>
      <c r="M11" s="939">
        <f>F11/H11</f>
        <v>0.12952901944621378</v>
      </c>
      <c r="N11" s="943">
        <f>G11/H11</f>
        <v>6.912960395668627E-2</v>
      </c>
    </row>
    <row r="12" spans="1:14" s="84" customFormat="1" ht="15.75">
      <c r="A12" s="856" t="s">
        <v>619</v>
      </c>
      <c r="B12" s="926">
        <v>34</v>
      </c>
      <c r="C12" s="926">
        <v>8429</v>
      </c>
      <c r="D12" s="926">
        <v>8946</v>
      </c>
      <c r="E12" s="926">
        <v>5876</v>
      </c>
      <c r="F12" s="926">
        <v>3510</v>
      </c>
      <c r="G12" s="926">
        <v>1840</v>
      </c>
      <c r="H12" s="938">
        <f>SUM(B12:G12)</f>
        <v>28635</v>
      </c>
      <c r="I12" s="939">
        <f>B12/H12</f>
        <v>1.1873581281648332E-3</v>
      </c>
      <c r="J12" s="939">
        <f>C12/H12</f>
        <v>0.29436004889121703</v>
      </c>
      <c r="K12" s="939">
        <f>D12/H12</f>
        <v>0.31241487689889996</v>
      </c>
      <c r="L12" s="939">
        <f>E12/H12</f>
        <v>0.20520342238519296</v>
      </c>
      <c r="M12" s="939">
        <f>F12/H12</f>
        <v>0.12257726558407543</v>
      </c>
      <c r="N12" s="943">
        <f>G12/H12</f>
        <v>6.4257028112449793E-2</v>
      </c>
    </row>
    <row r="13" spans="1:14" s="84" customFormat="1" ht="15.75">
      <c r="A13" s="856" t="s">
        <v>628</v>
      </c>
      <c r="B13" s="926">
        <v>80</v>
      </c>
      <c r="C13" s="926">
        <v>9624</v>
      </c>
      <c r="D13" s="926">
        <v>8806</v>
      </c>
      <c r="E13" s="926">
        <v>6269</v>
      </c>
      <c r="F13" s="926">
        <v>3876</v>
      </c>
      <c r="G13" s="926">
        <v>2377</v>
      </c>
      <c r="H13" s="938">
        <f>SUM(B13:G13)</f>
        <v>31032</v>
      </c>
      <c r="I13" s="939">
        <f>B13/H13</f>
        <v>2.5779840164990978E-3</v>
      </c>
      <c r="J13" s="939">
        <f>C13/H13</f>
        <v>0.31013147718484146</v>
      </c>
      <c r="K13" s="939">
        <f>D13/H13</f>
        <v>0.28377159061613816</v>
      </c>
      <c r="L13" s="939">
        <f>E13/H13</f>
        <v>0.20201727249291054</v>
      </c>
      <c r="M13" s="939">
        <f>F13/H13</f>
        <v>0.12490332559938129</v>
      </c>
      <c r="N13" s="943">
        <f>G13/H13</f>
        <v>7.6598350090229445E-2</v>
      </c>
    </row>
    <row r="14" spans="1:14" s="84" customFormat="1" ht="15.75">
      <c r="A14" s="856" t="s">
        <v>632</v>
      </c>
      <c r="B14" s="926">
        <v>15</v>
      </c>
      <c r="C14" s="926">
        <v>809</v>
      </c>
      <c r="D14" s="926">
        <v>676</v>
      </c>
      <c r="E14" s="926">
        <v>411</v>
      </c>
      <c r="F14" s="926">
        <v>239</v>
      </c>
      <c r="G14" s="926">
        <v>98</v>
      </c>
      <c r="H14" s="938">
        <f>SUM(B14:G14)</f>
        <v>2248</v>
      </c>
      <c r="I14" s="939">
        <f>B14/H14</f>
        <v>6.6725978647686835E-3</v>
      </c>
      <c r="J14" s="939">
        <f>C14/H14</f>
        <v>0.35987544483985767</v>
      </c>
      <c r="K14" s="939">
        <f>D14/H14</f>
        <v>0.30071174377224197</v>
      </c>
      <c r="L14" s="939">
        <f>E14/H14</f>
        <v>0.18282918149466193</v>
      </c>
      <c r="M14" s="939">
        <f>F14/H14</f>
        <v>0.10631672597864769</v>
      </c>
      <c r="N14" s="943">
        <f>G14/H14</f>
        <v>4.3594306049822062E-2</v>
      </c>
    </row>
    <row r="15" spans="1:14" s="84" customFormat="1" ht="15.75">
      <c r="A15" s="849" t="s">
        <v>23</v>
      </c>
      <c r="B15" s="940">
        <f>SUM(B4:B14)</f>
        <v>353</v>
      </c>
      <c r="C15" s="940">
        <f t="shared" ref="C15:H15" si="7">SUM(C4:C14)</f>
        <v>39375</v>
      </c>
      <c r="D15" s="940">
        <f t="shared" si="7"/>
        <v>57462</v>
      </c>
      <c r="E15" s="940">
        <f t="shared" si="7"/>
        <v>39663</v>
      </c>
      <c r="F15" s="940">
        <f t="shared" si="7"/>
        <v>22764</v>
      </c>
      <c r="G15" s="940">
        <f t="shared" si="7"/>
        <v>12509</v>
      </c>
      <c r="H15" s="940">
        <f t="shared" si="7"/>
        <v>172126</v>
      </c>
      <c r="I15" s="941">
        <f t="shared" si="1"/>
        <v>2.0508232341424305E-3</v>
      </c>
      <c r="J15" s="941">
        <f t="shared" si="2"/>
        <v>0.22875684091886175</v>
      </c>
      <c r="K15" s="941">
        <f t="shared" si="3"/>
        <v>0.33383684045408596</v>
      </c>
      <c r="L15" s="941">
        <f t="shared" si="4"/>
        <v>0.23043003381243973</v>
      </c>
      <c r="M15" s="941">
        <f t="shared" si="5"/>
        <v>0.13225195496322462</v>
      </c>
      <c r="N15" s="942">
        <f t="shared" si="6"/>
        <v>7.2673506617245504E-2</v>
      </c>
    </row>
    <row r="16" spans="1:14" s="84" customFormat="1"/>
    <row r="17" spans="10:10" s="84" customFormat="1">
      <c r="J17" s="224"/>
    </row>
    <row r="18" spans="10:10" s="84" customFormat="1"/>
    <row r="19" spans="10:10" s="84" customFormat="1"/>
    <row r="20" spans="10:10" s="84" customFormat="1"/>
    <row r="21" spans="10:10" s="84" customFormat="1"/>
    <row r="22" spans="10:10" s="84" customFormat="1"/>
    <row r="23" spans="10:10" s="84" customFormat="1"/>
    <row r="24" spans="10:10" s="84" customFormat="1"/>
    <row r="25" spans="10:10" s="84" customFormat="1"/>
    <row r="26" spans="10:10" s="84" customFormat="1"/>
  </sheetData>
  <mergeCells count="1">
    <mergeCell ref="A1:N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6"/>
  <sheetViews>
    <sheetView showGridLines="0" view="pageBreakPreview" zoomScale="70" zoomScaleNormal="100" zoomScaleSheetLayoutView="70" workbookViewId="0">
      <selection activeCell="O19" sqref="O19"/>
    </sheetView>
  </sheetViews>
  <sheetFormatPr baseColWidth="10" defaultColWidth="11.42578125" defaultRowHeight="15"/>
  <cols>
    <col min="1" max="1" width="13.140625" style="44" customWidth="1"/>
    <col min="2" max="4" width="12.28515625" style="44" customWidth="1"/>
    <col min="5" max="5" width="14.42578125" style="44" customWidth="1"/>
    <col min="6" max="6" width="14.85546875" style="44" customWidth="1"/>
    <col min="7" max="7" width="12.140625" style="44" customWidth="1"/>
    <col min="8" max="8" width="13.7109375" style="44" customWidth="1"/>
    <col min="9" max="9" width="14.7109375" style="44" customWidth="1"/>
    <col min="10" max="10" width="15" style="44" customWidth="1"/>
    <col min="11" max="11" width="14.42578125" style="44" customWidth="1"/>
    <col min="12" max="12" width="16.7109375" style="44" customWidth="1"/>
    <col min="13" max="13" width="13.42578125" style="44" customWidth="1"/>
    <col min="14" max="14" width="3.5703125" style="44" customWidth="1"/>
    <col min="15" max="15" width="37.85546875" style="44" customWidth="1"/>
    <col min="16" max="16384" width="11.42578125" style="44"/>
  </cols>
  <sheetData>
    <row r="1" spans="1:13" s="84" customFormat="1" ht="67.5" customHeight="1">
      <c r="A1" s="1794"/>
      <c r="B1" s="1794"/>
      <c r="C1" s="1794"/>
      <c r="D1" s="1794"/>
      <c r="E1" s="1794"/>
      <c r="F1" s="1794"/>
      <c r="G1" s="1794"/>
      <c r="H1" s="1794"/>
      <c r="I1" s="1794"/>
      <c r="J1" s="1794"/>
      <c r="K1" s="1794"/>
      <c r="L1" s="1794"/>
      <c r="M1" s="1794"/>
    </row>
    <row r="2" spans="1:13" s="84" customFormat="1" ht="3.75" customHeight="1">
      <c r="A2" s="144"/>
      <c r="B2" s="144"/>
      <c r="C2" s="144"/>
      <c r="D2" s="144"/>
      <c r="E2" s="144"/>
      <c r="F2" s="144"/>
      <c r="G2" s="144"/>
      <c r="H2" s="144"/>
      <c r="I2" s="144"/>
      <c r="J2" s="144"/>
      <c r="K2" s="144"/>
      <c r="L2" s="144"/>
      <c r="M2" s="144"/>
    </row>
    <row r="3" spans="1:13" s="144" customFormat="1" ht="31.5">
      <c r="A3" s="833" t="s">
        <v>0</v>
      </c>
      <c r="B3" s="839" t="s">
        <v>367</v>
      </c>
      <c r="C3" s="839" t="s">
        <v>366</v>
      </c>
      <c r="D3" s="839" t="s">
        <v>365</v>
      </c>
      <c r="E3" s="839" t="s">
        <v>364</v>
      </c>
      <c r="F3" s="839" t="s">
        <v>257</v>
      </c>
      <c r="G3" s="834" t="s">
        <v>143</v>
      </c>
      <c r="H3" s="839" t="s">
        <v>363</v>
      </c>
      <c r="I3" s="839" t="s">
        <v>362</v>
      </c>
      <c r="J3" s="839" t="s">
        <v>361</v>
      </c>
      <c r="K3" s="839" t="s">
        <v>360</v>
      </c>
      <c r="L3" s="840" t="s">
        <v>319</v>
      </c>
    </row>
    <row r="4" spans="1:13" s="84" customFormat="1" ht="15.75">
      <c r="A4" s="641">
        <v>2005</v>
      </c>
      <c r="B4" s="866">
        <v>15</v>
      </c>
      <c r="C4" s="866">
        <v>174</v>
      </c>
      <c r="D4" s="866">
        <v>220</v>
      </c>
      <c r="E4" s="866">
        <v>27</v>
      </c>
      <c r="F4" s="866">
        <v>3295</v>
      </c>
      <c r="G4" s="871">
        <f t="shared" ref="G4:G10" si="0">SUM(B4:F4)</f>
        <v>3731</v>
      </c>
      <c r="H4" s="803">
        <f t="shared" ref="H4:H15" si="1">B4/G4</f>
        <v>4.0203698740284106E-3</v>
      </c>
      <c r="I4" s="803">
        <f t="shared" ref="I4:I15" si="2">C4/G4</f>
        <v>4.6636290538729565E-2</v>
      </c>
      <c r="J4" s="803">
        <f t="shared" ref="J4:J15" si="3">D4/G4</f>
        <v>5.8965424819083359E-2</v>
      </c>
      <c r="K4" s="803">
        <f t="shared" ref="K4:K15" si="4">E4/G4</f>
        <v>7.2366657732511391E-3</v>
      </c>
      <c r="L4" s="870">
        <f t="shared" ref="L4:L15" si="5">F4/G4</f>
        <v>0.88314124899490754</v>
      </c>
    </row>
    <row r="5" spans="1:13" s="84" customFormat="1" ht="15.75">
      <c r="A5" s="641" t="s">
        <v>264</v>
      </c>
      <c r="B5" s="866">
        <v>25</v>
      </c>
      <c r="C5" s="866">
        <v>306</v>
      </c>
      <c r="D5" s="866">
        <v>376</v>
      </c>
      <c r="E5" s="866">
        <v>49</v>
      </c>
      <c r="F5" s="866">
        <v>4779</v>
      </c>
      <c r="G5" s="871">
        <f t="shared" si="0"/>
        <v>5535</v>
      </c>
      <c r="H5" s="803">
        <f t="shared" si="1"/>
        <v>4.5167118337850042E-3</v>
      </c>
      <c r="I5" s="803">
        <f t="shared" si="2"/>
        <v>5.5284552845528454E-2</v>
      </c>
      <c r="J5" s="803">
        <f t="shared" si="3"/>
        <v>6.793134598012647E-2</v>
      </c>
      <c r="K5" s="803">
        <f t="shared" si="4"/>
        <v>8.8527551942186086E-3</v>
      </c>
      <c r="L5" s="870">
        <f t="shared" si="5"/>
        <v>0.86341463414634145</v>
      </c>
    </row>
    <row r="6" spans="1:13" s="84" customFormat="1" ht="15.75">
      <c r="A6" s="641" t="s">
        <v>179</v>
      </c>
      <c r="B6" s="866">
        <v>155</v>
      </c>
      <c r="C6" s="866">
        <v>823</v>
      </c>
      <c r="D6" s="866">
        <v>951</v>
      </c>
      <c r="E6" s="866">
        <v>190</v>
      </c>
      <c r="F6" s="866">
        <v>6425</v>
      </c>
      <c r="G6" s="871">
        <f t="shared" si="0"/>
        <v>8544</v>
      </c>
      <c r="H6" s="803">
        <f t="shared" si="1"/>
        <v>1.8141385767790261E-2</v>
      </c>
      <c r="I6" s="803">
        <f t="shared" si="2"/>
        <v>9.6324906367041205E-2</v>
      </c>
      <c r="J6" s="803">
        <f t="shared" si="3"/>
        <v>0.1113061797752809</v>
      </c>
      <c r="K6" s="803">
        <f t="shared" si="4"/>
        <v>2.2237827715355804E-2</v>
      </c>
      <c r="L6" s="870">
        <f t="shared" si="5"/>
        <v>0.75198970037453183</v>
      </c>
    </row>
    <row r="7" spans="1:13" s="84" customFormat="1" ht="15.75">
      <c r="A7" s="641" t="s">
        <v>235</v>
      </c>
      <c r="B7" s="866">
        <v>429</v>
      </c>
      <c r="C7" s="866">
        <v>3165</v>
      </c>
      <c r="D7" s="866">
        <v>4060</v>
      </c>
      <c r="E7" s="866">
        <v>874</v>
      </c>
      <c r="F7" s="866">
        <v>2449</v>
      </c>
      <c r="G7" s="871">
        <f t="shared" si="0"/>
        <v>10977</v>
      </c>
      <c r="H7" s="803">
        <f t="shared" si="1"/>
        <v>3.9081716315933317E-2</v>
      </c>
      <c r="I7" s="803">
        <f t="shared" si="2"/>
        <v>0.2883301448483192</v>
      </c>
      <c r="J7" s="803">
        <f t="shared" si="3"/>
        <v>0.36986426163797032</v>
      </c>
      <c r="K7" s="803">
        <f t="shared" si="4"/>
        <v>7.9621025781178828E-2</v>
      </c>
      <c r="L7" s="870">
        <f t="shared" si="5"/>
        <v>0.22310285141659833</v>
      </c>
    </row>
    <row r="8" spans="1:13" s="84" customFormat="1" ht="15.75">
      <c r="A8" s="641" t="s">
        <v>236</v>
      </c>
      <c r="B8" s="866">
        <v>480</v>
      </c>
      <c r="C8" s="866">
        <v>5693</v>
      </c>
      <c r="D8" s="866">
        <v>7010</v>
      </c>
      <c r="E8" s="866">
        <v>1500</v>
      </c>
      <c r="F8" s="866">
        <v>0</v>
      </c>
      <c r="G8" s="871">
        <f t="shared" si="0"/>
        <v>14683</v>
      </c>
      <c r="H8" s="803">
        <f t="shared" si="1"/>
        <v>3.2690866989034936E-2</v>
      </c>
      <c r="I8" s="803">
        <f t="shared" si="2"/>
        <v>0.38772730368453312</v>
      </c>
      <c r="J8" s="803">
        <f t="shared" si="3"/>
        <v>0.47742286998569777</v>
      </c>
      <c r="K8" s="803">
        <f t="shared" si="4"/>
        <v>0.10215895934073418</v>
      </c>
      <c r="L8" s="870">
        <f t="shared" si="5"/>
        <v>0</v>
      </c>
    </row>
    <row r="9" spans="1:13" s="84" customFormat="1" ht="15.75">
      <c r="A9" s="641" t="s">
        <v>197</v>
      </c>
      <c r="B9" s="866">
        <v>467</v>
      </c>
      <c r="C9" s="866">
        <v>6918</v>
      </c>
      <c r="D9" s="866">
        <v>8285</v>
      </c>
      <c r="E9" s="866">
        <v>1785</v>
      </c>
      <c r="F9" s="866">
        <v>1</v>
      </c>
      <c r="G9" s="871">
        <f t="shared" si="0"/>
        <v>17456</v>
      </c>
      <c r="H9" s="803">
        <f t="shared" si="1"/>
        <v>2.6752978918423466E-2</v>
      </c>
      <c r="I9" s="803">
        <f t="shared" si="2"/>
        <v>0.39631072410632445</v>
      </c>
      <c r="J9" s="803">
        <f t="shared" si="3"/>
        <v>0.47462190650779101</v>
      </c>
      <c r="K9" s="803">
        <f t="shared" si="4"/>
        <v>0.10225710357470211</v>
      </c>
      <c r="L9" s="870">
        <f t="shared" si="5"/>
        <v>5.7286892758936757E-5</v>
      </c>
    </row>
    <row r="10" spans="1:13" s="84" customFormat="1" ht="15.75">
      <c r="A10" s="641">
        <v>2011</v>
      </c>
      <c r="B10" s="866">
        <v>628</v>
      </c>
      <c r="C10" s="866">
        <v>8566</v>
      </c>
      <c r="D10" s="866">
        <v>11097</v>
      </c>
      <c r="E10" s="866">
        <v>2299</v>
      </c>
      <c r="F10" s="866">
        <v>7</v>
      </c>
      <c r="G10" s="871">
        <f t="shared" si="0"/>
        <v>22597</v>
      </c>
      <c r="H10" s="803">
        <f t="shared" si="1"/>
        <v>2.7791299730052663E-2</v>
      </c>
      <c r="I10" s="803">
        <f t="shared" si="2"/>
        <v>0.37907686861087753</v>
      </c>
      <c r="J10" s="803">
        <f t="shared" si="3"/>
        <v>0.49108288710890824</v>
      </c>
      <c r="K10" s="803">
        <f t="shared" si="4"/>
        <v>0.10173916891622782</v>
      </c>
      <c r="L10" s="870">
        <f t="shared" si="5"/>
        <v>3.0977563393370803E-4</v>
      </c>
    </row>
    <row r="11" spans="1:13" s="84" customFormat="1" ht="16.5" customHeight="1">
      <c r="A11" s="641" t="s">
        <v>499</v>
      </c>
      <c r="B11" s="866">
        <v>938</v>
      </c>
      <c r="C11" s="866">
        <v>9676</v>
      </c>
      <c r="D11" s="866">
        <v>13383</v>
      </c>
      <c r="E11" s="866">
        <v>2656</v>
      </c>
      <c r="F11" s="866">
        <v>35</v>
      </c>
      <c r="G11" s="871">
        <f>SUM(B11:F11)</f>
        <v>26688</v>
      </c>
      <c r="H11" s="803">
        <f>B11/G11</f>
        <v>3.5146882494004793E-2</v>
      </c>
      <c r="I11" s="803">
        <f>C11/G11</f>
        <v>0.36255995203836933</v>
      </c>
      <c r="J11" s="803">
        <f>D11/G11</f>
        <v>0.5014613309352518</v>
      </c>
      <c r="K11" s="803">
        <f>E11/G11</f>
        <v>9.9520383693045569E-2</v>
      </c>
      <c r="L11" s="870">
        <f>F11/G11</f>
        <v>1.3114508393285373E-3</v>
      </c>
    </row>
    <row r="12" spans="1:13" s="84" customFormat="1" ht="15.75">
      <c r="A12" s="641" t="s">
        <v>619</v>
      </c>
      <c r="B12" s="866">
        <v>1292</v>
      </c>
      <c r="C12" s="866">
        <v>9365</v>
      </c>
      <c r="D12" s="866">
        <v>15118</v>
      </c>
      <c r="E12" s="866">
        <v>2851</v>
      </c>
      <c r="F12" s="866">
        <v>9</v>
      </c>
      <c r="G12" s="871">
        <f>SUM(B12:F12)</f>
        <v>28635</v>
      </c>
      <c r="H12" s="803">
        <f>B12/G12</f>
        <v>4.5119608870263665E-2</v>
      </c>
      <c r="I12" s="803">
        <f>C12/G12</f>
        <v>0.32704731971363715</v>
      </c>
      <c r="J12" s="803">
        <f>D12/G12</f>
        <v>0.52795529945870434</v>
      </c>
      <c r="K12" s="803">
        <f>E12/G12</f>
        <v>9.9563471276409993E-2</v>
      </c>
      <c r="L12" s="870">
        <f>F12/G12</f>
        <v>3.143006809848088E-4</v>
      </c>
    </row>
    <row r="13" spans="1:13" s="84" customFormat="1" ht="15.75">
      <c r="A13" s="641" t="s">
        <v>628</v>
      </c>
      <c r="B13" s="866">
        <v>817</v>
      </c>
      <c r="C13" s="866">
        <v>10565</v>
      </c>
      <c r="D13" s="866">
        <v>16396</v>
      </c>
      <c r="E13" s="866">
        <v>3252</v>
      </c>
      <c r="F13" s="866">
        <v>2</v>
      </c>
      <c r="G13" s="871">
        <f>SUM(B13:F13)</f>
        <v>31032</v>
      </c>
      <c r="H13" s="803">
        <f>B13/G13</f>
        <v>2.6327661768497036E-2</v>
      </c>
      <c r="I13" s="803">
        <f>C13/G13</f>
        <v>0.34045501417891211</v>
      </c>
      <c r="J13" s="803">
        <f>D13/G13</f>
        <v>0.52835782418149002</v>
      </c>
      <c r="K13" s="803">
        <f>E13/G13</f>
        <v>0.10479505027068832</v>
      </c>
      <c r="L13" s="870">
        <f>F13/G13</f>
        <v>6.4449600412477446E-5</v>
      </c>
    </row>
    <row r="14" spans="1:13" s="84" customFormat="1" ht="15.75">
      <c r="A14" s="641" t="s">
        <v>632</v>
      </c>
      <c r="B14" s="866">
        <v>69</v>
      </c>
      <c r="C14" s="866">
        <v>681</v>
      </c>
      <c r="D14" s="866">
        <v>1310</v>
      </c>
      <c r="E14" s="866">
        <v>188</v>
      </c>
      <c r="F14" s="866">
        <v>0</v>
      </c>
      <c r="G14" s="872">
        <f>SUM(B14:F14)</f>
        <v>2248</v>
      </c>
      <c r="H14" s="803">
        <f>B14/G14</f>
        <v>3.0693950177935941E-2</v>
      </c>
      <c r="I14" s="803">
        <f>C14/G14</f>
        <v>0.3029359430604982</v>
      </c>
      <c r="J14" s="803">
        <f>D14/G14</f>
        <v>0.58274021352313166</v>
      </c>
      <c r="K14" s="803">
        <f>E14/G14</f>
        <v>8.3629893238434158E-2</v>
      </c>
      <c r="L14" s="870">
        <f>F14/G14</f>
        <v>0</v>
      </c>
    </row>
    <row r="15" spans="1:13" s="84" customFormat="1" ht="15.75">
      <c r="A15" s="865" t="s">
        <v>23</v>
      </c>
      <c r="B15" s="867">
        <f t="shared" ref="B15:G15" si="6">SUM(B4:B14)</f>
        <v>5315</v>
      </c>
      <c r="C15" s="867">
        <f t="shared" si="6"/>
        <v>55932</v>
      </c>
      <c r="D15" s="867">
        <f t="shared" si="6"/>
        <v>78206</v>
      </c>
      <c r="E15" s="867">
        <f t="shared" si="6"/>
        <v>15671</v>
      </c>
      <c r="F15" s="867">
        <f t="shared" si="6"/>
        <v>17002</v>
      </c>
      <c r="G15" s="864">
        <f t="shared" si="6"/>
        <v>172126</v>
      </c>
      <c r="H15" s="868">
        <f t="shared" si="1"/>
        <v>3.0878542463079372E-2</v>
      </c>
      <c r="I15" s="868">
        <f t="shared" si="2"/>
        <v>0.32494800320695305</v>
      </c>
      <c r="J15" s="868">
        <f t="shared" si="3"/>
        <v>0.45435320637207627</v>
      </c>
      <c r="K15" s="868">
        <f t="shared" si="4"/>
        <v>9.1043770261320198E-2</v>
      </c>
      <c r="L15" s="869">
        <f t="shared" si="5"/>
        <v>9.8776477696571122E-2</v>
      </c>
    </row>
    <row r="16" spans="1:13" s="84" customFormat="1">
      <c r="A16" s="152"/>
      <c r="B16" s="151"/>
      <c r="C16" s="151"/>
      <c r="D16" s="151"/>
      <c r="E16" s="151"/>
      <c r="F16" s="151"/>
    </row>
    <row r="17" spans="1:12" s="84" customFormat="1">
      <c r="A17" s="152"/>
      <c r="B17" s="151"/>
      <c r="C17" s="151"/>
      <c r="D17" s="151"/>
      <c r="E17" s="151"/>
      <c r="F17" s="151"/>
    </row>
    <row r="18" spans="1:12" s="84" customFormat="1">
      <c r="A18" s="152"/>
      <c r="B18" s="151"/>
      <c r="C18" s="151"/>
      <c r="D18" s="151"/>
      <c r="E18" s="151"/>
      <c r="F18" s="151"/>
    </row>
    <row r="19" spans="1:12" s="84" customFormat="1">
      <c r="A19" s="152"/>
      <c r="B19" s="151"/>
      <c r="C19" s="151"/>
      <c r="D19" s="151"/>
      <c r="E19" s="151"/>
      <c r="F19" s="151"/>
    </row>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c r="H26" s="84"/>
      <c r="I26" s="84"/>
      <c r="J26" s="84"/>
      <c r="K26" s="84"/>
      <c r="L26" s="84"/>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85" zoomScaleNormal="100" zoomScaleSheetLayoutView="85" workbookViewId="0">
      <selection activeCell="M31" sqref="M31"/>
    </sheetView>
  </sheetViews>
  <sheetFormatPr baseColWidth="10" defaultColWidth="11.42578125" defaultRowHeight="15"/>
  <cols>
    <col min="1" max="1" width="15.42578125" style="44" customWidth="1"/>
    <col min="2" max="2" width="11.28515625" style="44" customWidth="1"/>
    <col min="3" max="3" width="14" style="44" customWidth="1"/>
    <col min="4" max="4" width="13.85546875" style="44" customWidth="1"/>
    <col min="5" max="5" width="14.85546875" style="44" customWidth="1"/>
    <col min="6" max="6" width="15" style="44" customWidth="1"/>
    <col min="7" max="7" width="17.85546875" style="44" customWidth="1"/>
    <col min="8" max="8" width="19.5703125" style="44" customWidth="1"/>
    <col min="9" max="9" width="13.85546875" style="44" customWidth="1"/>
    <col min="10" max="10" width="17.140625" style="44" customWidth="1"/>
    <col min="11" max="12" width="18.42578125" style="44" customWidth="1"/>
    <col min="13" max="13" width="36.42578125" style="44" customWidth="1"/>
    <col min="14" max="16384" width="11.42578125" style="44"/>
  </cols>
  <sheetData>
    <row r="1" spans="1:13" s="84" customFormat="1" ht="68.25" customHeight="1">
      <c r="A1" s="1901"/>
      <c r="B1" s="1901"/>
      <c r="C1" s="1901"/>
      <c r="D1" s="1901"/>
      <c r="E1" s="1901"/>
      <c r="F1" s="1901"/>
      <c r="G1" s="1901"/>
      <c r="H1" s="1901"/>
      <c r="I1" s="1901"/>
      <c r="J1" s="1901"/>
      <c r="K1" s="1901"/>
      <c r="L1" s="1901"/>
    </row>
    <row r="2" spans="1:13" s="43" customFormat="1" ht="4.5" customHeight="1">
      <c r="A2" s="875"/>
      <c r="B2" s="188"/>
      <c r="C2" s="188"/>
      <c r="D2" s="188"/>
      <c r="E2" s="188"/>
      <c r="F2" s="188"/>
      <c r="G2" s="188"/>
      <c r="H2" s="188"/>
      <c r="I2" s="188"/>
      <c r="J2" s="188"/>
      <c r="K2" s="188"/>
      <c r="L2" s="188"/>
    </row>
    <row r="3" spans="1:13" s="84" customFormat="1" ht="50.25" customHeight="1">
      <c r="A3" s="873" t="s">
        <v>0</v>
      </c>
      <c r="B3" s="880" t="s">
        <v>328</v>
      </c>
      <c r="C3" s="854" t="s">
        <v>327</v>
      </c>
      <c r="D3" s="854" t="s">
        <v>143</v>
      </c>
      <c r="E3" s="854" t="s">
        <v>326</v>
      </c>
      <c r="F3" s="854" t="s">
        <v>325</v>
      </c>
      <c r="G3" s="854" t="s">
        <v>331</v>
      </c>
      <c r="H3" s="854" t="s">
        <v>330</v>
      </c>
      <c r="I3" s="854" t="s">
        <v>329</v>
      </c>
      <c r="J3" s="854" t="s">
        <v>472</v>
      </c>
      <c r="K3" s="855" t="s">
        <v>473</v>
      </c>
    </row>
    <row r="4" spans="1:13" s="84" customFormat="1" ht="15.75" hidden="1">
      <c r="A4" s="1235" t="s">
        <v>265</v>
      </c>
      <c r="B4" s="1236">
        <v>90</v>
      </c>
      <c r="C4" s="1237">
        <v>3640</v>
      </c>
      <c r="D4" s="1238">
        <f t="shared" ref="D4:D14" si="0">SUM(B4:C4)</f>
        <v>3730</v>
      </c>
      <c r="E4" s="1239">
        <f t="shared" ref="E4:E15" si="1">B4/D4</f>
        <v>2.4128686327077747E-2</v>
      </c>
      <c r="F4" s="1239">
        <f t="shared" ref="F4:F15" si="2">C4/D4</f>
        <v>0.97587131367292224</v>
      </c>
      <c r="G4" s="1240"/>
      <c r="H4" s="1240"/>
      <c r="I4" s="1240"/>
      <c r="J4" s="1240"/>
      <c r="K4" s="1241"/>
    </row>
    <row r="5" spans="1:13" s="84" customFormat="1" ht="15.75" hidden="1">
      <c r="A5" s="1235" t="s">
        <v>264</v>
      </c>
      <c r="B5" s="1236">
        <v>253</v>
      </c>
      <c r="C5" s="1237">
        <v>5282</v>
      </c>
      <c r="D5" s="1238">
        <f t="shared" si="0"/>
        <v>5535</v>
      </c>
      <c r="E5" s="1239">
        <f t="shared" si="1"/>
        <v>4.5709123757904244E-2</v>
      </c>
      <c r="F5" s="1239">
        <f t="shared" si="2"/>
        <v>0.95429087624209574</v>
      </c>
      <c r="G5" s="1240"/>
      <c r="H5" s="1240"/>
      <c r="I5" s="1240"/>
      <c r="J5" s="1240"/>
      <c r="K5" s="1241"/>
    </row>
    <row r="6" spans="1:13" s="84" customFormat="1" ht="15.75" hidden="1">
      <c r="A6" s="1235" t="s">
        <v>179</v>
      </c>
      <c r="B6" s="1236">
        <v>445</v>
      </c>
      <c r="C6" s="1237">
        <v>8099</v>
      </c>
      <c r="D6" s="1238">
        <f t="shared" si="0"/>
        <v>8544</v>
      </c>
      <c r="E6" s="1239">
        <f t="shared" si="1"/>
        <v>5.2083333333333336E-2</v>
      </c>
      <c r="F6" s="1239">
        <f t="shared" si="2"/>
        <v>0.94791666666666663</v>
      </c>
      <c r="G6" s="1240"/>
      <c r="H6" s="1240"/>
      <c r="I6" s="1240"/>
      <c r="J6" s="1240"/>
      <c r="K6" s="1241"/>
    </row>
    <row r="7" spans="1:13" s="84" customFormat="1" ht="15.75">
      <c r="A7" s="881" t="s">
        <v>235</v>
      </c>
      <c r="B7" s="885">
        <v>660</v>
      </c>
      <c r="C7" s="838">
        <v>10317</v>
      </c>
      <c r="D7" s="876">
        <f t="shared" si="0"/>
        <v>10977</v>
      </c>
      <c r="E7" s="877">
        <f t="shared" si="1"/>
        <v>6.0125717409128178E-2</v>
      </c>
      <c r="F7" s="877">
        <f t="shared" si="2"/>
        <v>0.9398742825908718</v>
      </c>
      <c r="G7" s="878">
        <f>201642+123254</f>
        <v>324896</v>
      </c>
      <c r="H7" s="878">
        <v>863333</v>
      </c>
      <c r="I7" s="879">
        <f t="shared" ref="I7:I14" si="3">SUM(G7:H7)</f>
        <v>1188229</v>
      </c>
      <c r="J7" s="877">
        <f>B7/G7</f>
        <v>2.0314192849404116E-3</v>
      </c>
      <c r="K7" s="886">
        <f>C7/H7</f>
        <v>1.1950197664168983E-2</v>
      </c>
    </row>
    <row r="8" spans="1:13" s="84" customFormat="1" ht="15.75">
      <c r="A8" s="881" t="s">
        <v>236</v>
      </c>
      <c r="B8" s="885">
        <v>986</v>
      </c>
      <c r="C8" s="838">
        <v>13698</v>
      </c>
      <c r="D8" s="876">
        <f t="shared" si="0"/>
        <v>14684</v>
      </c>
      <c r="E8" s="877">
        <f t="shared" si="1"/>
        <v>6.7147916099155547E-2</v>
      </c>
      <c r="F8" s="877">
        <f t="shared" si="2"/>
        <v>0.93285208390084451</v>
      </c>
      <c r="G8" s="878">
        <v>357975</v>
      </c>
      <c r="H8" s="878">
        <v>869750</v>
      </c>
      <c r="I8" s="879">
        <f t="shared" si="3"/>
        <v>1227725</v>
      </c>
      <c r="J8" s="877">
        <f t="shared" ref="J8:K11" si="4">B8/G8</f>
        <v>2.7543822892660101E-3</v>
      </c>
      <c r="K8" s="886">
        <f t="shared" si="4"/>
        <v>1.5749353262431733E-2</v>
      </c>
    </row>
    <row r="9" spans="1:13" s="84" customFormat="1" ht="15.75">
      <c r="A9" s="881" t="s">
        <v>197</v>
      </c>
      <c r="B9" s="885">
        <v>1477</v>
      </c>
      <c r="C9" s="838">
        <v>15979</v>
      </c>
      <c r="D9" s="876">
        <f t="shared" si="0"/>
        <v>17456</v>
      </c>
      <c r="E9" s="877">
        <f t="shared" si="1"/>
        <v>8.4612740604949582E-2</v>
      </c>
      <c r="F9" s="877">
        <f t="shared" si="2"/>
        <v>0.91538725939505039</v>
      </c>
      <c r="G9" s="878">
        <v>355259</v>
      </c>
      <c r="H9" s="878">
        <v>943828</v>
      </c>
      <c r="I9" s="879">
        <f t="shared" si="3"/>
        <v>1299087</v>
      </c>
      <c r="J9" s="877">
        <f t="shared" si="4"/>
        <v>4.1575301399823794E-3</v>
      </c>
      <c r="K9" s="886">
        <f t="shared" si="4"/>
        <v>1.6929991481498749E-2</v>
      </c>
      <c r="M9" s="44"/>
    </row>
    <row r="10" spans="1:13" s="84" customFormat="1" ht="15.75">
      <c r="A10" s="881" t="s">
        <v>237</v>
      </c>
      <c r="B10" s="885">
        <v>2094</v>
      </c>
      <c r="C10" s="838">
        <v>20503</v>
      </c>
      <c r="D10" s="876">
        <f t="shared" si="0"/>
        <v>22597</v>
      </c>
      <c r="E10" s="877">
        <f t="shared" si="1"/>
        <v>9.2667168208169226E-2</v>
      </c>
      <c r="F10" s="877">
        <f t="shared" si="2"/>
        <v>0.90733283179183077</v>
      </c>
      <c r="G10" s="878">
        <v>369264</v>
      </c>
      <c r="H10" s="878">
        <v>998527</v>
      </c>
      <c r="I10" s="879">
        <f t="shared" si="3"/>
        <v>1367791</v>
      </c>
      <c r="J10" s="877">
        <f t="shared" si="4"/>
        <v>5.6707396334329911E-3</v>
      </c>
      <c r="K10" s="886">
        <f t="shared" si="4"/>
        <v>2.0533245470578162E-2</v>
      </c>
      <c r="M10" s="44"/>
    </row>
    <row r="11" spans="1:13" s="84" customFormat="1" ht="15.75">
      <c r="A11" s="881" t="s">
        <v>499</v>
      </c>
      <c r="B11" s="885">
        <v>3858</v>
      </c>
      <c r="C11" s="838">
        <v>22830</v>
      </c>
      <c r="D11" s="876">
        <f t="shared" si="0"/>
        <v>26688</v>
      </c>
      <c r="E11" s="877">
        <f t="shared" si="1"/>
        <v>0.1445593525179856</v>
      </c>
      <c r="F11" s="877">
        <f t="shared" si="2"/>
        <v>0.85544064748201443</v>
      </c>
      <c r="G11" s="878">
        <f>156354+235330</f>
        <v>391684</v>
      </c>
      <c r="H11" s="878">
        <v>1035050</v>
      </c>
      <c r="I11" s="879">
        <f t="shared" si="3"/>
        <v>1426734</v>
      </c>
      <c r="J11" s="877">
        <f t="shared" si="4"/>
        <v>9.8497768609389202E-3</v>
      </c>
      <c r="K11" s="886">
        <f t="shared" si="4"/>
        <v>2.2056905463504178E-2</v>
      </c>
      <c r="M11" s="44"/>
    </row>
    <row r="12" spans="1:13" s="84" customFormat="1" ht="18.75" customHeight="1">
      <c r="A12" s="881" t="s">
        <v>619</v>
      </c>
      <c r="B12" s="885">
        <v>4451</v>
      </c>
      <c r="C12" s="838">
        <v>24184</v>
      </c>
      <c r="D12" s="876">
        <f t="shared" si="0"/>
        <v>28635</v>
      </c>
      <c r="E12" s="877">
        <f t="shared" si="1"/>
        <v>0.15543914789593155</v>
      </c>
      <c r="F12" s="877">
        <f t="shared" si="2"/>
        <v>0.84456085210406839</v>
      </c>
      <c r="G12" s="878">
        <f>166811+249006</f>
        <v>415817</v>
      </c>
      <c r="H12" s="878">
        <v>1110841</v>
      </c>
      <c r="I12" s="879">
        <f t="shared" si="3"/>
        <v>1526658</v>
      </c>
      <c r="J12" s="877">
        <f t="shared" ref="J12:K14" si="5">B12/G12</f>
        <v>1.0704228061863753E-2</v>
      </c>
      <c r="K12" s="886">
        <f t="shared" si="5"/>
        <v>2.1770892503967715E-2</v>
      </c>
      <c r="M12" s="44"/>
    </row>
    <row r="13" spans="1:13" s="84" customFormat="1" ht="18.75" customHeight="1">
      <c r="A13" s="881" t="s">
        <v>628</v>
      </c>
      <c r="B13" s="885">
        <v>5112</v>
      </c>
      <c r="C13" s="838">
        <v>25920</v>
      </c>
      <c r="D13" s="876">
        <f t="shared" si="0"/>
        <v>31032</v>
      </c>
      <c r="E13" s="877">
        <f t="shared" si="1"/>
        <v>0.16473317865429235</v>
      </c>
      <c r="F13" s="877">
        <f t="shared" si="2"/>
        <v>0.83526682134570762</v>
      </c>
      <c r="G13" s="878">
        <f>176595+281039</f>
        <v>457634</v>
      </c>
      <c r="H13" s="878">
        <v>1193568</v>
      </c>
      <c r="I13" s="879">
        <f t="shared" si="3"/>
        <v>1651202</v>
      </c>
      <c r="J13" s="877">
        <f t="shared" si="5"/>
        <v>1.1170498695464061E-2</v>
      </c>
      <c r="K13" s="886">
        <f t="shared" si="5"/>
        <v>2.1716399903482668E-2</v>
      </c>
      <c r="M13" s="44"/>
    </row>
    <row r="14" spans="1:13" s="84" customFormat="1" ht="18.75" customHeight="1">
      <c r="A14" s="881" t="s">
        <v>632</v>
      </c>
      <c r="B14" s="887">
        <v>348</v>
      </c>
      <c r="C14" s="888">
        <v>1900</v>
      </c>
      <c r="D14" s="882">
        <f t="shared" si="0"/>
        <v>2248</v>
      </c>
      <c r="E14" s="883">
        <f t="shared" si="1"/>
        <v>0.15480427046263345</v>
      </c>
      <c r="F14" s="883">
        <f t="shared" si="2"/>
        <v>0.84519572953736655</v>
      </c>
      <c r="G14" s="889">
        <f>173334+281677</f>
        <v>455011</v>
      </c>
      <c r="H14" s="889">
        <v>1199473</v>
      </c>
      <c r="I14" s="890">
        <f t="shared" si="3"/>
        <v>1654484</v>
      </c>
      <c r="J14" s="883">
        <f t="shared" si="5"/>
        <v>7.6481667476170905E-4</v>
      </c>
      <c r="K14" s="884">
        <f t="shared" si="5"/>
        <v>1.584028986063046E-3</v>
      </c>
      <c r="M14" s="44"/>
    </row>
    <row r="15" spans="1:13" s="84" customFormat="1" ht="15.75">
      <c r="A15" s="873" t="s">
        <v>23</v>
      </c>
      <c r="B15" s="882">
        <f>SUM(B4:B14)</f>
        <v>19774</v>
      </c>
      <c r="C15" s="882">
        <f>SUM(C4:C14)</f>
        <v>152352</v>
      </c>
      <c r="D15" s="882">
        <f>SUM(D7:D14)</f>
        <v>154317</v>
      </c>
      <c r="E15" s="883">
        <f t="shared" si="1"/>
        <v>0.12813883110739582</v>
      </c>
      <c r="F15" s="884">
        <f t="shared" si="2"/>
        <v>0.98726647096560971</v>
      </c>
      <c r="G15" s="102"/>
      <c r="H15" s="102"/>
      <c r="I15" s="102"/>
      <c r="J15" s="102"/>
      <c r="K15" s="102"/>
      <c r="L15" s="44"/>
    </row>
    <row r="16" spans="1:13" s="84" customFormat="1">
      <c r="B16" s="201"/>
      <c r="C16" s="201"/>
      <c r="D16" s="201"/>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row>
    <row r="27" spans="1:12">
      <c r="K27" s="150"/>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47"/>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1.5703125" style="44" customWidth="1"/>
    <col min="2" max="3" width="14.140625" style="44" customWidth="1"/>
    <col min="4" max="4" width="13.85546875" style="44" customWidth="1"/>
    <col min="5" max="5" width="11.28515625" style="44" customWidth="1"/>
    <col min="6" max="6" width="12.140625" style="44" customWidth="1"/>
    <col min="7" max="7" width="14.140625" style="44" customWidth="1"/>
    <col min="8" max="8" width="16.7109375" style="44" customWidth="1"/>
    <col min="9" max="9" width="17.28515625" style="44" customWidth="1"/>
    <col min="10" max="10" width="19.140625" style="44" customWidth="1"/>
    <col min="11" max="11" width="16.7109375" style="44" customWidth="1"/>
    <col min="12" max="12" width="14.42578125" style="44" customWidth="1"/>
    <col min="13" max="16384" width="11.42578125" style="44"/>
  </cols>
  <sheetData>
    <row r="1" spans="1:12" s="84" customFormat="1" ht="66" customHeight="1">
      <c r="A1" s="1783"/>
      <c r="B1" s="1783"/>
      <c r="C1" s="1783"/>
      <c r="D1" s="1783"/>
      <c r="E1" s="1783"/>
      <c r="F1" s="1783"/>
      <c r="G1" s="1783"/>
      <c r="H1" s="1783"/>
      <c r="I1" s="1783"/>
      <c r="J1" s="1783"/>
      <c r="K1" s="1783"/>
      <c r="L1" s="1783"/>
    </row>
    <row r="2" spans="1:12" s="84" customFormat="1" ht="14.25" customHeight="1">
      <c r="A2" s="165"/>
      <c r="B2" s="165"/>
      <c r="C2" s="165"/>
      <c r="D2" s="165"/>
      <c r="E2" s="165"/>
      <c r="F2" s="165"/>
      <c r="G2" s="165"/>
      <c r="H2" s="165"/>
      <c r="I2" s="165"/>
      <c r="J2" s="165"/>
      <c r="K2" s="165"/>
      <c r="L2" s="165"/>
    </row>
    <row r="3" spans="1:12" s="144" customFormat="1" ht="46.5" customHeight="1">
      <c r="A3" s="629" t="s">
        <v>25</v>
      </c>
      <c r="B3" s="907" t="s">
        <v>339</v>
      </c>
      <c r="C3" s="676" t="s">
        <v>338</v>
      </c>
      <c r="D3" s="676" t="s">
        <v>337</v>
      </c>
      <c r="E3" s="676" t="s">
        <v>233</v>
      </c>
      <c r="F3" s="676" t="s">
        <v>232</v>
      </c>
      <c r="G3" s="676" t="s">
        <v>336</v>
      </c>
      <c r="H3" s="676" t="s">
        <v>335</v>
      </c>
      <c r="I3" s="676" t="s">
        <v>334</v>
      </c>
      <c r="J3" s="676" t="s">
        <v>333</v>
      </c>
      <c r="K3" s="677" t="s">
        <v>332</v>
      </c>
      <c r="L3" s="165"/>
    </row>
    <row r="4" spans="1:12" s="84" customFormat="1" ht="15.75">
      <c r="A4" s="641" t="s">
        <v>235</v>
      </c>
      <c r="B4" s="908">
        <v>2072</v>
      </c>
      <c r="C4" s="902">
        <v>8905</v>
      </c>
      <c r="D4" s="909">
        <f t="shared" ref="D4:D11" si="0">B4+C4</f>
        <v>10977</v>
      </c>
      <c r="E4" s="901">
        <f t="shared" ref="E4:E11" si="1">B4/D4</f>
        <v>0.18875831283592967</v>
      </c>
      <c r="F4" s="901">
        <f t="shared" ref="F4:F11" si="2">C4/D4</f>
        <v>0.8112416871640703</v>
      </c>
      <c r="G4" s="902">
        <v>502153</v>
      </c>
      <c r="H4" s="902">
        <v>686076</v>
      </c>
      <c r="I4" s="909">
        <f>+H4+G4</f>
        <v>1188229</v>
      </c>
      <c r="J4" s="901">
        <f t="shared" ref="J4:K6" si="3">B4/G4</f>
        <v>4.1262324431000112E-3</v>
      </c>
      <c r="K4" s="903">
        <f t="shared" si="3"/>
        <v>1.2979611588220547E-2</v>
      </c>
    </row>
    <row r="5" spans="1:12" s="84" customFormat="1" ht="15.75">
      <c r="A5" s="641" t="s">
        <v>236</v>
      </c>
      <c r="B5" s="910">
        <v>3076</v>
      </c>
      <c r="C5" s="300">
        <v>11608</v>
      </c>
      <c r="D5" s="860">
        <f t="shared" si="0"/>
        <v>14684</v>
      </c>
      <c r="E5" s="896">
        <f t="shared" si="1"/>
        <v>0.20947970580223371</v>
      </c>
      <c r="F5" s="896">
        <f t="shared" si="2"/>
        <v>0.79052029419776626</v>
      </c>
      <c r="G5" s="300">
        <v>524956</v>
      </c>
      <c r="H5" s="300">
        <v>702769</v>
      </c>
      <c r="I5" s="860">
        <f t="shared" ref="I5:I11" si="4">+H5+G5</f>
        <v>1227725</v>
      </c>
      <c r="J5" s="896">
        <f>B5/G5</f>
        <v>5.8595387041961615E-3</v>
      </c>
      <c r="K5" s="900">
        <f>C5/H5</f>
        <v>1.6517518558729825E-2</v>
      </c>
    </row>
    <row r="6" spans="1:12" s="84" customFormat="1" ht="15.75">
      <c r="A6" s="641" t="s">
        <v>197</v>
      </c>
      <c r="B6" s="910">
        <v>3938</v>
      </c>
      <c r="C6" s="300">
        <v>13518</v>
      </c>
      <c r="D6" s="860">
        <f t="shared" si="0"/>
        <v>17456</v>
      </c>
      <c r="E6" s="896">
        <f t="shared" si="1"/>
        <v>0.22559578368469294</v>
      </c>
      <c r="F6" s="896">
        <f t="shared" si="2"/>
        <v>0.77440421631530709</v>
      </c>
      <c r="G6" s="300">
        <v>558699</v>
      </c>
      <c r="H6" s="300">
        <v>740388</v>
      </c>
      <c r="I6" s="860">
        <f t="shared" si="4"/>
        <v>1299087</v>
      </c>
      <c r="J6" s="896">
        <f t="shared" si="3"/>
        <v>7.0485180750278773E-3</v>
      </c>
      <c r="K6" s="900">
        <f t="shared" si="3"/>
        <v>1.8257994456960403E-2</v>
      </c>
    </row>
    <row r="7" spans="1:12" s="84" customFormat="1" ht="15.75">
      <c r="A7" s="641" t="s">
        <v>237</v>
      </c>
      <c r="B7" s="910">
        <v>5638</v>
      </c>
      <c r="C7" s="300">
        <v>16959</v>
      </c>
      <c r="D7" s="860">
        <f t="shared" si="0"/>
        <v>22597</v>
      </c>
      <c r="E7" s="896">
        <f t="shared" si="1"/>
        <v>0.24950214630260653</v>
      </c>
      <c r="F7" s="896">
        <f t="shared" si="2"/>
        <v>0.75049785369739341</v>
      </c>
      <c r="G7" s="300">
        <v>590403</v>
      </c>
      <c r="H7" s="300">
        <v>777388</v>
      </c>
      <c r="I7" s="860">
        <f t="shared" si="4"/>
        <v>1367791</v>
      </c>
      <c r="J7" s="896">
        <f t="shared" ref="J7:K11" si="5">B7/G7</f>
        <v>9.5494094711578367E-3</v>
      </c>
      <c r="K7" s="900">
        <f t="shared" si="5"/>
        <v>2.1815361183861855E-2</v>
      </c>
      <c r="L7" s="25"/>
    </row>
    <row r="8" spans="1:12" s="84" customFormat="1" ht="15.75">
      <c r="A8" s="641" t="s">
        <v>499</v>
      </c>
      <c r="B8" s="885">
        <v>7022</v>
      </c>
      <c r="C8" s="838">
        <v>19666</v>
      </c>
      <c r="D8" s="897">
        <f t="shared" si="0"/>
        <v>26688</v>
      </c>
      <c r="E8" s="898">
        <f t="shared" si="1"/>
        <v>0.26311450839328537</v>
      </c>
      <c r="F8" s="898">
        <f t="shared" si="2"/>
        <v>0.73688549160671468</v>
      </c>
      <c r="G8" s="838">
        <v>619448</v>
      </c>
      <c r="H8" s="838">
        <v>807286</v>
      </c>
      <c r="I8" s="860">
        <f t="shared" si="4"/>
        <v>1426734</v>
      </c>
      <c r="J8" s="896">
        <f t="shared" si="5"/>
        <v>1.1335899058516615E-2</v>
      </c>
      <c r="K8" s="900">
        <f t="shared" si="5"/>
        <v>2.4360635512073788E-2</v>
      </c>
      <c r="L8" s="25"/>
    </row>
    <row r="9" spans="1:12" s="84" customFormat="1" ht="15.75">
      <c r="A9" s="641" t="s">
        <v>619</v>
      </c>
      <c r="B9" s="885">
        <f>18+7821</f>
        <v>7839</v>
      </c>
      <c r="C9" s="838">
        <v>20796</v>
      </c>
      <c r="D9" s="897">
        <f t="shared" si="0"/>
        <v>28635</v>
      </c>
      <c r="E9" s="898">
        <f t="shared" si="1"/>
        <v>0.27375589313776849</v>
      </c>
      <c r="F9" s="898">
        <f t="shared" si="2"/>
        <v>0.72624410686223151</v>
      </c>
      <c r="G9" s="838">
        <v>669009</v>
      </c>
      <c r="H9" s="838">
        <v>857649</v>
      </c>
      <c r="I9" s="860">
        <f t="shared" si="4"/>
        <v>1526658</v>
      </c>
      <c r="J9" s="896">
        <f t="shared" si="5"/>
        <v>1.1717331156979951E-2</v>
      </c>
      <c r="K9" s="900">
        <f t="shared" si="5"/>
        <v>2.4247681743930209E-2</v>
      </c>
      <c r="L9" s="25"/>
    </row>
    <row r="10" spans="1:12" s="84" customFormat="1" ht="15.75">
      <c r="A10" s="641" t="s">
        <v>628</v>
      </c>
      <c r="B10" s="885">
        <v>8865</v>
      </c>
      <c r="C10" s="838">
        <v>22167</v>
      </c>
      <c r="D10" s="897">
        <f t="shared" si="0"/>
        <v>31032</v>
      </c>
      <c r="E10" s="898">
        <f t="shared" si="1"/>
        <v>0.28567285382830626</v>
      </c>
      <c r="F10" s="898">
        <f t="shared" si="2"/>
        <v>0.71432714617169368</v>
      </c>
      <c r="G10" s="838">
        <v>730833</v>
      </c>
      <c r="H10" s="838">
        <v>920369</v>
      </c>
      <c r="I10" s="860">
        <f t="shared" si="4"/>
        <v>1651202</v>
      </c>
      <c r="J10" s="896">
        <f t="shared" si="5"/>
        <v>1.2129994129985919E-2</v>
      </c>
      <c r="K10" s="900">
        <f t="shared" si="5"/>
        <v>2.4084905076116211E-2</v>
      </c>
      <c r="L10" s="25"/>
    </row>
    <row r="11" spans="1:12" s="84" customFormat="1" ht="15.75">
      <c r="A11" s="641" t="s">
        <v>632</v>
      </c>
      <c r="B11" s="885">
        <v>604</v>
      </c>
      <c r="C11" s="838">
        <v>1644</v>
      </c>
      <c r="D11" s="897">
        <f t="shared" si="0"/>
        <v>2248</v>
      </c>
      <c r="E11" s="904">
        <f t="shared" si="1"/>
        <v>0.26868327402135234</v>
      </c>
      <c r="F11" s="904">
        <f t="shared" si="2"/>
        <v>0.73131672597864772</v>
      </c>
      <c r="G11" s="888">
        <v>731121</v>
      </c>
      <c r="H11" s="888">
        <v>923363</v>
      </c>
      <c r="I11" s="911">
        <f t="shared" si="4"/>
        <v>1654484</v>
      </c>
      <c r="J11" s="905">
        <f t="shared" si="5"/>
        <v>8.2612864354874227E-4</v>
      </c>
      <c r="K11" s="906">
        <f t="shared" si="5"/>
        <v>1.7804482094257621E-3</v>
      </c>
      <c r="L11" s="25"/>
    </row>
    <row r="12" spans="1:12" s="144" customFormat="1" ht="18" customHeight="1">
      <c r="A12" s="912" t="s">
        <v>23</v>
      </c>
      <c r="B12" s="913">
        <f>SUM(B4:B11)</f>
        <v>39054</v>
      </c>
      <c r="C12" s="899">
        <f>SUM(C4:C11)</f>
        <v>115263</v>
      </c>
      <c r="D12" s="914">
        <f>SUM(D4:D11)</f>
        <v>154317</v>
      </c>
      <c r="E12" s="84"/>
      <c r="F12" s="84"/>
      <c r="G12" s="84"/>
      <c r="H12" s="84"/>
      <c r="I12" s="84"/>
      <c r="J12" s="84"/>
      <c r="K12" s="84"/>
      <c r="L12" s="217"/>
    </row>
    <row r="13" spans="1:12" s="84" customFormat="1">
      <c r="L13" s="44"/>
    </row>
    <row r="14" spans="1:12" s="84" customFormat="1" ht="15.75">
      <c r="H14" s="155"/>
      <c r="I14" s="155"/>
      <c r="L14" s="44"/>
    </row>
    <row r="15" spans="1:12" s="84" customFormat="1">
      <c r="L15" s="25"/>
    </row>
    <row r="16" spans="1:12" s="84" customFormat="1">
      <c r="L16" s="25"/>
    </row>
    <row r="17" spans="12:12" s="84" customFormat="1">
      <c r="L17" s="25"/>
    </row>
    <row r="18" spans="12:12" s="84" customFormat="1">
      <c r="L18" s="25"/>
    </row>
    <row r="19" spans="12:12" s="84" customFormat="1">
      <c r="L19" s="25"/>
    </row>
    <row r="20" spans="12:12" s="84" customFormat="1">
      <c r="L20" s="25"/>
    </row>
    <row r="21" spans="12:12" s="84" customFormat="1">
      <c r="L21" s="25"/>
    </row>
    <row r="22" spans="12:12" s="84" customFormat="1">
      <c r="L22" s="25"/>
    </row>
    <row r="23" spans="12:12" s="84" customFormat="1">
      <c r="L23" s="25"/>
    </row>
    <row r="24" spans="12:12" s="84" customFormat="1">
      <c r="L24" s="25"/>
    </row>
    <row r="25" spans="12:12" s="84" customFormat="1">
      <c r="L25" s="25"/>
    </row>
    <row r="26" spans="12:12" s="84" customFormat="1">
      <c r="L26" s="25"/>
    </row>
    <row r="27" spans="12:12" s="84" customFormat="1">
      <c r="L27" s="25"/>
    </row>
    <row r="28" spans="12:12" s="84" customFormat="1">
      <c r="L28" s="25"/>
    </row>
    <row r="29" spans="12:12" s="84" customFormat="1">
      <c r="L29" s="25"/>
    </row>
    <row r="30" spans="12:12" s="84" customFormat="1">
      <c r="L30" s="25"/>
    </row>
    <row r="31" spans="12:12" s="84" customFormat="1">
      <c r="L31" s="25"/>
    </row>
    <row r="32" spans="12:12" s="84" customFormat="1">
      <c r="L32" s="25"/>
    </row>
    <row r="33" spans="3:3" s="84" customFormat="1"/>
    <row r="34" spans="3:3" s="84" customFormat="1"/>
    <row r="35" spans="3:3" s="84" customFormat="1" ht="15.75">
      <c r="C35" s="145"/>
    </row>
    <row r="36" spans="3:3" s="84" customFormat="1"/>
    <row r="37" spans="3:3" s="84" customFormat="1"/>
    <row r="38" spans="3:3" s="84" customFormat="1"/>
    <row r="39" spans="3:3" s="84" customFormat="1"/>
    <row r="40" spans="3:3" s="84" customFormat="1"/>
    <row r="41" spans="3:3" s="84" customFormat="1"/>
    <row r="42" spans="3:3" s="84" customFormat="1"/>
    <row r="43" spans="3:3" s="84" customFormat="1"/>
    <row r="44" spans="3:3" s="84" customFormat="1"/>
    <row r="45" spans="3:3" s="84" customFormat="1"/>
    <row r="46" spans="3:3" s="84" customFormat="1"/>
    <row r="47" spans="3:3"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zoomScale="70" zoomScaleNormal="100" zoomScaleSheetLayoutView="70" workbookViewId="0">
      <selection activeCell="W1" sqref="W1:AB1048576"/>
    </sheetView>
  </sheetViews>
  <sheetFormatPr baseColWidth="10" defaultColWidth="11.42578125" defaultRowHeight="15"/>
  <cols>
    <col min="1" max="1" width="12.42578125" style="44" customWidth="1"/>
    <col min="2" max="2" width="16" style="44" bestFit="1" customWidth="1"/>
    <col min="3" max="6" width="9.7109375" style="44" bestFit="1" customWidth="1"/>
    <col min="7" max="7" width="12.42578125" style="44" bestFit="1" customWidth="1"/>
    <col min="8" max="8" width="10.140625" style="44" bestFit="1" customWidth="1"/>
    <col min="9" max="9" width="15.28515625" style="44" bestFit="1" customWidth="1"/>
    <col min="10" max="10" width="12.85546875" style="44" bestFit="1" customWidth="1"/>
    <col min="11" max="11" width="12" style="44" bestFit="1" customWidth="1"/>
    <col min="12" max="13" width="12.42578125" style="44" bestFit="1" customWidth="1"/>
    <col min="14" max="14" width="13.140625" style="44" bestFit="1" customWidth="1"/>
    <col min="15" max="15" width="16.7109375" style="44" bestFit="1" customWidth="1"/>
    <col min="16" max="16" width="18.140625" style="44" bestFit="1" customWidth="1"/>
    <col min="17" max="17" width="15.28515625" style="44" bestFit="1" customWidth="1"/>
    <col min="18" max="18" width="11.85546875" style="44" customWidth="1"/>
    <col min="19" max="19" width="12" style="44" customWidth="1"/>
    <col min="20" max="21" width="12.28515625" style="44" customWidth="1"/>
    <col min="22" max="16384" width="11.42578125" style="44"/>
  </cols>
  <sheetData>
    <row r="1" spans="1:22" s="84" customFormat="1" ht="66.75" customHeight="1">
      <c r="A1" s="1794"/>
      <c r="B1" s="1794"/>
      <c r="C1" s="1794"/>
      <c r="D1" s="1794"/>
      <c r="E1" s="1794"/>
      <c r="F1" s="1794"/>
      <c r="G1" s="1794"/>
      <c r="H1" s="1794"/>
      <c r="I1" s="1794"/>
      <c r="J1" s="1794"/>
      <c r="K1" s="1794"/>
      <c r="L1" s="1794"/>
      <c r="M1" s="1794"/>
      <c r="N1" s="1794"/>
      <c r="O1" s="1794"/>
      <c r="P1" s="1794"/>
      <c r="Q1" s="1794"/>
      <c r="R1" s="1794"/>
      <c r="S1" s="1794"/>
      <c r="T1" s="1794"/>
      <c r="U1" s="1794"/>
    </row>
    <row r="2" spans="1:22" s="84" customFormat="1" ht="7.5" customHeight="1">
      <c r="A2" s="1902"/>
      <c r="B2" s="1903"/>
      <c r="C2" s="1903"/>
      <c r="D2" s="1903"/>
      <c r="E2" s="1903"/>
      <c r="F2" s="1903"/>
      <c r="G2" s="1903"/>
      <c r="H2" s="1903"/>
      <c r="I2" s="1903"/>
      <c r="J2" s="1903"/>
      <c r="K2" s="1903"/>
      <c r="L2" s="1903"/>
      <c r="M2" s="1903"/>
      <c r="N2" s="1903"/>
      <c r="O2" s="1903"/>
      <c r="P2" s="1903"/>
      <c r="Q2" s="1903"/>
      <c r="R2" s="1903"/>
      <c r="S2" s="1903"/>
      <c r="T2" s="1903"/>
      <c r="U2" s="1904"/>
    </row>
    <row r="3" spans="1:22" s="144" customFormat="1" ht="63">
      <c r="A3" s="833" t="s">
        <v>0</v>
      </c>
      <c r="B3" s="839" t="s">
        <v>359</v>
      </c>
      <c r="C3" s="839" t="s">
        <v>348</v>
      </c>
      <c r="D3" s="839" t="s">
        <v>347</v>
      </c>
      <c r="E3" s="839" t="s">
        <v>346</v>
      </c>
      <c r="F3" s="839" t="s">
        <v>345</v>
      </c>
      <c r="G3" s="839" t="s">
        <v>358</v>
      </c>
      <c r="H3" s="839" t="s">
        <v>143</v>
      </c>
      <c r="I3" s="839" t="s">
        <v>357</v>
      </c>
      <c r="J3" s="839" t="s">
        <v>348</v>
      </c>
      <c r="K3" s="839" t="s">
        <v>347</v>
      </c>
      <c r="L3" s="839" t="s">
        <v>346</v>
      </c>
      <c r="M3" s="839" t="s">
        <v>345</v>
      </c>
      <c r="N3" s="839" t="s">
        <v>344</v>
      </c>
      <c r="O3" s="839" t="s">
        <v>356</v>
      </c>
      <c r="P3" s="839" t="s">
        <v>355</v>
      </c>
      <c r="Q3" s="839" t="s">
        <v>354</v>
      </c>
      <c r="R3" s="839" t="s">
        <v>353</v>
      </c>
      <c r="S3" s="839" t="s">
        <v>352</v>
      </c>
      <c r="T3" s="839" t="s">
        <v>351</v>
      </c>
      <c r="U3" s="840" t="s">
        <v>350</v>
      </c>
    </row>
    <row r="4" spans="1:22" s="84" customFormat="1" ht="15.75">
      <c r="A4" s="1049" t="s">
        <v>235</v>
      </c>
      <c r="B4" s="908">
        <v>7</v>
      </c>
      <c r="C4" s="902">
        <v>1031</v>
      </c>
      <c r="D4" s="902">
        <v>4066</v>
      </c>
      <c r="E4" s="902">
        <v>3112</v>
      </c>
      <c r="F4" s="902">
        <v>1708</v>
      </c>
      <c r="G4" s="902">
        <f>24+1029</f>
        <v>1053</v>
      </c>
      <c r="H4" s="918">
        <f>SUM(B4:G4)</f>
        <v>10977</v>
      </c>
      <c r="I4" s="902">
        <v>22989</v>
      </c>
      <c r="J4" s="902">
        <v>351184</v>
      </c>
      <c r="K4" s="902">
        <v>350381</v>
      </c>
      <c r="L4" s="902">
        <v>260446</v>
      </c>
      <c r="M4" s="902">
        <v>139328</v>
      </c>
      <c r="N4" s="902">
        <v>63901</v>
      </c>
      <c r="O4" s="909">
        <v>1188229</v>
      </c>
      <c r="P4" s="921">
        <f t="shared" ref="P4:U7" si="0">B4/I4</f>
        <v>3.0449345339075211E-4</v>
      </c>
      <c r="Q4" s="921">
        <f t="shared" si="0"/>
        <v>2.9357829513873071E-3</v>
      </c>
      <c r="R4" s="921">
        <f t="shared" si="0"/>
        <v>1.1604510518549807E-2</v>
      </c>
      <c r="S4" s="921">
        <f t="shared" si="0"/>
        <v>1.1948734094591585E-2</v>
      </c>
      <c r="T4" s="921">
        <f t="shared" si="0"/>
        <v>1.2258842443729904E-2</v>
      </c>
      <c r="U4" s="922">
        <f t="shared" si="0"/>
        <v>1.6478615358132109E-2</v>
      </c>
    </row>
    <row r="5" spans="1:22" s="84" customFormat="1" ht="15.75">
      <c r="A5" s="641" t="s">
        <v>236</v>
      </c>
      <c r="B5" s="910">
        <v>2</v>
      </c>
      <c r="C5" s="300">
        <v>2024</v>
      </c>
      <c r="D5" s="300">
        <v>5530</v>
      </c>
      <c r="E5" s="300">
        <v>3839</v>
      </c>
      <c r="F5" s="300">
        <v>2108</v>
      </c>
      <c r="G5" s="300">
        <f>49+1132</f>
        <v>1181</v>
      </c>
      <c r="H5" s="915">
        <f t="shared" ref="H5:H11" si="1">SUM(B5:G5)</f>
        <v>14684</v>
      </c>
      <c r="I5" s="300">
        <v>22230</v>
      </c>
      <c r="J5" s="300">
        <v>349422</v>
      </c>
      <c r="K5" s="300">
        <v>357517</v>
      </c>
      <c r="L5" s="300">
        <v>270321</v>
      </c>
      <c r="M5" s="300">
        <v>153630</v>
      </c>
      <c r="N5" s="300">
        <v>74605</v>
      </c>
      <c r="O5" s="860">
        <v>1227725</v>
      </c>
      <c r="P5" s="923">
        <f t="shared" ref="P5:U5" si="2">B5/I5</f>
        <v>8.9968511021142601E-5</v>
      </c>
      <c r="Q5" s="923">
        <f t="shared" si="2"/>
        <v>5.7924229155576924E-3</v>
      </c>
      <c r="R5" s="923">
        <f t="shared" si="2"/>
        <v>1.5467795936976423E-2</v>
      </c>
      <c r="S5" s="923">
        <f t="shared" si="2"/>
        <v>1.4201634353231898E-2</v>
      </c>
      <c r="T5" s="923">
        <f t="shared" si="2"/>
        <v>1.3721278396146586E-2</v>
      </c>
      <c r="U5" s="682">
        <f t="shared" si="2"/>
        <v>1.5830038201192949E-2</v>
      </c>
    </row>
    <row r="6" spans="1:22" s="84" customFormat="1" ht="15.75">
      <c r="A6" s="641" t="s">
        <v>197</v>
      </c>
      <c r="B6" s="910">
        <v>0</v>
      </c>
      <c r="C6" s="300">
        <v>3154</v>
      </c>
      <c r="D6" s="300">
        <v>6350</v>
      </c>
      <c r="E6" s="300">
        <v>4256</v>
      </c>
      <c r="F6" s="300">
        <v>2407</v>
      </c>
      <c r="G6" s="300">
        <f>85+1204</f>
        <v>1289</v>
      </c>
      <c r="H6" s="915">
        <f t="shared" si="1"/>
        <v>17456</v>
      </c>
      <c r="I6" s="300">
        <v>23191</v>
      </c>
      <c r="J6" s="300">
        <v>371288</v>
      </c>
      <c r="K6" s="300">
        <v>379357</v>
      </c>
      <c r="L6" s="300">
        <v>283217</v>
      </c>
      <c r="M6" s="300">
        <v>161898</v>
      </c>
      <c r="N6" s="300">
        <v>80136</v>
      </c>
      <c r="O6" s="860">
        <v>1299087</v>
      </c>
      <c r="P6" s="923">
        <f t="shared" si="0"/>
        <v>0</v>
      </c>
      <c r="Q6" s="923">
        <f t="shared" si="0"/>
        <v>8.4947533989786911E-3</v>
      </c>
      <c r="R6" s="923">
        <f t="shared" si="0"/>
        <v>1.6738850212332974E-2</v>
      </c>
      <c r="S6" s="923">
        <f t="shared" si="0"/>
        <v>1.5027346522277971E-2</v>
      </c>
      <c r="T6" s="923">
        <f t="shared" si="0"/>
        <v>1.4867385637870758E-2</v>
      </c>
      <c r="U6" s="682">
        <f t="shared" si="0"/>
        <v>1.6085155236098634E-2</v>
      </c>
    </row>
    <row r="7" spans="1:22" s="84" customFormat="1" ht="15.75">
      <c r="A7" s="641" t="s">
        <v>237</v>
      </c>
      <c r="B7" s="910">
        <v>6</v>
      </c>
      <c r="C7" s="300">
        <v>4931</v>
      </c>
      <c r="D7" s="300">
        <v>7715</v>
      </c>
      <c r="E7" s="300">
        <v>5319</v>
      </c>
      <c r="F7" s="300">
        <v>3017</v>
      </c>
      <c r="G7" s="300">
        <f>141+1468</f>
        <v>1609</v>
      </c>
      <c r="H7" s="915">
        <f t="shared" si="1"/>
        <v>22597</v>
      </c>
      <c r="I7" s="300">
        <v>23232</v>
      </c>
      <c r="J7" s="300">
        <v>386518</v>
      </c>
      <c r="K7" s="300">
        <v>398328</v>
      </c>
      <c r="L7" s="300">
        <v>298491</v>
      </c>
      <c r="M7" s="300">
        <v>172808</v>
      </c>
      <c r="N7" s="300">
        <v>88414</v>
      </c>
      <c r="O7" s="860">
        <v>1367791</v>
      </c>
      <c r="P7" s="923">
        <f t="shared" si="0"/>
        <v>2.5826446280991736E-4</v>
      </c>
      <c r="Q7" s="923">
        <f t="shared" si="0"/>
        <v>1.2757491242322479E-2</v>
      </c>
      <c r="R7" s="923">
        <f t="shared" si="0"/>
        <v>1.9368460163483359E-2</v>
      </c>
      <c r="S7" s="923">
        <f t="shared" si="0"/>
        <v>1.7819632752746315E-2</v>
      </c>
      <c r="T7" s="923">
        <f t="shared" si="0"/>
        <v>1.7458682468404242E-2</v>
      </c>
      <c r="U7" s="682">
        <f t="shared" si="0"/>
        <v>1.8198475354581852E-2</v>
      </c>
    </row>
    <row r="8" spans="1:22" s="84" customFormat="1" ht="15.75">
      <c r="A8" s="641" t="s">
        <v>499</v>
      </c>
      <c r="B8" s="910">
        <v>18</v>
      </c>
      <c r="C8" s="300">
        <v>6875</v>
      </c>
      <c r="D8" s="300">
        <v>8611</v>
      </c>
      <c r="E8" s="300">
        <v>5883</v>
      </c>
      <c r="F8" s="300">
        <v>3457</v>
      </c>
      <c r="G8" s="300">
        <f>204+1640</f>
        <v>1844</v>
      </c>
      <c r="H8" s="915">
        <f t="shared" si="1"/>
        <v>26688</v>
      </c>
      <c r="I8" s="300">
        <v>21475</v>
      </c>
      <c r="J8" s="300">
        <v>400126</v>
      </c>
      <c r="K8" s="300">
        <v>414303</v>
      </c>
      <c r="L8" s="300">
        <v>313227</v>
      </c>
      <c r="M8" s="300">
        <v>182801</v>
      </c>
      <c r="N8" s="300">
        <v>94802</v>
      </c>
      <c r="O8" s="860">
        <v>1426734</v>
      </c>
      <c r="P8" s="923">
        <f t="shared" ref="P8:U8" si="3">B8/I8</f>
        <v>8.3818393480791613E-4</v>
      </c>
      <c r="Q8" s="923">
        <f t="shared" si="3"/>
        <v>1.7182087642392645E-2</v>
      </c>
      <c r="R8" s="923">
        <f t="shared" si="3"/>
        <v>2.0784305206575864E-2</v>
      </c>
      <c r="S8" s="923">
        <f t="shared" si="3"/>
        <v>1.8781905774406422E-2</v>
      </c>
      <c r="T8" s="923">
        <f t="shared" si="3"/>
        <v>1.8911275102433796E-2</v>
      </c>
      <c r="U8" s="682">
        <f t="shared" si="3"/>
        <v>1.9451066433197613E-2</v>
      </c>
    </row>
    <row r="9" spans="1:22" s="84" customFormat="1" ht="15.75">
      <c r="A9" s="641" t="s">
        <v>619</v>
      </c>
      <c r="B9" s="910">
        <v>34</v>
      </c>
      <c r="C9" s="300">
        <v>8429</v>
      </c>
      <c r="D9" s="300">
        <v>8946</v>
      </c>
      <c r="E9" s="300">
        <v>5876</v>
      </c>
      <c r="F9" s="300">
        <v>3510</v>
      </c>
      <c r="G9" s="300">
        <f>227+1613</f>
        <v>1840</v>
      </c>
      <c r="H9" s="915">
        <f t="shared" si="1"/>
        <v>28635</v>
      </c>
      <c r="I9" s="300">
        <v>20589</v>
      </c>
      <c r="J9" s="300">
        <v>426931</v>
      </c>
      <c r="K9" s="300">
        <v>440354</v>
      </c>
      <c r="L9" s="300">
        <v>332451</v>
      </c>
      <c r="M9" s="300">
        <v>201166</v>
      </c>
      <c r="N9" s="300">
        <v>105167</v>
      </c>
      <c r="O9" s="860">
        <v>1526658</v>
      </c>
      <c r="P9" s="923">
        <f t="shared" ref="P9:U11" si="4">B9/I9</f>
        <v>1.651367234931274E-3</v>
      </c>
      <c r="Q9" s="923">
        <f t="shared" si="4"/>
        <v>1.9743237197579935E-2</v>
      </c>
      <c r="R9" s="923">
        <f t="shared" si="4"/>
        <v>2.0315473459989009E-2</v>
      </c>
      <c r="S9" s="923">
        <f t="shared" si="4"/>
        <v>1.7674785156308749E-2</v>
      </c>
      <c r="T9" s="923">
        <f t="shared" si="4"/>
        <v>1.7448276547726752E-2</v>
      </c>
      <c r="U9" s="682">
        <f t="shared" si="4"/>
        <v>1.7495982580086909E-2</v>
      </c>
    </row>
    <row r="10" spans="1:22" s="84" customFormat="1" ht="15.75">
      <c r="A10" s="641" t="s">
        <v>628</v>
      </c>
      <c r="B10" s="910">
        <v>80</v>
      </c>
      <c r="C10" s="300">
        <f>751+8873</f>
        <v>9624</v>
      </c>
      <c r="D10" s="300">
        <f>752+8054</f>
        <v>8806</v>
      </c>
      <c r="E10" s="300">
        <f>752+5517</f>
        <v>6269</v>
      </c>
      <c r="F10" s="300">
        <f>752+3124</f>
        <v>3876</v>
      </c>
      <c r="G10" s="300">
        <f>752+1625</f>
        <v>2377</v>
      </c>
      <c r="H10" s="915">
        <f t="shared" si="1"/>
        <v>31032</v>
      </c>
      <c r="I10" s="300">
        <v>21039</v>
      </c>
      <c r="J10" s="300">
        <v>459696</v>
      </c>
      <c r="K10" s="300">
        <v>473047</v>
      </c>
      <c r="L10" s="300">
        <v>356103</v>
      </c>
      <c r="M10" s="300">
        <v>221286</v>
      </c>
      <c r="N10" s="300">
        <v>120031</v>
      </c>
      <c r="O10" s="860">
        <v>1651202</v>
      </c>
      <c r="P10" s="923">
        <f t="shared" si="4"/>
        <v>3.8024620942059984E-3</v>
      </c>
      <c r="Q10" s="923">
        <f t="shared" si="4"/>
        <v>2.0935574814660123E-2</v>
      </c>
      <c r="R10" s="923">
        <f t="shared" si="4"/>
        <v>1.8615486410441247E-2</v>
      </c>
      <c r="S10" s="923">
        <f t="shared" si="4"/>
        <v>1.7604457137401257E-2</v>
      </c>
      <c r="T10" s="923">
        <f t="shared" si="4"/>
        <v>1.751579404029175E-2</v>
      </c>
      <c r="U10" s="682">
        <f t="shared" si="4"/>
        <v>1.9803217502145278E-2</v>
      </c>
    </row>
    <row r="11" spans="1:22" s="84" customFormat="1" ht="15.75">
      <c r="A11" s="1050" t="s">
        <v>632</v>
      </c>
      <c r="B11" s="919">
        <v>15</v>
      </c>
      <c r="C11" s="920">
        <v>809</v>
      </c>
      <c r="D11" s="920">
        <v>676</v>
      </c>
      <c r="E11" s="920">
        <v>411</v>
      </c>
      <c r="F11" s="920">
        <v>239</v>
      </c>
      <c r="G11" s="920">
        <v>98</v>
      </c>
      <c r="H11" s="917">
        <f t="shared" si="1"/>
        <v>2248</v>
      </c>
      <c r="I11" s="920">
        <v>20952</v>
      </c>
      <c r="J11" s="920">
        <v>461572</v>
      </c>
      <c r="K11" s="920">
        <v>473854</v>
      </c>
      <c r="L11" s="920">
        <v>356565</v>
      </c>
      <c r="M11" s="920">
        <v>221448</v>
      </c>
      <c r="N11" s="920">
        <v>120093</v>
      </c>
      <c r="O11" s="911">
        <v>1654484</v>
      </c>
      <c r="P11" s="924">
        <f t="shared" si="4"/>
        <v>7.1592210767468494E-4</v>
      </c>
      <c r="Q11" s="924">
        <f t="shared" si="4"/>
        <v>1.7527059700328442E-3</v>
      </c>
      <c r="R11" s="924">
        <f t="shared" si="4"/>
        <v>1.4265997543547169E-3</v>
      </c>
      <c r="S11" s="924">
        <f t="shared" si="4"/>
        <v>1.1526650119893988E-3</v>
      </c>
      <c r="T11" s="924">
        <f t="shared" si="4"/>
        <v>1.0792601423358983E-3</v>
      </c>
      <c r="U11" s="925">
        <f t="shared" si="4"/>
        <v>8.1603424013056548E-4</v>
      </c>
    </row>
    <row r="12" spans="1:22" s="84" customFormat="1" ht="15.75">
      <c r="A12" s="1050" t="s">
        <v>23</v>
      </c>
      <c r="B12" s="1242">
        <f t="shared" ref="B12:H12" si="5">SUM(B4:B11)</f>
        <v>162</v>
      </c>
      <c r="C12" s="1242">
        <f t="shared" si="5"/>
        <v>36877</v>
      </c>
      <c r="D12" s="1242">
        <f t="shared" si="5"/>
        <v>50700</v>
      </c>
      <c r="E12" s="1242">
        <f t="shared" si="5"/>
        <v>34965</v>
      </c>
      <c r="F12" s="1242">
        <f t="shared" si="5"/>
        <v>20322</v>
      </c>
      <c r="G12" s="1242">
        <f t="shared" si="5"/>
        <v>11291</v>
      </c>
      <c r="H12" s="1243">
        <f t="shared" si="5"/>
        <v>154317</v>
      </c>
      <c r="V12" s="156"/>
    </row>
    <row r="13" spans="1:22" s="84" customFormat="1" ht="15.75">
      <c r="V13" s="156"/>
    </row>
    <row r="14" spans="1:22" s="84" customFormat="1" ht="15.75">
      <c r="V14" s="156"/>
    </row>
    <row r="15" spans="1:22" s="84" customFormat="1" ht="15.75">
      <c r="V15" s="156"/>
    </row>
    <row r="16" spans="1:22" s="84" customFormat="1" ht="15.75">
      <c r="P16" s="44"/>
      <c r="Q16" s="44"/>
      <c r="R16" s="44"/>
      <c r="S16" s="44"/>
      <c r="T16" s="44"/>
      <c r="U16" s="44"/>
      <c r="V16" s="156"/>
    </row>
    <row r="17" spans="14:22" s="84" customFormat="1" ht="15.75">
      <c r="T17" s="149"/>
      <c r="U17" s="156"/>
      <c r="V17" s="156"/>
    </row>
    <row r="18" spans="14:22" s="84" customFormat="1" ht="15.75">
      <c r="T18" s="149"/>
      <c r="U18" s="156"/>
      <c r="V18" s="156"/>
    </row>
    <row r="19" spans="14:22" s="84" customFormat="1" ht="15.75">
      <c r="T19" s="149"/>
      <c r="U19" s="156"/>
      <c r="V19" s="156"/>
    </row>
    <row r="20" spans="14:22" s="84" customFormat="1" ht="15.75">
      <c r="T20" s="149"/>
      <c r="U20" s="156"/>
      <c r="V20" s="156"/>
    </row>
    <row r="21" spans="14:22" s="84" customFormat="1" ht="15.75">
      <c r="T21" s="149"/>
      <c r="U21" s="156"/>
      <c r="V21" s="156"/>
    </row>
    <row r="22" spans="14:22" s="84" customFormat="1" ht="15.75">
      <c r="T22" s="149"/>
      <c r="U22" s="156"/>
      <c r="V22" s="156"/>
    </row>
    <row r="23" spans="14:22" ht="15.75">
      <c r="T23" s="149"/>
      <c r="U23" s="156"/>
      <c r="V23" s="156"/>
    </row>
    <row r="24" spans="14:22" ht="15.75">
      <c r="N24" s="150"/>
      <c r="O24" s="150"/>
      <c r="T24" s="149"/>
      <c r="U24" s="156"/>
      <c r="V24" s="156"/>
    </row>
    <row r="25" spans="14:22" ht="15.75">
      <c r="T25" s="149"/>
      <c r="U25" s="156"/>
      <c r="V25" s="156"/>
    </row>
    <row r="26" spans="14:22" ht="15.75">
      <c r="T26" s="149"/>
      <c r="U26" s="156"/>
      <c r="V26" s="156"/>
    </row>
    <row r="27" spans="14:22" ht="15.75">
      <c r="T27" s="149"/>
      <c r="U27" s="26"/>
      <c r="V27" s="156"/>
    </row>
    <row r="28" spans="14:22" ht="15.75">
      <c r="V28" s="156"/>
    </row>
    <row r="29" spans="14:22" ht="15.75">
      <c r="T29" s="156"/>
      <c r="U29" s="149"/>
      <c r="V29" s="156"/>
    </row>
    <row r="30" spans="14:22" ht="15.75">
      <c r="T30" s="156"/>
      <c r="U30" s="149"/>
      <c r="V30" s="156"/>
    </row>
    <row r="31" spans="14:22" ht="15.75">
      <c r="T31" s="156"/>
      <c r="U31" s="26"/>
      <c r="V31" s="156"/>
    </row>
    <row r="32" spans="14:22" ht="15.75">
      <c r="T32" s="156"/>
      <c r="U32" s="26"/>
      <c r="V32" s="156"/>
    </row>
    <row r="33" spans="22:22" ht="15.75">
      <c r="V33" s="156"/>
    </row>
    <row r="34" spans="22:22" ht="15.75">
      <c r="V34" s="156"/>
    </row>
    <row r="35" spans="22:22" ht="15.75">
      <c r="V35" s="15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70" zoomScaleNormal="100" zoomScaleSheetLayoutView="70" workbookViewId="0">
      <selection activeCell="O32" sqref="O32"/>
    </sheetView>
  </sheetViews>
  <sheetFormatPr baseColWidth="10" defaultColWidth="11.42578125" defaultRowHeight="15"/>
  <cols>
    <col min="1" max="1" width="14.5703125" style="44" customWidth="1"/>
    <col min="2" max="2" width="16.5703125" style="44" customWidth="1"/>
    <col min="3" max="3" width="14.42578125" style="44" customWidth="1"/>
    <col min="4" max="4" width="14.85546875" style="44" customWidth="1"/>
    <col min="5" max="5" width="19" style="44" customWidth="1"/>
    <col min="6" max="6" width="18.7109375" style="44" customWidth="1"/>
    <col min="7" max="7" width="17.28515625" style="44" customWidth="1"/>
    <col min="8" max="8" width="18.5703125" style="44" customWidth="1"/>
    <col min="9" max="9" width="23" style="44" customWidth="1"/>
    <col min="10" max="10" width="20.140625" style="44" customWidth="1"/>
    <col min="11" max="11" width="16.28515625" style="44" customWidth="1"/>
    <col min="12" max="12" width="17.7109375" style="44" customWidth="1"/>
    <col min="13" max="16384" width="11.42578125" style="44"/>
  </cols>
  <sheetData>
    <row r="1" spans="1:11" s="84" customFormat="1" ht="74.25" customHeight="1">
      <c r="A1" s="1905"/>
      <c r="B1" s="1905"/>
      <c r="C1" s="1905"/>
      <c r="D1" s="1905"/>
      <c r="E1" s="1905"/>
      <c r="F1" s="1905"/>
      <c r="G1" s="1905"/>
      <c r="H1" s="1905"/>
      <c r="I1" s="1905"/>
      <c r="J1" s="1905"/>
      <c r="K1" s="153"/>
    </row>
    <row r="2" spans="1:11" s="84" customFormat="1" ht="12" customHeight="1">
      <c r="K2" s="153"/>
    </row>
    <row r="3" spans="1:11" s="84" customFormat="1" ht="30">
      <c r="A3" s="929" t="s">
        <v>0</v>
      </c>
      <c r="B3" s="927" t="s">
        <v>373</v>
      </c>
      <c r="C3" s="927" t="s">
        <v>372</v>
      </c>
      <c r="D3" s="928" t="s">
        <v>369</v>
      </c>
    </row>
    <row r="4" spans="1:11" s="84" customFormat="1" ht="15.75">
      <c r="A4" s="930" t="s">
        <v>236</v>
      </c>
      <c r="B4" s="926">
        <v>14329</v>
      </c>
      <c r="C4" s="926">
        <f>+'NA. Reportes ARL'!D8</f>
        <v>14683</v>
      </c>
      <c r="D4" s="931">
        <f t="shared" ref="D4:D9" si="0">B4/C4</f>
        <v>0.97589048559558678</v>
      </c>
      <c r="F4" s="19"/>
    </row>
    <row r="5" spans="1:11" s="84" customFormat="1" ht="15.75">
      <c r="A5" s="930" t="s">
        <v>197</v>
      </c>
      <c r="B5" s="926">
        <v>16871</v>
      </c>
      <c r="C5" s="926">
        <f>+'NA. Reportes ARL'!D9</f>
        <v>17456</v>
      </c>
      <c r="D5" s="931">
        <f t="shared" si="0"/>
        <v>0.96648716773602195</v>
      </c>
      <c r="F5" s="19"/>
    </row>
    <row r="6" spans="1:11" s="84" customFormat="1" ht="15.75">
      <c r="A6" s="930" t="s">
        <v>237</v>
      </c>
      <c r="B6" s="926">
        <v>21189</v>
      </c>
      <c r="C6" s="926">
        <f>+'NA. Reportes ARL'!D10</f>
        <v>22597</v>
      </c>
      <c r="D6" s="931">
        <f t="shared" si="0"/>
        <v>0.93769084391733415</v>
      </c>
      <c r="F6" s="19"/>
    </row>
    <row r="7" spans="1:11" s="84" customFormat="1" ht="15.75">
      <c r="A7" s="930" t="s">
        <v>499</v>
      </c>
      <c r="B7" s="926">
        <v>26301</v>
      </c>
      <c r="C7" s="926">
        <f>+'NA. Reportes ARL'!D11</f>
        <v>26688</v>
      </c>
      <c r="D7" s="931">
        <f t="shared" si="0"/>
        <v>0.98549910071942448</v>
      </c>
      <c r="F7" s="19"/>
    </row>
    <row r="8" spans="1:11" s="84" customFormat="1" ht="15.75">
      <c r="A8" s="930" t="s">
        <v>619</v>
      </c>
      <c r="B8" s="926">
        <v>28752</v>
      </c>
      <c r="C8" s="926">
        <f>+'NA. Reportes ARL'!D12</f>
        <v>28635</v>
      </c>
      <c r="D8" s="931">
        <f t="shared" si="0"/>
        <v>1.0040859088528025</v>
      </c>
      <c r="F8" s="19"/>
    </row>
    <row r="9" spans="1:11" s="84" customFormat="1" ht="15.75">
      <c r="A9" s="930" t="s">
        <v>628</v>
      </c>
      <c r="B9" s="926">
        <v>30331</v>
      </c>
      <c r="C9" s="926">
        <f>+'NA. Reportes ARL'!D13</f>
        <v>31032</v>
      </c>
      <c r="D9" s="931">
        <f t="shared" si="0"/>
        <v>0.9774104150554267</v>
      </c>
      <c r="F9" s="19"/>
    </row>
    <row r="10" spans="1:11" s="84" customFormat="1" ht="15.75">
      <c r="A10" s="930" t="s">
        <v>632</v>
      </c>
      <c r="B10" s="926">
        <v>2046</v>
      </c>
      <c r="C10" s="926">
        <f>+'NA. Reportes ARL'!D14</f>
        <v>2248</v>
      </c>
      <c r="D10" s="931"/>
      <c r="F10" s="19"/>
    </row>
    <row r="11" spans="1:11" s="84" customFormat="1" ht="15.75">
      <c r="A11" s="929" t="s">
        <v>23</v>
      </c>
      <c r="B11" s="857">
        <f>SUM(B4:B10)</f>
        <v>139819</v>
      </c>
      <c r="C11" s="857">
        <f>SUM(C4:C10)</f>
        <v>143339</v>
      </c>
      <c r="D11" s="932">
        <f>B11/C11</f>
        <v>0.97544283132992415</v>
      </c>
    </row>
    <row r="12" spans="1:11" s="84" customFormat="1">
      <c r="A12" s="152"/>
      <c r="B12" s="152"/>
      <c r="K12" s="44"/>
    </row>
    <row r="13" spans="1:11" s="84" customFormat="1">
      <c r="A13" s="152"/>
      <c r="B13" s="152"/>
      <c r="K13" s="44"/>
    </row>
    <row r="14" spans="1:11" s="84" customFormat="1">
      <c r="A14" s="152"/>
      <c r="B14" s="152"/>
    </row>
    <row r="15" spans="1:11" s="84" customFormat="1">
      <c r="A15" s="152"/>
      <c r="B15" s="152"/>
    </row>
    <row r="16" spans="1:11" s="84" customFormat="1"/>
    <row r="17" spans="1:11" s="84" customFormat="1"/>
    <row r="18" spans="1:11" s="84" customFormat="1"/>
    <row r="19" spans="1:11" s="84" customFormat="1"/>
    <row r="20" spans="1:11" s="84" customFormat="1"/>
    <row r="21" spans="1:11" s="84" customFormat="1"/>
    <row r="22" spans="1:11">
      <c r="A22" s="84"/>
      <c r="B22" s="84"/>
      <c r="C22" s="84"/>
      <c r="D22" s="84"/>
      <c r="E22" s="84"/>
    </row>
    <row r="23" spans="1:11">
      <c r="K23" s="150"/>
    </row>
  </sheetData>
  <mergeCells count="1">
    <mergeCell ref="A1:J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70" zoomScaleNormal="100" zoomScaleSheetLayoutView="70" workbookViewId="0">
      <selection activeCell="P22" sqref="P22"/>
    </sheetView>
  </sheetViews>
  <sheetFormatPr baseColWidth="10" defaultColWidth="11.42578125" defaultRowHeight="15"/>
  <cols>
    <col min="1" max="1" width="13.85546875" style="44" customWidth="1"/>
    <col min="2" max="3" width="12.28515625" style="44" customWidth="1"/>
    <col min="4" max="4" width="12.85546875" style="44" customWidth="1"/>
    <col min="5" max="5" width="15.42578125" style="44" customWidth="1"/>
    <col min="6" max="6" width="16"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5.140625" style="44" customWidth="1"/>
    <col min="14" max="14" width="13.28515625" style="44" customWidth="1"/>
    <col min="15" max="15" width="8.42578125" style="44" customWidth="1"/>
    <col min="16" max="16384" width="11.42578125" style="44"/>
  </cols>
  <sheetData>
    <row r="1" spans="1:15" s="84" customFormat="1" ht="60.75" customHeight="1">
      <c r="A1" s="1901"/>
      <c r="B1" s="1901"/>
      <c r="C1" s="1901"/>
      <c r="D1" s="1901"/>
      <c r="E1" s="1901"/>
      <c r="F1" s="1901"/>
      <c r="G1" s="1901"/>
      <c r="H1" s="1901"/>
      <c r="I1" s="1901"/>
      <c r="J1" s="1901"/>
      <c r="K1" s="1901"/>
      <c r="L1" s="1901"/>
      <c r="M1" s="153"/>
      <c r="N1" s="153"/>
      <c r="O1" s="153"/>
    </row>
    <row r="2" spans="1:15" s="84" customFormat="1" ht="5.25" customHeight="1">
      <c r="A2" s="144"/>
      <c r="B2" s="144"/>
      <c r="C2" s="144"/>
      <c r="D2" s="144"/>
      <c r="E2" s="144"/>
      <c r="F2" s="144"/>
      <c r="G2" s="144"/>
      <c r="H2" s="144"/>
      <c r="I2" s="144"/>
      <c r="J2" s="144"/>
      <c r="K2" s="144"/>
      <c r="L2" s="144"/>
      <c r="M2" s="153"/>
      <c r="N2" s="44"/>
      <c r="O2" s="153"/>
    </row>
    <row r="3" spans="1:15" s="144" customFormat="1" ht="27" customHeight="1">
      <c r="A3" s="629" t="s">
        <v>0</v>
      </c>
      <c r="B3" s="844" t="s">
        <v>371</v>
      </c>
      <c r="C3" s="839" t="s">
        <v>370</v>
      </c>
      <c r="D3" s="839" t="s">
        <v>143</v>
      </c>
      <c r="E3" s="839" t="s">
        <v>369</v>
      </c>
      <c r="F3" s="840" t="s">
        <v>368</v>
      </c>
      <c r="N3" s="44"/>
    </row>
    <row r="4" spans="1:15" s="84" customFormat="1" ht="15.75">
      <c r="A4" s="641" t="s">
        <v>236</v>
      </c>
      <c r="B4" s="935">
        <v>13326</v>
      </c>
      <c r="C4" s="866">
        <v>1003</v>
      </c>
      <c r="D4" s="876">
        <f>SUM(B4:C4)</f>
        <v>14329</v>
      </c>
      <c r="E4" s="933">
        <f t="shared" ref="E4:E11" si="0">B4/D4</f>
        <v>0.93000209365622166</v>
      </c>
      <c r="F4" s="936">
        <f t="shared" ref="F4:F11" si="1">C4/D4</f>
        <v>6.9997906343778352E-2</v>
      </c>
      <c r="G4" s="19"/>
      <c r="N4" s="44"/>
    </row>
    <row r="5" spans="1:15" s="84" customFormat="1" ht="15.75">
      <c r="A5" s="641" t="s">
        <v>197</v>
      </c>
      <c r="B5" s="935">
        <v>15647</v>
      </c>
      <c r="C5" s="866">
        <v>1224</v>
      </c>
      <c r="D5" s="876">
        <f>SUM(B5:C5)</f>
        <v>16871</v>
      </c>
      <c r="E5" s="933">
        <f t="shared" si="0"/>
        <v>0.92744946950388241</v>
      </c>
      <c r="F5" s="936">
        <f t="shared" si="1"/>
        <v>7.2550530496117593E-2</v>
      </c>
      <c r="G5" s="19"/>
      <c r="M5" s="44"/>
      <c r="N5" s="44"/>
      <c r="O5" s="44"/>
    </row>
    <row r="6" spans="1:15" s="84" customFormat="1" ht="15.75">
      <c r="A6" s="641" t="s">
        <v>237</v>
      </c>
      <c r="B6" s="935">
        <v>20531</v>
      </c>
      <c r="C6" s="866">
        <v>658</v>
      </c>
      <c r="D6" s="876">
        <f>SUM(B6:C6)</f>
        <v>21189</v>
      </c>
      <c r="E6" s="933">
        <f t="shared" si="0"/>
        <v>0.96894615130492234</v>
      </c>
      <c r="F6" s="936">
        <f t="shared" si="1"/>
        <v>3.1053848695077636E-2</v>
      </c>
      <c r="G6" s="19"/>
      <c r="M6" s="44"/>
      <c r="N6" s="44"/>
      <c r="O6" s="44"/>
    </row>
    <row r="7" spans="1:15" s="84" customFormat="1" ht="15" customHeight="1">
      <c r="A7" s="641" t="s">
        <v>499</v>
      </c>
      <c r="B7" s="935">
        <v>25234</v>
      </c>
      <c r="C7" s="866">
        <v>1067</v>
      </c>
      <c r="D7" s="876">
        <f>+C7+B7</f>
        <v>26301</v>
      </c>
      <c r="E7" s="933">
        <f t="shared" si="0"/>
        <v>0.95943120033458806</v>
      </c>
      <c r="F7" s="936">
        <f t="shared" si="1"/>
        <v>4.0568799665411964E-2</v>
      </c>
      <c r="G7" s="19"/>
      <c r="M7" s="44"/>
      <c r="N7" s="44"/>
      <c r="O7" s="44"/>
    </row>
    <row r="8" spans="1:15" s="84" customFormat="1" ht="15" customHeight="1">
      <c r="A8" s="641" t="s">
        <v>619</v>
      </c>
      <c r="B8" s="935">
        <v>27072</v>
      </c>
      <c r="C8" s="866">
        <v>1680</v>
      </c>
      <c r="D8" s="876">
        <f>+C8+B8</f>
        <v>28752</v>
      </c>
      <c r="E8" s="933">
        <f>B8/D8</f>
        <v>0.94156928213689484</v>
      </c>
      <c r="F8" s="936">
        <f>C8/D8</f>
        <v>5.8430717863105178E-2</v>
      </c>
      <c r="G8" s="19"/>
      <c r="M8" s="44"/>
      <c r="N8" s="44"/>
      <c r="O8" s="44"/>
    </row>
    <row r="9" spans="1:15" s="84" customFormat="1" ht="15" customHeight="1">
      <c r="A9" s="641" t="s">
        <v>628</v>
      </c>
      <c r="B9" s="935">
        <v>28722</v>
      </c>
      <c r="C9" s="866">
        <v>1609</v>
      </c>
      <c r="D9" s="876">
        <f>+C9+B9</f>
        <v>30331</v>
      </c>
      <c r="E9" s="933">
        <f>B9/D9</f>
        <v>0.94695196333783915</v>
      </c>
      <c r="F9" s="936">
        <f>C9/D9</f>
        <v>5.3048036662160826E-2</v>
      </c>
      <c r="G9" s="19"/>
      <c r="M9" s="44"/>
      <c r="N9" s="44"/>
      <c r="O9" s="44"/>
    </row>
    <row r="10" spans="1:15" s="84" customFormat="1" ht="15" customHeight="1">
      <c r="A10" s="641" t="s">
        <v>632</v>
      </c>
      <c r="B10" s="935">
        <v>1932</v>
      </c>
      <c r="C10" s="866">
        <v>114</v>
      </c>
      <c r="D10" s="876">
        <f>+C10+B10</f>
        <v>2046</v>
      </c>
      <c r="E10" s="933">
        <f>B10/D10</f>
        <v>0.94428152492668627</v>
      </c>
      <c r="F10" s="936">
        <f>C10/D10</f>
        <v>5.5718475073313782E-2</v>
      </c>
      <c r="G10" s="19"/>
      <c r="M10" s="44"/>
      <c r="N10" s="44"/>
      <c r="O10" s="44"/>
    </row>
    <row r="11" spans="1:15" s="84" customFormat="1" ht="15.75">
      <c r="A11" s="865" t="s">
        <v>23</v>
      </c>
      <c r="B11" s="937">
        <f>SUM(B4:B10)</f>
        <v>132464</v>
      </c>
      <c r="C11" s="916">
        <f>SUM(C4:C10)</f>
        <v>7355</v>
      </c>
      <c r="D11" s="916">
        <f>SUM(D4:D10)</f>
        <v>139819</v>
      </c>
      <c r="E11" s="806">
        <f t="shared" si="0"/>
        <v>0.94739627661476622</v>
      </c>
      <c r="F11" s="934">
        <f t="shared" si="1"/>
        <v>5.2603723385233767E-2</v>
      </c>
      <c r="G11" s="19"/>
      <c r="M11" s="44"/>
      <c r="N11" s="44"/>
      <c r="O11" s="44"/>
    </row>
    <row r="12" spans="1:15" s="84" customFormat="1">
      <c r="A12" s="152"/>
      <c r="B12" s="151"/>
      <c r="C12" s="151"/>
      <c r="M12" s="44"/>
      <c r="N12" s="44"/>
      <c r="O12" s="44"/>
    </row>
    <row r="13" spans="1:15" s="84" customFormat="1">
      <c r="A13" s="152"/>
      <c r="B13" s="151"/>
      <c r="C13" s="151"/>
      <c r="L13" s="44"/>
      <c r="M13" s="44"/>
      <c r="N13" s="44"/>
      <c r="O13" s="44"/>
    </row>
    <row r="14" spans="1:15" s="84" customFormat="1">
      <c r="A14" s="152"/>
      <c r="B14" s="151"/>
      <c r="C14" s="151"/>
      <c r="L14" s="44"/>
      <c r="M14" s="44"/>
      <c r="N14" s="44"/>
      <c r="O14" s="44"/>
    </row>
    <row r="15" spans="1:15" s="84" customFormat="1">
      <c r="A15" s="152"/>
      <c r="B15" s="151"/>
      <c r="C15" s="151"/>
    </row>
    <row r="16" spans="1:15" s="84" customFormat="1"/>
    <row r="17" spans="12:12" s="84" customFormat="1"/>
    <row r="18" spans="12:12" s="84" customFormat="1"/>
    <row r="19" spans="12:12" s="84" customFormat="1"/>
    <row r="20" spans="12:12" s="84" customFormat="1"/>
    <row r="21" spans="12:12" s="84" customFormat="1"/>
    <row r="22" spans="12:12" s="84" customFormat="1"/>
    <row r="24" spans="12:12">
      <c r="L24" s="150"/>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0" zoomScaleNormal="100" zoomScaleSheetLayoutView="70" workbookViewId="0">
      <selection activeCell="N37" sqref="N37"/>
    </sheetView>
  </sheetViews>
  <sheetFormatPr baseColWidth="10" defaultColWidth="11.42578125" defaultRowHeight="15"/>
  <cols>
    <col min="1" max="1" width="14.42578125" style="44" customWidth="1"/>
    <col min="2" max="3" width="12.28515625" style="44" customWidth="1"/>
    <col min="4" max="4" width="10.140625" style="44" customWidth="1"/>
    <col min="5" max="5" width="13.7109375" style="44" customWidth="1"/>
    <col min="6" max="6" width="14.42578125" style="44" customWidth="1"/>
    <col min="7" max="7" width="13.85546875" style="44" customWidth="1"/>
    <col min="8" max="8" width="15.140625" style="44" customWidth="1"/>
    <col min="9" max="9" width="13.28515625" style="44" customWidth="1"/>
    <col min="10" max="10" width="18.42578125" style="44" customWidth="1"/>
    <col min="11" max="11" width="19.28515625" style="44" customWidth="1"/>
    <col min="12" max="12" width="26.7109375" style="44" customWidth="1"/>
    <col min="13" max="13" width="4.5703125" style="44" customWidth="1"/>
    <col min="14" max="16384" width="11.42578125" style="44"/>
  </cols>
  <sheetData>
    <row r="1" spans="1:13" s="84" customFormat="1" ht="64.5" customHeight="1">
      <c r="A1" s="1900"/>
      <c r="B1" s="1900"/>
      <c r="C1" s="1900"/>
      <c r="D1" s="1900"/>
      <c r="E1" s="1900"/>
      <c r="F1" s="1900"/>
      <c r="G1" s="1900"/>
      <c r="H1" s="1900"/>
      <c r="I1" s="1900"/>
      <c r="J1" s="1900"/>
      <c r="K1" s="1900"/>
      <c r="L1" s="1900"/>
      <c r="M1" s="153"/>
    </row>
    <row r="2" spans="1:13" s="84" customFormat="1" ht="12.75" customHeight="1">
      <c r="A2" s="144"/>
      <c r="B2" s="144"/>
      <c r="C2" s="144"/>
      <c r="D2" s="144"/>
      <c r="E2" s="144"/>
      <c r="F2" s="144"/>
      <c r="G2" s="144"/>
      <c r="H2" s="144"/>
      <c r="I2" s="144"/>
      <c r="J2" s="144"/>
      <c r="K2" s="144"/>
      <c r="L2" s="144"/>
      <c r="M2" s="153"/>
    </row>
    <row r="3" spans="1:13" s="144" customFormat="1" ht="30">
      <c r="A3" s="929" t="s">
        <v>0</v>
      </c>
      <c r="B3" s="927" t="s">
        <v>260</v>
      </c>
      <c r="C3" s="927" t="s">
        <v>259</v>
      </c>
      <c r="D3" s="927" t="s">
        <v>258</v>
      </c>
      <c r="E3" s="927" t="s">
        <v>257</v>
      </c>
      <c r="F3" s="927" t="s">
        <v>143</v>
      </c>
      <c r="G3" s="927" t="s">
        <v>256</v>
      </c>
      <c r="H3" s="927" t="s">
        <v>255</v>
      </c>
      <c r="I3" s="927" t="s">
        <v>254</v>
      </c>
      <c r="J3" s="928" t="s">
        <v>253</v>
      </c>
    </row>
    <row r="4" spans="1:13" s="84" customFormat="1" ht="15.75" customHeight="1">
      <c r="A4" s="856" t="s">
        <v>236</v>
      </c>
      <c r="B4" s="850">
        <v>11014</v>
      </c>
      <c r="C4" s="850">
        <v>2177</v>
      </c>
      <c r="D4" s="850">
        <v>128</v>
      </c>
      <c r="E4" s="850">
        <v>1010</v>
      </c>
      <c r="F4" s="972">
        <f t="shared" ref="F4:F10" si="0">SUM(B4:E4)</f>
        <v>14329</v>
      </c>
      <c r="G4" s="973">
        <f t="shared" ref="G4:G11" si="1">B4/F4</f>
        <v>0.76865098750785121</v>
      </c>
      <c r="H4" s="973">
        <f t="shared" ref="H4:H11" si="2">C4/F4</f>
        <v>0.15192965315095261</v>
      </c>
      <c r="I4" s="973">
        <f t="shared" ref="I4:I11" si="3">D4/F4</f>
        <v>8.9329332123665294E-3</v>
      </c>
      <c r="J4" s="974">
        <f t="shared" ref="J4:J11" si="4">E4/F4</f>
        <v>7.0486426128829646E-2</v>
      </c>
    </row>
    <row r="5" spans="1:13" s="84" customFormat="1" ht="15.75">
      <c r="A5" s="856" t="s">
        <v>197</v>
      </c>
      <c r="B5" s="850">
        <v>12997</v>
      </c>
      <c r="C5" s="850">
        <v>2524</v>
      </c>
      <c r="D5" s="850">
        <v>126</v>
      </c>
      <c r="E5" s="850">
        <v>1224</v>
      </c>
      <c r="F5" s="972">
        <f t="shared" si="0"/>
        <v>16871</v>
      </c>
      <c r="G5" s="973">
        <f t="shared" si="1"/>
        <v>0.77037520004741866</v>
      </c>
      <c r="H5" s="973">
        <f t="shared" si="2"/>
        <v>0.14960583249362813</v>
      </c>
      <c r="I5" s="973">
        <f t="shared" si="3"/>
        <v>7.4684369628356352E-3</v>
      </c>
      <c r="J5" s="974">
        <f t="shared" si="4"/>
        <v>7.2550530496117593E-2</v>
      </c>
    </row>
    <row r="6" spans="1:13" s="84" customFormat="1" ht="15.75">
      <c r="A6" s="856" t="s">
        <v>237</v>
      </c>
      <c r="B6" s="850">
        <v>15709</v>
      </c>
      <c r="C6" s="850">
        <v>4659</v>
      </c>
      <c r="D6" s="850">
        <v>163</v>
      </c>
      <c r="E6" s="850">
        <v>658</v>
      </c>
      <c r="F6" s="972">
        <f t="shared" si="0"/>
        <v>21189</v>
      </c>
      <c r="G6" s="973">
        <f t="shared" si="1"/>
        <v>0.74137524187078196</v>
      </c>
      <c r="H6" s="973">
        <f t="shared" si="2"/>
        <v>0.21987823870876397</v>
      </c>
      <c r="I6" s="973">
        <f t="shared" si="3"/>
        <v>7.6926707253763748E-3</v>
      </c>
      <c r="J6" s="974">
        <f t="shared" si="4"/>
        <v>3.1053848695077636E-2</v>
      </c>
    </row>
    <row r="7" spans="1:13" s="84" customFormat="1" ht="15.75">
      <c r="A7" s="856" t="s">
        <v>499</v>
      </c>
      <c r="B7" s="850">
        <v>18984</v>
      </c>
      <c r="C7" s="850">
        <v>6035</v>
      </c>
      <c r="D7" s="850">
        <v>215</v>
      </c>
      <c r="E7" s="850">
        <v>1067</v>
      </c>
      <c r="F7" s="972">
        <f t="shared" si="0"/>
        <v>26301</v>
      </c>
      <c r="G7" s="973">
        <f t="shared" si="1"/>
        <v>0.72179765027945708</v>
      </c>
      <c r="H7" s="973">
        <f t="shared" si="2"/>
        <v>0.22945895593323448</v>
      </c>
      <c r="I7" s="973">
        <f t="shared" si="3"/>
        <v>8.1745941218965053E-3</v>
      </c>
      <c r="J7" s="974">
        <f t="shared" si="4"/>
        <v>4.0568799665411964E-2</v>
      </c>
    </row>
    <row r="8" spans="1:13" s="84" customFormat="1" ht="15.75">
      <c r="A8" s="856" t="s">
        <v>619</v>
      </c>
      <c r="B8" s="850">
        <v>19765</v>
      </c>
      <c r="C8" s="850">
        <v>7064</v>
      </c>
      <c r="D8" s="850">
        <v>243</v>
      </c>
      <c r="E8" s="850">
        <v>1680</v>
      </c>
      <c r="F8" s="972">
        <f t="shared" si="0"/>
        <v>28752</v>
      </c>
      <c r="G8" s="973">
        <f t="shared" si="1"/>
        <v>0.68743043962159156</v>
      </c>
      <c r="H8" s="973">
        <f t="shared" si="2"/>
        <v>0.24568725653867557</v>
      </c>
      <c r="I8" s="973">
        <f t="shared" si="3"/>
        <v>8.451585976627712E-3</v>
      </c>
      <c r="J8" s="974">
        <f t="shared" si="4"/>
        <v>5.8430717863105178E-2</v>
      </c>
    </row>
    <row r="9" spans="1:13" s="84" customFormat="1" ht="15.75">
      <c r="A9" s="856" t="s">
        <v>628</v>
      </c>
      <c r="B9" s="850">
        <v>20884</v>
      </c>
      <c r="C9" s="850">
        <v>7546</v>
      </c>
      <c r="D9" s="850">
        <v>292</v>
      </c>
      <c r="E9" s="850">
        <v>1609</v>
      </c>
      <c r="F9" s="972">
        <f t="shared" si="0"/>
        <v>30331</v>
      </c>
      <c r="G9" s="973">
        <f t="shared" si="1"/>
        <v>0.68853648082819563</v>
      </c>
      <c r="H9" s="973">
        <f t="shared" si="2"/>
        <v>0.24878836833602586</v>
      </c>
      <c r="I9" s="973">
        <f t="shared" si="3"/>
        <v>9.6271141736177512E-3</v>
      </c>
      <c r="J9" s="974">
        <f t="shared" si="4"/>
        <v>5.3048036662160826E-2</v>
      </c>
    </row>
    <row r="10" spans="1:13" s="84" customFormat="1" ht="15.75">
      <c r="A10" s="856" t="s">
        <v>632</v>
      </c>
      <c r="B10" s="850">
        <v>1338</v>
      </c>
      <c r="C10" s="850">
        <v>573</v>
      </c>
      <c r="D10" s="850">
        <v>21</v>
      </c>
      <c r="E10" s="850">
        <v>114</v>
      </c>
      <c r="F10" s="972">
        <f t="shared" si="0"/>
        <v>2046</v>
      </c>
      <c r="G10" s="973">
        <f t="shared" si="1"/>
        <v>0.6539589442815249</v>
      </c>
      <c r="H10" s="973">
        <f t="shared" si="2"/>
        <v>0.28005865102639294</v>
      </c>
      <c r="I10" s="973">
        <f t="shared" si="3"/>
        <v>1.0263929618768328E-2</v>
      </c>
      <c r="J10" s="974">
        <f t="shared" si="4"/>
        <v>5.5718475073313782E-2</v>
      </c>
    </row>
    <row r="11" spans="1:13" s="84" customFormat="1" ht="15.75">
      <c r="A11" s="849" t="s">
        <v>23</v>
      </c>
      <c r="B11" s="857">
        <f>SUM(B4:B10)</f>
        <v>100691</v>
      </c>
      <c r="C11" s="857">
        <f>SUM(C4:C10)</f>
        <v>30578</v>
      </c>
      <c r="D11" s="857">
        <f>SUM(D4:D10)</f>
        <v>1188</v>
      </c>
      <c r="E11" s="857">
        <f>SUM(E4:E10)</f>
        <v>7362</v>
      </c>
      <c r="F11" s="857">
        <f>SUM(F4:F10)</f>
        <v>139819</v>
      </c>
      <c r="G11" s="858">
        <f t="shared" si="1"/>
        <v>0.72015248285283118</v>
      </c>
      <c r="H11" s="858">
        <f t="shared" si="2"/>
        <v>0.21869702973129546</v>
      </c>
      <c r="I11" s="858">
        <f t="shared" si="3"/>
        <v>8.4966993041003004E-3</v>
      </c>
      <c r="J11" s="859">
        <f t="shared" si="4"/>
        <v>5.2653788111773077E-2</v>
      </c>
    </row>
    <row r="12" spans="1:13" s="84" customFormat="1" ht="9.75" customHeight="1">
      <c r="A12" s="1906" t="s">
        <v>508</v>
      </c>
      <c r="B12" s="1906"/>
      <c r="C12" s="1906"/>
      <c r="D12" s="1906"/>
      <c r="E12" s="1906"/>
      <c r="F12" s="1906"/>
      <c r="G12" s="1906"/>
      <c r="H12" s="1906"/>
      <c r="I12" s="1906"/>
      <c r="J12" s="1906"/>
      <c r="K12" s="1906"/>
      <c r="L12" s="1906"/>
    </row>
    <row r="13" spans="1:13" s="84" customFormat="1">
      <c r="A13" s="1906"/>
      <c r="B13" s="1906"/>
      <c r="C13" s="1906"/>
      <c r="D13" s="1906"/>
      <c r="E13" s="1906"/>
      <c r="F13" s="1906"/>
      <c r="G13" s="1906"/>
      <c r="H13" s="1906"/>
      <c r="I13" s="1906"/>
      <c r="J13" s="1906"/>
      <c r="K13" s="1906"/>
      <c r="L13" s="1906"/>
    </row>
    <row r="14" spans="1:13" s="84" customFormat="1">
      <c r="A14" s="152"/>
      <c r="B14" s="151"/>
      <c r="C14" s="151"/>
      <c r="D14" s="151"/>
      <c r="E14" s="151"/>
    </row>
    <row r="15" spans="1:13" s="84" customFormat="1">
      <c r="A15" s="152"/>
      <c r="B15" s="151"/>
      <c r="C15" s="151"/>
      <c r="D15" s="151"/>
      <c r="E15" s="151"/>
    </row>
    <row r="16" spans="1:13" s="84" customFormat="1"/>
    <row r="17" s="84" customFormat="1"/>
    <row r="18" s="84" customFormat="1"/>
    <row r="19" s="84" customFormat="1"/>
    <row r="20" s="84" customFormat="1"/>
    <row r="21" s="84" customFormat="1"/>
    <row r="22" s="84"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Q22"/>
  <sheetViews>
    <sheetView showGridLines="0" view="pageBreakPreview" zoomScale="70" zoomScaleNormal="100" zoomScaleSheetLayoutView="70" workbookViewId="0">
      <selection activeCell="Q36" sqref="Q36"/>
    </sheetView>
  </sheetViews>
  <sheetFormatPr baseColWidth="10" defaultColWidth="11.42578125" defaultRowHeight="15"/>
  <cols>
    <col min="1" max="1" width="13.42578125" style="44" customWidth="1"/>
    <col min="2" max="2" width="10.7109375" style="44" customWidth="1"/>
    <col min="3" max="3" width="11.28515625" style="44" customWidth="1"/>
    <col min="4" max="4" width="9.140625" style="44" customWidth="1"/>
    <col min="5" max="5" width="9.5703125" style="44" customWidth="1"/>
    <col min="6" max="6" width="11.140625" style="44" customWidth="1"/>
    <col min="7" max="7" width="15.42578125" style="44" customWidth="1"/>
    <col min="8" max="8" width="10.7109375" style="44" customWidth="1"/>
    <col min="9" max="9" width="11.140625" style="44" customWidth="1"/>
    <col min="10" max="10" width="15" style="44" customWidth="1"/>
    <col min="11" max="11" width="9.7109375" style="44" customWidth="1"/>
    <col min="12" max="12" width="13.7109375" style="44" customWidth="1"/>
    <col min="13" max="13" width="13.42578125" style="44" customWidth="1"/>
    <col min="14" max="17" width="15.5703125" style="44" customWidth="1"/>
    <col min="18" max="16384" width="11.42578125" style="44"/>
  </cols>
  <sheetData>
    <row r="1" spans="1:17" s="84" customFormat="1" ht="65.25" customHeight="1">
      <c r="A1" s="1901"/>
      <c r="B1" s="1901"/>
      <c r="C1" s="1901"/>
      <c r="D1" s="1901"/>
      <c r="E1" s="1901"/>
      <c r="F1" s="1901"/>
      <c r="G1" s="1901"/>
      <c r="H1" s="1901"/>
      <c r="I1" s="1901"/>
      <c r="J1" s="1901"/>
      <c r="K1" s="1901"/>
      <c r="L1" s="1901"/>
      <c r="M1" s="1901"/>
      <c r="N1" s="1901"/>
      <c r="O1" s="215"/>
      <c r="P1" s="215"/>
      <c r="Q1" s="215"/>
    </row>
    <row r="2" spans="1:17" s="43" customFormat="1" ht="9.75" customHeight="1">
      <c r="A2" s="875"/>
      <c r="B2" s="188"/>
      <c r="C2" s="188"/>
      <c r="D2" s="188"/>
      <c r="E2" s="188"/>
      <c r="F2" s="188"/>
      <c r="G2" s="188"/>
      <c r="H2" s="188"/>
      <c r="I2" s="188"/>
      <c r="J2" s="188"/>
      <c r="K2" s="188"/>
      <c r="L2" s="188"/>
      <c r="M2" s="188"/>
      <c r="N2" s="1112"/>
      <c r="O2" s="188"/>
      <c r="P2" s="188"/>
      <c r="Q2" s="188"/>
    </row>
    <row r="3" spans="1:17" s="144" customFormat="1" ht="31.5">
      <c r="A3" s="978" t="s">
        <v>0</v>
      </c>
      <c r="B3" s="854" t="s">
        <v>384</v>
      </c>
      <c r="C3" s="854" t="s">
        <v>383</v>
      </c>
      <c r="D3" s="854" t="s">
        <v>382</v>
      </c>
      <c r="E3" s="854" t="s">
        <v>381</v>
      </c>
      <c r="F3" s="854" t="s">
        <v>380</v>
      </c>
      <c r="G3" s="854" t="s">
        <v>379</v>
      </c>
      <c r="H3" s="854" t="s">
        <v>143</v>
      </c>
      <c r="I3" s="854" t="s">
        <v>378</v>
      </c>
      <c r="J3" s="854" t="s">
        <v>377</v>
      </c>
      <c r="K3" s="854" t="s">
        <v>376</v>
      </c>
      <c r="L3" s="854" t="s">
        <v>375</v>
      </c>
      <c r="M3" s="854" t="s">
        <v>374</v>
      </c>
      <c r="N3" s="855" t="s">
        <v>253</v>
      </c>
      <c r="O3" s="229"/>
      <c r="P3" s="229"/>
      <c r="Q3" s="229"/>
    </row>
    <row r="4" spans="1:17" s="84" customFormat="1" ht="15.75">
      <c r="A4" s="856" t="s">
        <v>236</v>
      </c>
      <c r="B4" s="926">
        <v>6838</v>
      </c>
      <c r="C4" s="926">
        <v>5185</v>
      </c>
      <c r="D4" s="926">
        <v>853</v>
      </c>
      <c r="E4" s="926">
        <v>140</v>
      </c>
      <c r="F4" s="926">
        <v>310</v>
      </c>
      <c r="G4" s="926">
        <v>1003</v>
      </c>
      <c r="H4" s="975">
        <f>SUM(B4:G4)</f>
        <v>14329</v>
      </c>
      <c r="I4" s="976">
        <f t="shared" ref="I4:I11" si="0">B4/H4</f>
        <v>0.47721404145439317</v>
      </c>
      <c r="J4" s="976">
        <f t="shared" ref="J4:J11" si="1">C4/H4</f>
        <v>0.36185358364156606</v>
      </c>
      <c r="K4" s="976">
        <f t="shared" ref="K4:K11" si="2">D4/H4</f>
        <v>5.9529625235536322E-2</v>
      </c>
      <c r="L4" s="976">
        <f t="shared" ref="L4:L11" si="3">E4/H4</f>
        <v>9.7703957010258913E-3</v>
      </c>
      <c r="M4" s="976">
        <f t="shared" ref="M4:M11" si="4">F4/H4</f>
        <v>2.163444762370019E-2</v>
      </c>
      <c r="N4" s="976">
        <f t="shared" ref="N4:N11" si="5">G4/H4</f>
        <v>6.9997906343778352E-2</v>
      </c>
      <c r="O4" s="926"/>
      <c r="P4" s="926"/>
      <c r="Q4" s="926"/>
    </row>
    <row r="5" spans="1:17" s="84" customFormat="1" ht="15.75">
      <c r="A5" s="856" t="s">
        <v>197</v>
      </c>
      <c r="B5" s="926">
        <v>8908</v>
      </c>
      <c r="C5" s="926">
        <v>5224</v>
      </c>
      <c r="D5" s="926">
        <v>880</v>
      </c>
      <c r="E5" s="926">
        <v>148</v>
      </c>
      <c r="F5" s="926">
        <v>487</v>
      </c>
      <c r="G5" s="926">
        <v>1224</v>
      </c>
      <c r="H5" s="975">
        <f>SUM(B5:G5)</f>
        <v>16871</v>
      </c>
      <c r="I5" s="976">
        <f t="shared" si="0"/>
        <v>0.52800663861063368</v>
      </c>
      <c r="J5" s="976">
        <f t="shared" si="1"/>
        <v>0.3096437674115346</v>
      </c>
      <c r="K5" s="976">
        <f t="shared" si="2"/>
        <v>5.2160512121391736E-2</v>
      </c>
      <c r="L5" s="976">
        <f t="shared" si="3"/>
        <v>8.7724497658704277E-3</v>
      </c>
      <c r="M5" s="976">
        <f t="shared" si="4"/>
        <v>2.8866101594452017E-2</v>
      </c>
      <c r="N5" s="976">
        <f t="shared" si="5"/>
        <v>7.2550530496117593E-2</v>
      </c>
      <c r="O5" s="926"/>
      <c r="P5" s="926"/>
      <c r="Q5" s="926"/>
    </row>
    <row r="6" spans="1:17" s="84" customFormat="1" ht="15.75">
      <c r="A6" s="856" t="s">
        <v>237</v>
      </c>
      <c r="B6" s="926">
        <v>11414</v>
      </c>
      <c r="C6" s="926">
        <v>7139</v>
      </c>
      <c r="D6" s="926">
        <v>1109</v>
      </c>
      <c r="E6" s="926">
        <v>180</v>
      </c>
      <c r="F6" s="926">
        <v>689</v>
      </c>
      <c r="G6" s="926">
        <v>658</v>
      </c>
      <c r="H6" s="975">
        <f>SUM(B6:G6)</f>
        <v>21189</v>
      </c>
      <c r="I6" s="976">
        <f t="shared" si="0"/>
        <v>0.53867572797206098</v>
      </c>
      <c r="J6" s="976">
        <f t="shared" si="1"/>
        <v>0.33692010005191375</v>
      </c>
      <c r="K6" s="976">
        <f t="shared" si="2"/>
        <v>5.2338477511916559E-2</v>
      </c>
      <c r="L6" s="976">
        <f t="shared" si="3"/>
        <v>8.4949738071640954E-3</v>
      </c>
      <c r="M6" s="976">
        <f t="shared" si="4"/>
        <v>3.2516871961867005E-2</v>
      </c>
      <c r="N6" s="976">
        <f t="shared" si="5"/>
        <v>3.1053848695077636E-2</v>
      </c>
      <c r="O6" s="926"/>
      <c r="P6" s="926"/>
      <c r="Q6" s="926"/>
    </row>
    <row r="7" spans="1:17" s="84" customFormat="1" ht="15.75">
      <c r="A7" s="856" t="s">
        <v>499</v>
      </c>
      <c r="B7" s="926">
        <v>15120</v>
      </c>
      <c r="C7" s="926">
        <v>8407</v>
      </c>
      <c r="D7" s="926">
        <v>937</v>
      </c>
      <c r="E7" s="926">
        <v>154</v>
      </c>
      <c r="F7" s="926">
        <v>616</v>
      </c>
      <c r="G7" s="926">
        <v>1067</v>
      </c>
      <c r="H7" s="977">
        <f>+B7+C7+D7+E7+F7+G7</f>
        <v>26301</v>
      </c>
      <c r="I7" s="976">
        <f t="shared" si="0"/>
        <v>0.57488308429337287</v>
      </c>
      <c r="J7" s="976">
        <f t="shared" si="1"/>
        <v>0.31964564085015779</v>
      </c>
      <c r="K7" s="976">
        <f t="shared" si="2"/>
        <v>3.562602182426524E-2</v>
      </c>
      <c r="L7" s="976">
        <f t="shared" si="3"/>
        <v>5.8552906733584272E-3</v>
      </c>
      <c r="M7" s="976">
        <f t="shared" si="4"/>
        <v>2.3421162693433709E-2</v>
      </c>
      <c r="N7" s="976">
        <f t="shared" si="5"/>
        <v>4.0568799665411964E-2</v>
      </c>
      <c r="O7" s="926"/>
      <c r="P7" s="926"/>
      <c r="Q7" s="926"/>
    </row>
    <row r="8" spans="1:17" s="84" customFormat="1" ht="15.75">
      <c r="A8" s="856" t="s">
        <v>619</v>
      </c>
      <c r="B8" s="926">
        <v>16356</v>
      </c>
      <c r="C8" s="926">
        <v>9164</v>
      </c>
      <c r="D8" s="926">
        <v>1031</v>
      </c>
      <c r="E8" s="926">
        <v>158</v>
      </c>
      <c r="F8" s="926">
        <v>363</v>
      </c>
      <c r="G8" s="926">
        <v>1680</v>
      </c>
      <c r="H8" s="977">
        <f>+B8+C8+D8+E8+F8+G8</f>
        <v>28752</v>
      </c>
      <c r="I8" s="976">
        <f t="shared" si="0"/>
        <v>0.5688647746243739</v>
      </c>
      <c r="J8" s="976">
        <f t="shared" si="1"/>
        <v>0.31872565386755702</v>
      </c>
      <c r="K8" s="976">
        <f t="shared" si="2"/>
        <v>3.5858375069560376E-2</v>
      </c>
      <c r="L8" s="976">
        <f t="shared" si="3"/>
        <v>5.4952698942682251E-3</v>
      </c>
      <c r="M8" s="976">
        <f t="shared" si="4"/>
        <v>1.2625208681135225E-2</v>
      </c>
      <c r="N8" s="976">
        <f t="shared" si="5"/>
        <v>5.8430717863105178E-2</v>
      </c>
      <c r="O8" s="926"/>
      <c r="P8" s="926"/>
      <c r="Q8" s="926"/>
    </row>
    <row r="9" spans="1:17" s="84" customFormat="1" ht="15.75">
      <c r="A9" s="856" t="s">
        <v>628</v>
      </c>
      <c r="B9" s="926">
        <v>16770</v>
      </c>
      <c r="C9" s="926">
        <v>10494</v>
      </c>
      <c r="D9" s="926">
        <v>895</v>
      </c>
      <c r="E9" s="926">
        <v>220</v>
      </c>
      <c r="F9" s="926">
        <v>343</v>
      </c>
      <c r="G9" s="926">
        <v>1609</v>
      </c>
      <c r="H9" s="977">
        <f>+B9+C9+D9+E9+F9+G9</f>
        <v>30331</v>
      </c>
      <c r="I9" s="976">
        <f t="shared" si="0"/>
        <v>0.55289967360126602</v>
      </c>
      <c r="J9" s="976">
        <f t="shared" si="1"/>
        <v>0.34598265800665984</v>
      </c>
      <c r="K9" s="976">
        <f t="shared" si="2"/>
        <v>2.9507764333520162E-2</v>
      </c>
      <c r="L9" s="976">
        <f t="shared" si="3"/>
        <v>7.2533051993010451E-3</v>
      </c>
      <c r="M9" s="976">
        <f t="shared" si="4"/>
        <v>1.1308562197092083E-2</v>
      </c>
      <c r="N9" s="976">
        <f t="shared" si="5"/>
        <v>5.3048036662160826E-2</v>
      </c>
      <c r="O9" s="926"/>
      <c r="P9" s="926"/>
      <c r="Q9" s="926"/>
    </row>
    <row r="10" spans="1:17" s="84" customFormat="1" ht="15.75">
      <c r="A10" s="856" t="s">
        <v>632</v>
      </c>
      <c r="B10" s="926">
        <v>1094</v>
      </c>
      <c r="C10" s="926">
        <v>748</v>
      </c>
      <c r="D10" s="926">
        <v>63</v>
      </c>
      <c r="E10" s="926">
        <v>16</v>
      </c>
      <c r="F10" s="926">
        <v>11</v>
      </c>
      <c r="G10" s="926">
        <v>114</v>
      </c>
      <c r="H10" s="977">
        <f>+B10+C10+D10+E10+F10+G10</f>
        <v>2046</v>
      </c>
      <c r="I10" s="976">
        <f t="shared" si="0"/>
        <v>0.53470185728250241</v>
      </c>
      <c r="J10" s="976">
        <f t="shared" si="1"/>
        <v>0.36559139784946237</v>
      </c>
      <c r="K10" s="976">
        <f t="shared" si="2"/>
        <v>3.0791788856304986E-2</v>
      </c>
      <c r="L10" s="976">
        <f t="shared" si="3"/>
        <v>7.8201368523949169E-3</v>
      </c>
      <c r="M10" s="976">
        <f t="shared" si="4"/>
        <v>5.3763440860215058E-3</v>
      </c>
      <c r="N10" s="976">
        <f t="shared" si="5"/>
        <v>5.5718475073313782E-2</v>
      </c>
      <c r="O10" s="926"/>
      <c r="P10" s="926"/>
      <c r="Q10" s="926"/>
    </row>
    <row r="11" spans="1:17" s="84" customFormat="1" ht="15.75">
      <c r="A11" s="849" t="s">
        <v>23</v>
      </c>
      <c r="B11" s="857">
        <f>SUM(B4:B10)</f>
        <v>76500</v>
      </c>
      <c r="C11" s="857">
        <f t="shared" ref="C11:H11" si="6">SUM(C4:C10)</f>
        <v>46361</v>
      </c>
      <c r="D11" s="857">
        <f t="shared" si="6"/>
        <v>5768</v>
      </c>
      <c r="E11" s="857">
        <f t="shared" si="6"/>
        <v>1016</v>
      </c>
      <c r="F11" s="857">
        <f t="shared" si="6"/>
        <v>2819</v>
      </c>
      <c r="G11" s="857">
        <f t="shared" si="6"/>
        <v>7355</v>
      </c>
      <c r="H11" s="857">
        <f t="shared" si="6"/>
        <v>139819</v>
      </c>
      <c r="I11" s="979">
        <f t="shared" si="0"/>
        <v>0.5471359400367618</v>
      </c>
      <c r="J11" s="979">
        <f t="shared" si="1"/>
        <v>0.33157868386986034</v>
      </c>
      <c r="K11" s="979">
        <f t="shared" si="2"/>
        <v>4.1253334668392705E-2</v>
      </c>
      <c r="L11" s="979">
        <f t="shared" si="3"/>
        <v>7.2665374519915032E-3</v>
      </c>
      <c r="M11" s="979">
        <f t="shared" si="4"/>
        <v>2.016178058775989E-2</v>
      </c>
      <c r="N11" s="932">
        <f t="shared" si="5"/>
        <v>5.2603723385233767E-2</v>
      </c>
      <c r="O11" s="926"/>
      <c r="P11" s="926"/>
      <c r="Q11" s="926"/>
    </row>
    <row r="12" spans="1:17" s="84" customFormat="1">
      <c r="A12" s="152"/>
      <c r="B12" s="151"/>
      <c r="C12" s="151"/>
      <c r="D12" s="151"/>
      <c r="E12" s="151"/>
      <c r="F12" s="151"/>
      <c r="G12" s="151"/>
    </row>
    <row r="13" spans="1:17" s="84" customFormat="1">
      <c r="A13" s="152"/>
      <c r="B13" s="151"/>
      <c r="C13" s="151"/>
      <c r="D13" s="151"/>
      <c r="E13" s="151"/>
      <c r="F13" s="151"/>
      <c r="G13" s="151"/>
    </row>
    <row r="14" spans="1:17" s="84" customFormat="1">
      <c r="A14" s="152"/>
      <c r="B14" s="151"/>
      <c r="C14" s="151"/>
      <c r="D14" s="151"/>
      <c r="E14" s="151"/>
      <c r="F14" s="151"/>
      <c r="G14" s="151"/>
    </row>
    <row r="15" spans="1:17" s="84" customFormat="1">
      <c r="A15" s="152"/>
      <c r="B15" s="151"/>
      <c r="C15" s="151"/>
      <c r="D15" s="151"/>
      <c r="E15" s="151"/>
      <c r="F15" s="151"/>
      <c r="G15" s="151"/>
    </row>
    <row r="16" spans="1:17" s="84" customFormat="1"/>
    <row r="17" s="84" customFormat="1"/>
    <row r="18" s="84" customFormat="1"/>
    <row r="19" s="84" customFormat="1"/>
    <row r="20" s="84" customFormat="1"/>
    <row r="21" s="84" customFormat="1"/>
    <row r="22" s="84" customFormat="1"/>
  </sheetData>
  <mergeCells count="1">
    <mergeCell ref="A1:N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topLeftCell="G1" zoomScale="70" zoomScaleNormal="85" zoomScaleSheetLayoutView="70" workbookViewId="0">
      <selection activeCell="P2" sqref="P2:R29"/>
    </sheetView>
  </sheetViews>
  <sheetFormatPr baseColWidth="10" defaultColWidth="11.42578125" defaultRowHeight="13.5" customHeight="1"/>
  <cols>
    <col min="1" max="1" width="24.425781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76" customWidth="1"/>
    <col min="17" max="17" width="13.42578125" style="76" customWidth="1"/>
    <col min="18" max="18" width="13.7109375" style="76" customWidth="1"/>
    <col min="19" max="16384" width="11.42578125" style="76"/>
  </cols>
  <sheetData>
    <row r="2" spans="1:21" ht="65.25" customHeight="1"/>
    <row r="3" spans="1:21" ht="21.75" customHeight="1">
      <c r="A3" s="1750"/>
      <c r="B3" s="1750"/>
      <c r="C3" s="1750"/>
      <c r="D3" s="1750"/>
      <c r="E3" s="1750"/>
      <c r="F3" s="1750"/>
      <c r="G3" s="1750"/>
      <c r="H3" s="1750"/>
      <c r="I3" s="1750"/>
      <c r="J3" s="1750"/>
      <c r="K3" s="1750"/>
      <c r="L3" s="1750"/>
      <c r="M3" s="1750"/>
      <c r="N3" s="1750"/>
      <c r="P3" s="84"/>
      <c r="Q3" s="84"/>
    </row>
    <row r="4" spans="1:21" s="318" customFormat="1" ht="33.75" customHeight="1">
      <c r="A4" s="323" t="s">
        <v>796</v>
      </c>
      <c r="B4" s="1679" t="s">
        <v>130</v>
      </c>
      <c r="C4" s="323" t="s">
        <v>574</v>
      </c>
      <c r="D4" s="323" t="s">
        <v>812</v>
      </c>
      <c r="E4" s="323" t="s">
        <v>77</v>
      </c>
      <c r="F4" s="323" t="s">
        <v>627</v>
      </c>
      <c r="G4" s="1680" t="s">
        <v>813</v>
      </c>
      <c r="H4" s="323" t="s">
        <v>23</v>
      </c>
      <c r="I4" s="313"/>
      <c r="J4" s="313"/>
      <c r="K4" s="313"/>
      <c r="L4" s="314"/>
      <c r="M4" s="314"/>
      <c r="N4" s="314"/>
      <c r="O4" s="314"/>
      <c r="P4" s="315"/>
      <c r="Q4" s="130"/>
      <c r="R4" s="317"/>
      <c r="U4" s="319"/>
    </row>
    <row r="5" spans="1:21" ht="21">
      <c r="A5" s="1681" t="s">
        <v>797</v>
      </c>
      <c r="B5" s="509">
        <v>12390</v>
      </c>
      <c r="C5" s="1682"/>
      <c r="D5" s="1683">
        <f>B5/H5</f>
        <v>0.59135166093928981</v>
      </c>
      <c r="E5" s="509">
        <v>8562</v>
      </c>
      <c r="F5" s="1682"/>
      <c r="G5" s="1684">
        <f>E5/H5</f>
        <v>0.40864833906071019</v>
      </c>
      <c r="H5" s="1685">
        <f>B5+E5</f>
        <v>20952</v>
      </c>
      <c r="J5" s="130"/>
      <c r="K5" s="130"/>
      <c r="L5" s="268"/>
      <c r="M5" s="265"/>
      <c r="N5" s="265"/>
      <c r="O5" s="266"/>
      <c r="P5" s="501"/>
      <c r="Q5" s="130"/>
      <c r="U5" s="173"/>
    </row>
    <row r="6" spans="1:21" ht="18.75">
      <c r="A6" s="1686" t="s">
        <v>798</v>
      </c>
      <c r="B6" s="512">
        <v>118089</v>
      </c>
      <c r="C6" s="1687"/>
      <c r="D6" s="1683">
        <f t="shared" ref="D6:D19" si="0">B6/H6</f>
        <v>0.57759071855848099</v>
      </c>
      <c r="E6" s="512">
        <v>86362</v>
      </c>
      <c r="F6" s="1687"/>
      <c r="G6" s="1683">
        <f t="shared" ref="G6:G19" si="1">E6/H6</f>
        <v>0.42240928144151901</v>
      </c>
      <c r="H6" s="1688">
        <f t="shared" ref="H6:H20" si="2">B6+E6</f>
        <v>204451</v>
      </c>
      <c r="J6" s="130"/>
      <c r="K6" s="130"/>
      <c r="L6" s="268"/>
      <c r="M6" s="265"/>
      <c r="N6" s="265"/>
      <c r="O6" s="266"/>
      <c r="P6" s="269"/>
      <c r="Q6" s="130"/>
      <c r="U6" s="173"/>
    </row>
    <row r="7" spans="1:21" ht="18.75">
      <c r="A7" s="1686" t="s">
        <v>799</v>
      </c>
      <c r="B7" s="512">
        <v>144166</v>
      </c>
      <c r="C7" s="1687"/>
      <c r="D7" s="1683">
        <f t="shared" si="0"/>
        <v>0.56069321447878628</v>
      </c>
      <c r="E7" s="512">
        <v>112955</v>
      </c>
      <c r="F7" s="1687"/>
      <c r="G7" s="1683">
        <f t="shared" si="1"/>
        <v>0.43930678552121377</v>
      </c>
      <c r="H7" s="1688">
        <f t="shared" si="2"/>
        <v>257121</v>
      </c>
      <c r="J7" s="130"/>
      <c r="K7" s="130"/>
      <c r="L7" s="268"/>
      <c r="M7" s="265"/>
      <c r="N7" s="265"/>
      <c r="O7" s="266"/>
      <c r="P7" s="1087"/>
      <c r="Q7" s="130"/>
      <c r="R7" s="270"/>
      <c r="U7" s="173"/>
    </row>
    <row r="8" spans="1:21" ht="18.75">
      <c r="A8" s="1686" t="s">
        <v>800</v>
      </c>
      <c r="B8" s="512">
        <v>134946</v>
      </c>
      <c r="C8" s="1687"/>
      <c r="D8" s="1683">
        <f t="shared" si="0"/>
        <v>0.54336586780054119</v>
      </c>
      <c r="E8" s="512">
        <v>113406</v>
      </c>
      <c r="F8" s="1687"/>
      <c r="G8" s="1683">
        <f t="shared" si="1"/>
        <v>0.45663413219945881</v>
      </c>
      <c r="H8" s="1688">
        <f t="shared" si="2"/>
        <v>248352</v>
      </c>
      <c r="J8" s="267"/>
      <c r="K8" s="267"/>
      <c r="L8" s="271"/>
      <c r="M8" s="265"/>
      <c r="N8" s="265"/>
      <c r="O8" s="266"/>
      <c r="P8" s="1087"/>
      <c r="Q8" s="130"/>
      <c r="R8" s="66"/>
    </row>
    <row r="9" spans="1:21" ht="18.75">
      <c r="A9" s="1686" t="s">
        <v>801</v>
      </c>
      <c r="B9" s="512">
        <v>120443</v>
      </c>
      <c r="C9" s="1687"/>
      <c r="D9" s="1683">
        <f t="shared" si="0"/>
        <v>0.53411056221230857</v>
      </c>
      <c r="E9" s="512">
        <v>105059</v>
      </c>
      <c r="F9" s="1687"/>
      <c r="G9" s="1683">
        <f t="shared" si="1"/>
        <v>0.46588943778769148</v>
      </c>
      <c r="H9" s="1688">
        <f t="shared" si="2"/>
        <v>225502</v>
      </c>
      <c r="J9" s="272"/>
      <c r="K9" s="272"/>
      <c r="L9" s="271"/>
      <c r="M9" s="265"/>
      <c r="N9" s="265"/>
      <c r="O9" s="266"/>
      <c r="P9" s="1087"/>
      <c r="Q9" s="130"/>
      <c r="R9" s="66"/>
      <c r="U9" s="173"/>
    </row>
    <row r="10" spans="1:21" ht="18.75">
      <c r="A10" s="1686" t="s">
        <v>802</v>
      </c>
      <c r="B10" s="512">
        <v>102316</v>
      </c>
      <c r="C10" s="1687"/>
      <c r="D10" s="1683">
        <f t="shared" si="0"/>
        <v>0.53359896113107375</v>
      </c>
      <c r="E10" s="512">
        <v>89431</v>
      </c>
      <c r="F10" s="1687"/>
      <c r="G10" s="1683">
        <f t="shared" si="1"/>
        <v>0.46640103886892625</v>
      </c>
      <c r="H10" s="1688">
        <f t="shared" si="2"/>
        <v>191747</v>
      </c>
      <c r="J10" s="130"/>
      <c r="K10" s="130"/>
      <c r="L10" s="271"/>
      <c r="M10" s="265"/>
      <c r="N10" s="265"/>
      <c r="O10" s="266"/>
      <c r="P10" s="269"/>
      <c r="Q10" s="130"/>
      <c r="R10" s="66"/>
    </row>
    <row r="11" spans="1:21" ht="18.75">
      <c r="A11" s="1686" t="s">
        <v>803</v>
      </c>
      <c r="B11" s="512">
        <v>88561</v>
      </c>
      <c r="C11" s="1687"/>
      <c r="D11" s="1683">
        <f t="shared" si="0"/>
        <v>0.53732602021623854</v>
      </c>
      <c r="E11" s="512">
        <v>76257</v>
      </c>
      <c r="F11" s="1687"/>
      <c r="G11" s="1683">
        <f t="shared" si="1"/>
        <v>0.46267397978376146</v>
      </c>
      <c r="H11" s="1688">
        <f t="shared" si="2"/>
        <v>164818</v>
      </c>
      <c r="J11" s="130"/>
      <c r="K11" s="130"/>
      <c r="L11" s="271"/>
      <c r="M11" s="265"/>
      <c r="N11" s="265"/>
      <c r="O11" s="266"/>
      <c r="P11" s="272"/>
      <c r="Q11" s="130"/>
      <c r="R11" s="66"/>
    </row>
    <row r="12" spans="1:21" ht="18.75">
      <c r="A12" s="1686" t="s">
        <v>804</v>
      </c>
      <c r="B12" s="1689">
        <v>71519</v>
      </c>
      <c r="C12" s="1687"/>
      <c r="D12" s="1683">
        <f t="shared" si="0"/>
        <v>0.55500027160627952</v>
      </c>
      <c r="E12" s="1689">
        <v>57344</v>
      </c>
      <c r="F12" s="1687"/>
      <c r="G12" s="1683">
        <f t="shared" si="1"/>
        <v>0.44499972839372048</v>
      </c>
      <c r="H12" s="1688">
        <f t="shared" si="2"/>
        <v>128863</v>
      </c>
      <c r="J12" s="108"/>
      <c r="K12" s="108"/>
      <c r="L12" s="271"/>
      <c r="M12" s="265"/>
      <c r="N12" s="265"/>
      <c r="O12" s="272"/>
      <c r="P12" s="272"/>
      <c r="Q12" s="130"/>
      <c r="R12" s="66"/>
    </row>
    <row r="13" spans="1:21" ht="18.75">
      <c r="A13" s="1686" t="s">
        <v>805</v>
      </c>
      <c r="B13" s="512">
        <v>54018</v>
      </c>
      <c r="C13" s="1687"/>
      <c r="D13" s="1683">
        <f t="shared" si="0"/>
        <v>0.58344224226386565</v>
      </c>
      <c r="E13" s="512">
        <v>38567</v>
      </c>
      <c r="F13" s="1687"/>
      <c r="G13" s="1683">
        <f t="shared" si="1"/>
        <v>0.41655775773613435</v>
      </c>
      <c r="H13" s="1688">
        <f t="shared" si="2"/>
        <v>92585</v>
      </c>
      <c r="J13" s="108"/>
      <c r="K13" s="108"/>
      <c r="L13" s="273"/>
      <c r="M13" s="265"/>
      <c r="N13" s="265"/>
      <c r="O13" s="266"/>
      <c r="P13" s="173"/>
      <c r="Q13" s="130"/>
      <c r="R13" s="66"/>
    </row>
    <row r="14" spans="1:21" ht="18.75">
      <c r="A14" s="1686" t="s">
        <v>806</v>
      </c>
      <c r="B14" s="512">
        <v>35303</v>
      </c>
      <c r="C14" s="1687"/>
      <c r="D14" s="1683">
        <f t="shared" si="0"/>
        <v>0.6137197294995046</v>
      </c>
      <c r="E14" s="512">
        <v>22220</v>
      </c>
      <c r="F14" s="1687"/>
      <c r="G14" s="1683">
        <f t="shared" si="1"/>
        <v>0.38628027050049546</v>
      </c>
      <c r="H14" s="1688">
        <f t="shared" si="2"/>
        <v>57523</v>
      </c>
      <c r="J14" s="108"/>
      <c r="K14" s="108"/>
      <c r="L14" s="273"/>
      <c r="M14" s="265"/>
      <c r="N14" s="265"/>
      <c r="O14" s="266"/>
      <c r="Q14" s="130"/>
      <c r="R14" s="66"/>
    </row>
    <row r="15" spans="1:21" ht="18.75">
      <c r="A15" s="1686" t="s">
        <v>807</v>
      </c>
      <c r="B15" s="512">
        <v>20542</v>
      </c>
      <c r="C15" s="1687"/>
      <c r="D15" s="1683">
        <f t="shared" si="0"/>
        <v>0.65105223123732248</v>
      </c>
      <c r="E15" s="512">
        <v>11010</v>
      </c>
      <c r="F15" s="1687"/>
      <c r="G15" s="1683">
        <f t="shared" si="1"/>
        <v>0.34894776876267747</v>
      </c>
      <c r="H15" s="1688">
        <f t="shared" si="2"/>
        <v>31552</v>
      </c>
      <c r="J15" s="108"/>
      <c r="K15" s="108"/>
      <c r="L15" s="108"/>
      <c r="M15" s="108"/>
      <c r="Q15" s="130"/>
      <c r="R15" s="66"/>
    </row>
    <row r="16" spans="1:21" ht="18.75">
      <c r="A16" s="1686" t="s">
        <v>808</v>
      </c>
      <c r="B16" s="512">
        <v>10694</v>
      </c>
      <c r="C16" s="1690"/>
      <c r="D16" s="1683">
        <f t="shared" si="0"/>
        <v>0.6771783181357649</v>
      </c>
      <c r="E16" s="512">
        <v>5098</v>
      </c>
      <c r="F16" s="1690"/>
      <c r="G16" s="1683">
        <f t="shared" si="1"/>
        <v>0.32282168186423504</v>
      </c>
      <c r="H16" s="1688">
        <f t="shared" si="2"/>
        <v>15792</v>
      </c>
      <c r="J16" s="108"/>
      <c r="K16" s="108"/>
      <c r="L16" s="108"/>
      <c r="M16" s="108"/>
      <c r="Q16" s="130"/>
      <c r="R16" s="66"/>
    </row>
    <row r="17" spans="1:18" ht="18.75">
      <c r="A17" s="1686" t="s">
        <v>809</v>
      </c>
      <c r="B17" s="512">
        <v>5819</v>
      </c>
      <c r="C17" s="1690"/>
      <c r="D17" s="1683">
        <f t="shared" si="0"/>
        <v>0.67994858611825193</v>
      </c>
      <c r="E17" s="512">
        <v>2739</v>
      </c>
      <c r="F17" s="1690"/>
      <c r="G17" s="1683">
        <f t="shared" si="1"/>
        <v>0.32005141388174807</v>
      </c>
      <c r="H17" s="1688">
        <f t="shared" si="2"/>
        <v>8558</v>
      </c>
      <c r="J17" s="108"/>
      <c r="K17" s="108"/>
      <c r="L17" s="108"/>
      <c r="M17" s="108"/>
      <c r="Q17" s="130"/>
      <c r="R17" s="66"/>
    </row>
    <row r="18" spans="1:18" ht="18.75">
      <c r="A18" s="1686" t="s">
        <v>810</v>
      </c>
      <c r="B18" s="512">
        <v>2812</v>
      </c>
      <c r="C18" s="1690"/>
      <c r="D18" s="1683">
        <f t="shared" si="0"/>
        <v>0.68602098072700657</v>
      </c>
      <c r="E18" s="512">
        <v>1287</v>
      </c>
      <c r="F18" s="1690"/>
      <c r="G18" s="1683">
        <f t="shared" si="1"/>
        <v>0.31397901927299343</v>
      </c>
      <c r="H18" s="1688">
        <f t="shared" si="2"/>
        <v>4099</v>
      </c>
      <c r="J18" s="108"/>
      <c r="K18" s="108"/>
      <c r="L18" s="108"/>
      <c r="M18" s="108"/>
      <c r="Q18" s="130"/>
    </row>
    <row r="19" spans="1:18" ht="18.75">
      <c r="A19" s="1691" t="s">
        <v>811</v>
      </c>
      <c r="B19" s="512">
        <v>1745</v>
      </c>
      <c r="C19" s="1690"/>
      <c r="D19" s="1683">
        <f t="shared" si="0"/>
        <v>0.67925262748151027</v>
      </c>
      <c r="E19" s="512">
        <v>824</v>
      </c>
      <c r="F19" s="1690"/>
      <c r="G19" s="1683">
        <f t="shared" si="1"/>
        <v>0.32074737251848967</v>
      </c>
      <c r="H19" s="1688">
        <f t="shared" si="2"/>
        <v>2569</v>
      </c>
      <c r="J19" s="108"/>
      <c r="K19" s="108"/>
      <c r="L19" s="108"/>
      <c r="M19" s="108"/>
    </row>
    <row r="20" spans="1:18" ht="20.25" customHeight="1">
      <c r="A20" s="1692" t="s">
        <v>23</v>
      </c>
      <c r="B20" s="1693">
        <f>SUM(B5:B19)</f>
        <v>923363</v>
      </c>
      <c r="C20" s="1694"/>
      <c r="D20" s="1694"/>
      <c r="E20" s="1695">
        <f>SUM(E5:E19)</f>
        <v>731121</v>
      </c>
      <c r="F20" s="1694"/>
      <c r="G20" s="1694"/>
      <c r="H20" s="1696">
        <f t="shared" si="2"/>
        <v>1654484</v>
      </c>
      <c r="I20" s="108"/>
      <c r="J20" s="108"/>
      <c r="K20" s="108"/>
      <c r="L20" s="108"/>
      <c r="M20" s="108"/>
    </row>
    <row r="21" spans="1:18" ht="13.5" customHeight="1">
      <c r="A21" s="108"/>
      <c r="B21" s="108"/>
      <c r="C21" s="108"/>
      <c r="D21" s="108"/>
      <c r="E21" s="108"/>
      <c r="F21" s="108"/>
      <c r="G21" s="108"/>
      <c r="H21" s="108"/>
      <c r="I21" s="108"/>
      <c r="J21" s="108"/>
      <c r="K21" s="108"/>
      <c r="L21" s="108"/>
      <c r="M21" s="108"/>
    </row>
    <row r="22" spans="1:18" ht="13.5" customHeight="1">
      <c r="A22" s="108"/>
      <c r="B22" s="108"/>
      <c r="C22" s="108"/>
      <c r="D22" s="108"/>
      <c r="E22" s="108"/>
      <c r="F22" s="108"/>
      <c r="G22" s="108"/>
      <c r="H22" s="108"/>
      <c r="I22" s="108"/>
      <c r="J22" s="108"/>
      <c r="K22" s="108"/>
      <c r="L22" s="108"/>
      <c r="M22" s="108"/>
    </row>
    <row r="23" spans="1:18" ht="13.5" customHeight="1">
      <c r="A23" s="108"/>
      <c r="B23" s="108"/>
      <c r="C23" s="108"/>
      <c r="D23" s="108"/>
      <c r="E23" s="108"/>
      <c r="F23" s="108"/>
      <c r="G23" s="108"/>
      <c r="H23" s="108"/>
      <c r="I23" s="108"/>
      <c r="J23" s="108"/>
      <c r="K23" s="108"/>
      <c r="L23" s="108"/>
      <c r="M23" s="108"/>
    </row>
    <row r="24" spans="1:18" ht="13.5" customHeight="1">
      <c r="A24" s="108"/>
      <c r="B24" s="108"/>
      <c r="C24" s="108"/>
      <c r="D24" s="108"/>
      <c r="E24" s="108"/>
      <c r="F24" s="108"/>
      <c r="G24" s="108"/>
      <c r="H24" s="108"/>
      <c r="I24" s="108"/>
      <c r="J24" s="108"/>
      <c r="K24" s="108"/>
      <c r="L24" s="108"/>
      <c r="M24" s="108"/>
    </row>
    <row r="25" spans="1:18" ht="13.5" customHeight="1">
      <c r="A25" s="108"/>
      <c r="B25" s="108"/>
      <c r="C25" s="108"/>
      <c r="D25" s="108"/>
      <c r="E25" s="108"/>
      <c r="F25" s="108"/>
      <c r="G25" s="108"/>
      <c r="H25" s="108"/>
      <c r="I25" s="108"/>
      <c r="J25" s="108"/>
      <c r="K25" s="108"/>
      <c r="L25" s="108"/>
      <c r="M25" s="108"/>
      <c r="P25" s="143"/>
    </row>
    <row r="26" spans="1:18" ht="13.5" customHeight="1">
      <c r="A26" s="108"/>
      <c r="B26" s="108"/>
      <c r="C26" s="108"/>
      <c r="D26" s="108"/>
      <c r="E26" s="108"/>
      <c r="F26" s="108"/>
      <c r="G26" s="108"/>
      <c r="H26" s="108"/>
      <c r="I26" s="108"/>
      <c r="J26" s="108"/>
      <c r="K26" s="108"/>
      <c r="L26" s="108"/>
      <c r="M26" s="108"/>
    </row>
    <row r="27" spans="1:18" ht="13.5" customHeight="1">
      <c r="A27" s="108"/>
      <c r="B27" s="108"/>
      <c r="C27" s="108"/>
      <c r="D27" s="108"/>
      <c r="E27" s="108"/>
      <c r="F27" s="108"/>
      <c r="G27" s="108"/>
      <c r="H27" s="108"/>
      <c r="I27" s="108"/>
      <c r="J27" s="108"/>
      <c r="K27" s="108"/>
      <c r="L27" s="108"/>
      <c r="M27" s="108"/>
    </row>
    <row r="28" spans="1:18" ht="13.5" customHeight="1">
      <c r="A28" s="108"/>
      <c r="B28" s="108"/>
      <c r="C28" s="108"/>
      <c r="D28" s="108"/>
      <c r="E28" s="108"/>
      <c r="F28" s="108"/>
      <c r="G28" s="108"/>
      <c r="H28" s="108"/>
      <c r="I28" s="108"/>
      <c r="J28" s="108"/>
      <c r="K28" s="108"/>
      <c r="L28" s="108"/>
      <c r="M28" s="108"/>
    </row>
    <row r="29" spans="1:18" ht="13.5" customHeight="1">
      <c r="A29" s="108"/>
      <c r="B29" s="108"/>
      <c r="C29" s="108"/>
      <c r="D29" s="108"/>
      <c r="E29" s="108"/>
      <c r="F29" s="108"/>
      <c r="G29" s="108"/>
      <c r="H29" s="108"/>
      <c r="I29" s="108"/>
      <c r="J29" s="108"/>
      <c r="K29" s="108"/>
      <c r="L29" s="108"/>
      <c r="M29" s="108"/>
    </row>
    <row r="30" spans="1:18" ht="13.5" customHeight="1">
      <c r="A30" s="108"/>
      <c r="B30" s="108"/>
      <c r="C30" s="108"/>
      <c r="D30" s="108"/>
      <c r="E30" s="108"/>
      <c r="F30" s="108"/>
      <c r="G30" s="108"/>
      <c r="H30" s="108"/>
      <c r="I30" s="108"/>
      <c r="J30" s="108"/>
      <c r="K30" s="108"/>
      <c r="L30" s="108"/>
      <c r="M30" s="108"/>
    </row>
    <row r="31" spans="1:18" ht="13.5" customHeight="1">
      <c r="A31" s="108"/>
      <c r="B31" s="108"/>
      <c r="C31" s="108"/>
      <c r="D31" s="108"/>
      <c r="E31" s="108"/>
      <c r="F31" s="108"/>
      <c r="G31" s="108"/>
      <c r="H31" s="108"/>
      <c r="I31" s="108"/>
      <c r="J31" s="108"/>
      <c r="K31" s="108"/>
      <c r="L31" s="108"/>
      <c r="M31" s="108"/>
    </row>
    <row r="32" spans="1:18" ht="13.5" customHeight="1">
      <c r="A32" s="108"/>
      <c r="B32" s="108"/>
      <c r="C32" s="108"/>
      <c r="D32" s="108"/>
      <c r="E32" s="108"/>
      <c r="F32" s="108"/>
      <c r="G32" s="108"/>
      <c r="H32" s="108"/>
      <c r="I32" s="108"/>
      <c r="J32" s="108"/>
      <c r="K32" s="108"/>
      <c r="L32" s="108"/>
      <c r="M32" s="108"/>
    </row>
    <row r="33" spans="1:13" ht="13.5" customHeight="1">
      <c r="A33" s="108"/>
      <c r="B33" s="108"/>
      <c r="C33" s="108"/>
      <c r="D33" s="108"/>
      <c r="E33" s="108"/>
      <c r="F33" s="108"/>
      <c r="G33" s="108"/>
      <c r="H33" s="108"/>
      <c r="I33" s="108"/>
      <c r="J33" s="108"/>
      <c r="K33" s="108"/>
      <c r="L33" s="108"/>
      <c r="M33" s="108"/>
    </row>
    <row r="34" spans="1:13" ht="13.5" customHeight="1">
      <c r="A34" s="108"/>
      <c r="B34" s="108"/>
      <c r="C34" s="108"/>
      <c r="D34" s="108"/>
      <c r="E34" s="108"/>
      <c r="F34" s="108"/>
      <c r="G34" s="108"/>
      <c r="H34" s="108"/>
      <c r="I34" s="108"/>
      <c r="J34" s="108"/>
      <c r="K34" s="108"/>
      <c r="L34" s="108"/>
      <c r="M34" s="108"/>
    </row>
    <row r="35" spans="1:13" ht="13.5" customHeight="1">
      <c r="A35" s="108"/>
      <c r="B35" s="108"/>
      <c r="C35" s="108"/>
      <c r="D35" s="108"/>
      <c r="E35" s="108"/>
      <c r="F35" s="108"/>
      <c r="G35" s="108"/>
      <c r="H35" s="108"/>
      <c r="I35" s="108"/>
      <c r="J35" s="108"/>
      <c r="K35" s="108"/>
      <c r="L35" s="108"/>
      <c r="M35" s="108"/>
    </row>
    <row r="36" spans="1:13" ht="13.5" customHeight="1">
      <c r="A36" s="108"/>
      <c r="B36" s="108"/>
      <c r="C36" s="108"/>
      <c r="D36" s="108"/>
      <c r="E36" s="108"/>
      <c r="F36" s="108"/>
      <c r="G36" s="108"/>
      <c r="H36" s="108"/>
      <c r="I36" s="108"/>
      <c r="J36" s="108"/>
      <c r="K36" s="108"/>
      <c r="L36" s="108"/>
      <c r="M36" s="108"/>
    </row>
    <row r="37" spans="1:13" ht="13.5" customHeight="1">
      <c r="A37" s="108"/>
      <c r="B37" s="108"/>
      <c r="C37" s="108"/>
      <c r="D37" s="108"/>
      <c r="E37" s="108"/>
      <c r="F37" s="108"/>
      <c r="G37" s="108"/>
      <c r="H37" s="108"/>
      <c r="I37" s="108"/>
      <c r="J37" s="108"/>
      <c r="K37" s="108"/>
      <c r="L37" s="108"/>
      <c r="M37" s="1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N22"/>
  <sheetViews>
    <sheetView showGridLines="0" view="pageBreakPreview" zoomScale="70" zoomScaleNormal="100" zoomScaleSheetLayoutView="70" workbookViewId="0">
      <selection activeCell="R37" sqref="R37"/>
    </sheetView>
  </sheetViews>
  <sheetFormatPr baseColWidth="10" defaultColWidth="11.42578125" defaultRowHeight="15"/>
  <cols>
    <col min="1" max="1" width="13" style="163" customWidth="1"/>
    <col min="2" max="2" width="10.140625" style="44" customWidth="1"/>
    <col min="3" max="3" width="11" style="44" customWidth="1"/>
    <col min="4" max="4" width="14" style="44" customWidth="1"/>
    <col min="5" max="5" width="11.5703125" style="44" customWidth="1"/>
    <col min="6" max="6" width="10.5703125" style="44" customWidth="1"/>
    <col min="7" max="7" width="13.5703125" style="44" customWidth="1"/>
    <col min="8" max="8" width="10.140625" style="44" customWidth="1"/>
    <col min="9" max="9" width="13.140625" style="44" customWidth="1"/>
    <col min="10" max="10" width="13.28515625" style="44" customWidth="1"/>
    <col min="11" max="11" width="13.7109375" style="44" customWidth="1"/>
    <col min="12" max="13" width="11.7109375" style="44" customWidth="1"/>
    <col min="14" max="14" width="14.140625" style="44" customWidth="1"/>
    <col min="15" max="16384" width="11.42578125" style="44"/>
  </cols>
  <sheetData>
    <row r="1" spans="1:14" s="84" customFormat="1" ht="80.25" customHeight="1">
      <c r="A1" s="1901"/>
      <c r="B1" s="1901"/>
      <c r="C1" s="1901"/>
      <c r="D1" s="1901"/>
      <c r="E1" s="1901"/>
      <c r="F1" s="1901"/>
      <c r="G1" s="1901"/>
      <c r="H1" s="1901"/>
      <c r="I1" s="1901"/>
      <c r="J1" s="1901"/>
      <c r="K1" s="1901"/>
      <c r="L1" s="1901"/>
      <c r="M1" s="1901"/>
      <c r="N1" s="1901"/>
    </row>
    <row r="2" spans="1:14" s="43" customFormat="1" ht="3" customHeight="1">
      <c r="A2" s="980"/>
      <c r="B2" s="209"/>
      <c r="C2" s="209"/>
      <c r="D2" s="209"/>
      <c r="E2" s="209"/>
      <c r="F2" s="209"/>
      <c r="G2" s="209"/>
      <c r="H2" s="209"/>
      <c r="I2" s="209"/>
      <c r="J2" s="209"/>
      <c r="K2" s="209"/>
      <c r="L2" s="209"/>
      <c r="M2" s="209"/>
      <c r="N2" s="981"/>
    </row>
    <row r="3" spans="1:14" s="144" customFormat="1" ht="47.25">
      <c r="A3" s="873" t="s">
        <v>0</v>
      </c>
      <c r="B3" s="854" t="s">
        <v>394</v>
      </c>
      <c r="C3" s="854" t="s">
        <v>393</v>
      </c>
      <c r="D3" s="854" t="s">
        <v>392</v>
      </c>
      <c r="E3" s="854" t="s">
        <v>391</v>
      </c>
      <c r="F3" s="854" t="s">
        <v>390</v>
      </c>
      <c r="G3" s="854" t="s">
        <v>457</v>
      </c>
      <c r="H3" s="854" t="s">
        <v>143</v>
      </c>
      <c r="I3" s="854" t="s">
        <v>389</v>
      </c>
      <c r="J3" s="854" t="s">
        <v>388</v>
      </c>
      <c r="K3" s="854" t="s">
        <v>387</v>
      </c>
      <c r="L3" s="854" t="s">
        <v>386</v>
      </c>
      <c r="M3" s="854" t="s">
        <v>385</v>
      </c>
      <c r="N3" s="855" t="s">
        <v>253</v>
      </c>
    </row>
    <row r="4" spans="1:14" s="84" customFormat="1" ht="15.75">
      <c r="A4" s="881" t="s">
        <v>236</v>
      </c>
      <c r="B4" s="850">
        <v>372</v>
      </c>
      <c r="C4" s="850">
        <v>339</v>
      </c>
      <c r="D4" s="850">
        <v>498</v>
      </c>
      <c r="E4" s="850">
        <v>11663</v>
      </c>
      <c r="F4" s="850">
        <v>458</v>
      </c>
      <c r="G4" s="850">
        <v>999</v>
      </c>
      <c r="H4" s="972">
        <f>SUM(B4:G4)</f>
        <v>14329</v>
      </c>
      <c r="I4" s="973">
        <f t="shared" ref="I4:I11" si="0">B4/H4</f>
        <v>2.5961337148440226E-2</v>
      </c>
      <c r="J4" s="973">
        <f t="shared" ref="J4:J11" si="1">C4/H4</f>
        <v>2.3658315304626979E-2</v>
      </c>
      <c r="K4" s="973">
        <f t="shared" ref="K4:K11" si="2">D4/H4</f>
        <v>3.4754693279363529E-2</v>
      </c>
      <c r="L4" s="973">
        <f t="shared" ref="L4:L11" si="3">E4/H4</f>
        <v>0.81394375043617839</v>
      </c>
      <c r="M4" s="973">
        <f t="shared" ref="M4:M11" si="4">F4/H4</f>
        <v>3.196315165049899E-2</v>
      </c>
      <c r="N4" s="974">
        <f t="shared" ref="N4:N11" si="5">G4/H4</f>
        <v>6.9718752180891894E-2</v>
      </c>
    </row>
    <row r="5" spans="1:14" s="84" customFormat="1" ht="17.25" customHeight="1">
      <c r="A5" s="881" t="s">
        <v>197</v>
      </c>
      <c r="B5" s="850">
        <v>415</v>
      </c>
      <c r="C5" s="850">
        <v>357</v>
      </c>
      <c r="D5" s="850">
        <v>484</v>
      </c>
      <c r="E5" s="850">
        <v>13583</v>
      </c>
      <c r="F5" s="850">
        <v>519</v>
      </c>
      <c r="G5" s="850">
        <v>1513</v>
      </c>
      <c r="H5" s="972">
        <f t="shared" ref="H5:H10" si="6">SUM(B5:G5)</f>
        <v>16871</v>
      </c>
      <c r="I5" s="973">
        <f t="shared" si="0"/>
        <v>2.4598423329974514E-2</v>
      </c>
      <c r="J5" s="973">
        <f t="shared" si="1"/>
        <v>2.1160571394700966E-2</v>
      </c>
      <c r="K5" s="973">
        <f t="shared" si="2"/>
        <v>2.8688281666765455E-2</v>
      </c>
      <c r="L5" s="973">
        <f t="shared" si="3"/>
        <v>0.80510935925552729</v>
      </c>
      <c r="M5" s="973">
        <f t="shared" si="4"/>
        <v>3.0762847489775355E-2</v>
      </c>
      <c r="N5" s="974">
        <f t="shared" si="5"/>
        <v>8.9680516863256482E-2</v>
      </c>
    </row>
    <row r="6" spans="1:14" s="84" customFormat="1" ht="15.75">
      <c r="A6" s="881" t="s">
        <v>237</v>
      </c>
      <c r="B6" s="850">
        <v>472</v>
      </c>
      <c r="C6" s="850">
        <v>799</v>
      </c>
      <c r="D6" s="850">
        <v>550</v>
      </c>
      <c r="E6" s="850">
        <v>17568</v>
      </c>
      <c r="F6" s="850">
        <v>540</v>
      </c>
      <c r="G6" s="850">
        <v>1260</v>
      </c>
      <c r="H6" s="972">
        <f t="shared" si="6"/>
        <v>21189</v>
      </c>
      <c r="I6" s="973">
        <f t="shared" si="0"/>
        <v>2.2275709094341404E-2</v>
      </c>
      <c r="J6" s="973">
        <f t="shared" si="1"/>
        <v>3.770824484402284E-2</v>
      </c>
      <c r="K6" s="973">
        <f t="shared" si="2"/>
        <v>2.5956864410779178E-2</v>
      </c>
      <c r="L6" s="973">
        <f t="shared" si="3"/>
        <v>0.82910944357921568</v>
      </c>
      <c r="M6" s="973">
        <f t="shared" si="4"/>
        <v>2.5484921421492283E-2</v>
      </c>
      <c r="N6" s="974">
        <f t="shared" si="5"/>
        <v>5.9464816650148661E-2</v>
      </c>
    </row>
    <row r="7" spans="1:14" s="84" customFormat="1" ht="15.75">
      <c r="A7" s="881" t="s">
        <v>499</v>
      </c>
      <c r="B7" s="850">
        <v>554</v>
      </c>
      <c r="C7" s="850">
        <v>1203</v>
      </c>
      <c r="D7" s="850">
        <v>541</v>
      </c>
      <c r="E7" s="850">
        <v>22091</v>
      </c>
      <c r="F7" s="850">
        <v>651</v>
      </c>
      <c r="G7" s="850">
        <v>1261</v>
      </c>
      <c r="H7" s="972">
        <f t="shared" si="6"/>
        <v>26301</v>
      </c>
      <c r="I7" s="973">
        <f t="shared" si="0"/>
        <v>2.1063837876886812E-2</v>
      </c>
      <c r="J7" s="973">
        <f t="shared" si="1"/>
        <v>4.5739705714611611E-2</v>
      </c>
      <c r="K7" s="973">
        <f t="shared" si="2"/>
        <v>2.0569560092772138E-2</v>
      </c>
      <c r="L7" s="973">
        <f t="shared" si="3"/>
        <v>0.83993004068286381</v>
      </c>
      <c r="M7" s="973">
        <f t="shared" si="4"/>
        <v>2.4751910573742444E-2</v>
      </c>
      <c r="N7" s="974">
        <f t="shared" si="5"/>
        <v>4.794494505912323E-2</v>
      </c>
    </row>
    <row r="8" spans="1:14" s="84" customFormat="1" ht="15.75">
      <c r="A8" s="881" t="s">
        <v>619</v>
      </c>
      <c r="B8" s="850">
        <v>1154</v>
      </c>
      <c r="C8" s="850">
        <v>954</v>
      </c>
      <c r="D8" s="850">
        <v>428</v>
      </c>
      <c r="E8" s="850">
        <v>23762</v>
      </c>
      <c r="F8" s="850">
        <v>650</v>
      </c>
      <c r="G8" s="850">
        <v>1804</v>
      </c>
      <c r="H8" s="972">
        <f t="shared" si="6"/>
        <v>28752</v>
      </c>
      <c r="I8" s="973">
        <f t="shared" si="0"/>
        <v>4.013633834168058E-2</v>
      </c>
      <c r="J8" s="973">
        <f t="shared" si="1"/>
        <v>3.3180300500834724E-2</v>
      </c>
      <c r="K8" s="973">
        <f t="shared" si="2"/>
        <v>1.4885920979410128E-2</v>
      </c>
      <c r="L8" s="973">
        <f t="shared" si="3"/>
        <v>0.82644685587089595</v>
      </c>
      <c r="M8" s="973">
        <f t="shared" si="4"/>
        <v>2.2607122982749025E-2</v>
      </c>
      <c r="N8" s="974">
        <f t="shared" si="5"/>
        <v>6.2743461324429609E-2</v>
      </c>
    </row>
    <row r="9" spans="1:14" s="84" customFormat="1" ht="15.75">
      <c r="A9" s="881" t="s">
        <v>628</v>
      </c>
      <c r="B9" s="850">
        <v>1182</v>
      </c>
      <c r="C9" s="850">
        <v>1127</v>
      </c>
      <c r="D9" s="850">
        <v>628</v>
      </c>
      <c r="E9" s="850">
        <v>24972</v>
      </c>
      <c r="F9" s="850">
        <v>777</v>
      </c>
      <c r="G9" s="850">
        <v>1645</v>
      </c>
      <c r="H9" s="972">
        <f t="shared" si="6"/>
        <v>30331</v>
      </c>
      <c r="I9" s="973">
        <f t="shared" si="0"/>
        <v>3.8970030661699254E-2</v>
      </c>
      <c r="J9" s="973">
        <f t="shared" si="1"/>
        <v>3.7156704361873988E-2</v>
      </c>
      <c r="K9" s="973">
        <f t="shared" si="2"/>
        <v>2.070488938709571E-2</v>
      </c>
      <c r="L9" s="973">
        <f t="shared" si="3"/>
        <v>0.82331607925884409</v>
      </c>
      <c r="M9" s="973">
        <f t="shared" si="4"/>
        <v>2.5617355181167784E-2</v>
      </c>
      <c r="N9" s="974">
        <f t="shared" si="5"/>
        <v>5.4234941149319177E-2</v>
      </c>
    </row>
    <row r="10" spans="1:14" s="84" customFormat="1" ht="15.75">
      <c r="A10" s="881" t="s">
        <v>632</v>
      </c>
      <c r="B10" s="850">
        <v>63</v>
      </c>
      <c r="C10" s="850">
        <v>83</v>
      </c>
      <c r="D10" s="850">
        <v>11</v>
      </c>
      <c r="E10" s="850">
        <v>1734</v>
      </c>
      <c r="F10" s="850">
        <v>41</v>
      </c>
      <c r="G10" s="850">
        <v>114</v>
      </c>
      <c r="H10" s="972">
        <f t="shared" si="6"/>
        <v>2046</v>
      </c>
      <c r="I10" s="973">
        <f t="shared" si="0"/>
        <v>3.0791788856304986E-2</v>
      </c>
      <c r="J10" s="973">
        <f t="shared" si="1"/>
        <v>4.056695992179863E-2</v>
      </c>
      <c r="K10" s="973">
        <f t="shared" si="2"/>
        <v>5.3763440860215058E-3</v>
      </c>
      <c r="L10" s="973">
        <f t="shared" si="3"/>
        <v>0.84750733137829914</v>
      </c>
      <c r="M10" s="973">
        <f t="shared" si="4"/>
        <v>2.0039100684261974E-2</v>
      </c>
      <c r="N10" s="974">
        <f t="shared" si="5"/>
        <v>5.5718475073313782E-2</v>
      </c>
    </row>
    <row r="11" spans="1:14" s="84" customFormat="1" ht="15.75">
      <c r="A11" s="873" t="s">
        <v>23</v>
      </c>
      <c r="B11" s="857">
        <f t="shared" ref="B11:H11" si="7">SUM(B4:B10)</f>
        <v>4212</v>
      </c>
      <c r="C11" s="857">
        <f t="shared" si="7"/>
        <v>4862</v>
      </c>
      <c r="D11" s="857">
        <f t="shared" si="7"/>
        <v>3140</v>
      </c>
      <c r="E11" s="857">
        <f t="shared" si="7"/>
        <v>115373</v>
      </c>
      <c r="F11" s="857">
        <f t="shared" si="7"/>
        <v>3636</v>
      </c>
      <c r="G11" s="857">
        <f t="shared" si="7"/>
        <v>8596</v>
      </c>
      <c r="H11" s="857">
        <f t="shared" si="7"/>
        <v>139819</v>
      </c>
      <c r="I11" s="858">
        <f t="shared" si="0"/>
        <v>3.0124661169082887E-2</v>
      </c>
      <c r="J11" s="858">
        <f t="shared" si="1"/>
        <v>3.4773528633447529E-2</v>
      </c>
      <c r="K11" s="858">
        <f t="shared" si="2"/>
        <v>2.2457605904776891E-2</v>
      </c>
      <c r="L11" s="858">
        <f t="shared" si="3"/>
        <v>0.82515967071714147</v>
      </c>
      <c r="M11" s="858">
        <f t="shared" si="4"/>
        <v>2.6005049385276677E-2</v>
      </c>
      <c r="N11" s="859">
        <f t="shared" si="5"/>
        <v>6.1479484190274568E-2</v>
      </c>
    </row>
    <row r="12" spans="1:14" s="84" customFormat="1">
      <c r="A12" s="982"/>
      <c r="B12" s="983"/>
      <c r="C12" s="983"/>
      <c r="D12" s="983"/>
      <c r="E12" s="983"/>
      <c r="F12" s="983"/>
      <c r="G12" s="983"/>
      <c r="H12" s="80"/>
      <c r="I12" s="80"/>
      <c r="J12" s="80"/>
      <c r="K12" s="80"/>
      <c r="L12" s="80"/>
      <c r="M12" s="80"/>
      <c r="N12" s="80"/>
    </row>
    <row r="13" spans="1:14" s="84" customFormat="1">
      <c r="A13" s="161"/>
      <c r="B13" s="151"/>
      <c r="C13" s="151"/>
      <c r="D13" s="151"/>
      <c r="E13" s="151"/>
      <c r="F13" s="151"/>
      <c r="G13" s="151"/>
    </row>
    <row r="14" spans="1:14" s="84" customFormat="1">
      <c r="A14" s="161"/>
      <c r="B14" s="151"/>
      <c r="C14" s="151"/>
      <c r="D14" s="151"/>
      <c r="E14" s="151"/>
      <c r="F14" s="151"/>
      <c r="G14" s="151"/>
    </row>
    <row r="15" spans="1:14" s="84" customFormat="1">
      <c r="A15" s="161"/>
      <c r="B15" s="151"/>
      <c r="C15" s="151"/>
      <c r="D15" s="151"/>
      <c r="E15" s="151"/>
      <c r="F15" s="151"/>
      <c r="G15" s="151"/>
    </row>
    <row r="16" spans="1:14" s="84" customFormat="1">
      <c r="A16" s="162"/>
    </row>
    <row r="17" spans="1:1" s="84" customFormat="1">
      <c r="A17" s="162"/>
    </row>
    <row r="18" spans="1:1" s="84" customFormat="1">
      <c r="A18" s="162"/>
    </row>
    <row r="19" spans="1:1" s="84" customFormat="1">
      <c r="A19" s="162"/>
    </row>
    <row r="20" spans="1:1" s="84" customFormat="1">
      <c r="A20" s="162"/>
    </row>
    <row r="21" spans="1:1" s="84" customFormat="1">
      <c r="A21" s="162"/>
    </row>
    <row r="22" spans="1:1" s="84" customFormat="1">
      <c r="A22" s="162"/>
    </row>
  </sheetData>
  <mergeCells count="1">
    <mergeCell ref="A1:N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zoomScale="70" zoomScaleNormal="100" zoomScaleSheetLayoutView="70" workbookViewId="0">
      <selection activeCell="O36" sqref="O36"/>
    </sheetView>
  </sheetViews>
  <sheetFormatPr baseColWidth="10" defaultColWidth="11.42578125" defaultRowHeight="15"/>
  <cols>
    <col min="1" max="1" width="33" style="44" customWidth="1"/>
    <col min="2" max="2" width="12" style="44" customWidth="1"/>
    <col min="3" max="3" width="12.5703125" style="44" customWidth="1"/>
    <col min="4" max="4" width="13.28515625" style="44" customWidth="1"/>
    <col min="5" max="8" width="14.42578125" style="44" customWidth="1"/>
    <col min="9" max="9" width="14.28515625" style="44" customWidth="1"/>
    <col min="10" max="10" width="20.85546875" style="44" customWidth="1"/>
    <col min="11" max="11" width="7.85546875" style="44" customWidth="1"/>
    <col min="12" max="13" width="11.42578125" style="44" customWidth="1"/>
    <col min="14" max="14" width="11.42578125" style="44"/>
    <col min="15" max="15" width="17.28515625" style="44" customWidth="1"/>
    <col min="16" max="16384" width="11.42578125" style="44"/>
  </cols>
  <sheetData>
    <row r="1" spans="1:14" s="84" customFormat="1" ht="68.25" customHeight="1">
      <c r="A1" s="1901"/>
      <c r="B1" s="1901"/>
      <c r="C1" s="1901"/>
      <c r="D1" s="1901"/>
      <c r="E1" s="1901"/>
      <c r="F1" s="1901"/>
      <c r="G1" s="1901"/>
      <c r="H1" s="1901"/>
      <c r="I1" s="1901"/>
      <c r="J1" s="1901"/>
      <c r="K1" s="1901"/>
      <c r="L1" s="1901"/>
      <c r="M1" s="1901"/>
      <c r="N1" s="1901"/>
    </row>
    <row r="2" spans="1:14" s="84" customFormat="1" ht="8.25" customHeight="1">
      <c r="A2" s="1902"/>
      <c r="B2" s="1903"/>
      <c r="C2" s="1903"/>
      <c r="D2" s="1903"/>
      <c r="E2" s="1903"/>
      <c r="F2" s="1903"/>
      <c r="G2" s="1903"/>
      <c r="H2" s="1903"/>
      <c r="I2" s="1903"/>
      <c r="J2" s="1903"/>
      <c r="K2" s="1903"/>
      <c r="L2" s="1903"/>
      <c r="M2" s="1903"/>
      <c r="N2" s="1903"/>
    </row>
    <row r="3" spans="1:14" s="84" customFormat="1" ht="15.75">
      <c r="A3" s="833" t="s">
        <v>396</v>
      </c>
      <c r="B3" s="839" t="s">
        <v>236</v>
      </c>
      <c r="C3" s="839" t="s">
        <v>197</v>
      </c>
      <c r="D3" s="839" t="s">
        <v>237</v>
      </c>
      <c r="E3" s="839" t="s">
        <v>499</v>
      </c>
      <c r="F3" s="839" t="s">
        <v>619</v>
      </c>
      <c r="G3" s="839" t="s">
        <v>628</v>
      </c>
      <c r="H3" s="839" t="s">
        <v>632</v>
      </c>
      <c r="I3" s="839" t="s">
        <v>143</v>
      </c>
      <c r="J3" s="840" t="s">
        <v>395</v>
      </c>
    </row>
    <row r="4" spans="1:14" s="84" customFormat="1" ht="15.75">
      <c r="A4" s="1015" t="s">
        <v>404</v>
      </c>
      <c r="B4" s="838">
        <v>2805</v>
      </c>
      <c r="C4" s="838">
        <v>3727</v>
      </c>
      <c r="D4" s="838">
        <v>4775</v>
      </c>
      <c r="E4" s="838">
        <v>5981</v>
      </c>
      <c r="F4" s="838">
        <v>6728</v>
      </c>
      <c r="G4" s="838">
        <v>7364</v>
      </c>
      <c r="H4" s="838">
        <v>519</v>
      </c>
      <c r="I4" s="876">
        <f>SUM(B4:H4)</f>
        <v>31899</v>
      </c>
      <c r="J4" s="1013">
        <f>I4/$I$12</f>
        <v>0.22814495883964267</v>
      </c>
      <c r="K4" s="19"/>
    </row>
    <row r="5" spans="1:14" s="84" customFormat="1" ht="15.75">
      <c r="A5" s="1015" t="s">
        <v>403</v>
      </c>
      <c r="B5" s="838">
        <v>81</v>
      </c>
      <c r="C5" s="838">
        <v>107</v>
      </c>
      <c r="D5" s="838">
        <v>174</v>
      </c>
      <c r="E5" s="838">
        <v>203</v>
      </c>
      <c r="F5" s="838">
        <v>236</v>
      </c>
      <c r="G5" s="838">
        <v>274</v>
      </c>
      <c r="H5" s="838">
        <v>20</v>
      </c>
      <c r="I5" s="876">
        <f>SUM(B5:H5)</f>
        <v>1095</v>
      </c>
      <c r="J5" s="1013">
        <f t="shared" ref="J5:J11" si="0">I5/$I$12</f>
        <v>7.8315536515065915E-3</v>
      </c>
      <c r="K5" s="19"/>
    </row>
    <row r="6" spans="1:14" s="84" customFormat="1" ht="15.75">
      <c r="A6" s="1015" t="s">
        <v>402</v>
      </c>
      <c r="B6" s="838">
        <v>3659</v>
      </c>
      <c r="C6" s="838">
        <v>4591</v>
      </c>
      <c r="D6" s="838">
        <v>5297</v>
      </c>
      <c r="E6" s="838">
        <v>6168</v>
      </c>
      <c r="F6" s="838">
        <v>5944</v>
      </c>
      <c r="G6" s="838">
        <v>6041</v>
      </c>
      <c r="H6" s="838">
        <v>380</v>
      </c>
      <c r="I6" s="876">
        <f t="shared" ref="I6:I11" si="1">SUM(B6:H6)</f>
        <v>32080</v>
      </c>
      <c r="J6" s="1013">
        <f t="shared" si="0"/>
        <v>0.22943948962587346</v>
      </c>
      <c r="K6" s="19"/>
    </row>
    <row r="7" spans="1:14" s="84" customFormat="1" ht="15.75">
      <c r="A7" s="1015" t="s">
        <v>401</v>
      </c>
      <c r="B7" s="838">
        <v>1851</v>
      </c>
      <c r="C7" s="838">
        <v>1583</v>
      </c>
      <c r="D7" s="838">
        <v>1961</v>
      </c>
      <c r="E7" s="838">
        <v>2379</v>
      </c>
      <c r="F7" s="838">
        <v>2516</v>
      </c>
      <c r="G7" s="838">
        <v>2625</v>
      </c>
      <c r="H7" s="838">
        <v>152</v>
      </c>
      <c r="I7" s="876">
        <f t="shared" si="1"/>
        <v>13067</v>
      </c>
      <c r="J7" s="1013">
        <f t="shared" si="0"/>
        <v>9.3456540241311975E-2</v>
      </c>
      <c r="K7" s="19"/>
    </row>
    <row r="8" spans="1:14" s="84" customFormat="1" ht="15.75">
      <c r="A8" s="1015" t="s">
        <v>400</v>
      </c>
      <c r="B8" s="838">
        <v>542</v>
      </c>
      <c r="C8" s="838">
        <v>772</v>
      </c>
      <c r="D8" s="838">
        <v>743</v>
      </c>
      <c r="E8" s="838">
        <v>794</v>
      </c>
      <c r="F8" s="838">
        <v>879</v>
      </c>
      <c r="G8" s="838">
        <v>927</v>
      </c>
      <c r="H8" s="838">
        <v>55</v>
      </c>
      <c r="I8" s="876">
        <f t="shared" si="1"/>
        <v>4712</v>
      </c>
      <c r="J8" s="1013">
        <f t="shared" si="0"/>
        <v>3.3700713064747999E-2</v>
      </c>
      <c r="K8" s="19"/>
    </row>
    <row r="9" spans="1:14" s="84" customFormat="1" ht="15.75">
      <c r="A9" s="1015" t="s">
        <v>399</v>
      </c>
      <c r="B9" s="838">
        <v>3092</v>
      </c>
      <c r="C9" s="838">
        <v>3398</v>
      </c>
      <c r="D9" s="838">
        <v>5619</v>
      </c>
      <c r="E9" s="838">
        <v>7367</v>
      </c>
      <c r="F9" s="838">
        <v>8321</v>
      </c>
      <c r="G9" s="838">
        <v>8898</v>
      </c>
      <c r="H9" s="838">
        <v>652</v>
      </c>
      <c r="I9" s="876">
        <f t="shared" si="1"/>
        <v>37347</v>
      </c>
      <c r="J9" s="1013">
        <f t="shared" si="0"/>
        <v>0.26710962029480972</v>
      </c>
      <c r="K9" s="19"/>
    </row>
    <row r="10" spans="1:14" s="84" customFormat="1" ht="15.75">
      <c r="A10" s="1015" t="s">
        <v>398</v>
      </c>
      <c r="B10" s="838">
        <v>24</v>
      </c>
      <c r="C10" s="838">
        <v>18</v>
      </c>
      <c r="D10" s="838">
        <v>15</v>
      </c>
      <c r="E10" s="838">
        <v>17</v>
      </c>
      <c r="F10" s="838">
        <v>27</v>
      </c>
      <c r="G10" s="838">
        <v>17</v>
      </c>
      <c r="H10" s="838">
        <v>0</v>
      </c>
      <c r="I10" s="876">
        <f t="shared" si="1"/>
        <v>118</v>
      </c>
      <c r="J10" s="1013">
        <f t="shared" si="0"/>
        <v>8.4394824737696588E-4</v>
      </c>
      <c r="K10" s="19"/>
    </row>
    <row r="11" spans="1:14" s="84" customFormat="1" ht="15.75">
      <c r="A11" s="1015" t="s">
        <v>397</v>
      </c>
      <c r="B11" s="838">
        <v>2275</v>
      </c>
      <c r="C11" s="838">
        <v>2675</v>
      </c>
      <c r="D11" s="838">
        <v>2605</v>
      </c>
      <c r="E11" s="838">
        <v>3392</v>
      </c>
      <c r="F11" s="838">
        <v>4101</v>
      </c>
      <c r="G11" s="838">
        <v>4185</v>
      </c>
      <c r="H11" s="838">
        <v>268</v>
      </c>
      <c r="I11" s="876">
        <f t="shared" si="1"/>
        <v>19501</v>
      </c>
      <c r="J11" s="1013">
        <f t="shared" si="0"/>
        <v>0.13947317603473061</v>
      </c>
    </row>
    <row r="12" spans="1:14" s="84" customFormat="1" ht="15.75">
      <c r="A12" s="834" t="s">
        <v>23</v>
      </c>
      <c r="B12" s="1004">
        <f>SUM(B4:B11)</f>
        <v>14329</v>
      </c>
      <c r="C12" s="1004">
        <f t="shared" ref="C12:H12" si="2">SUM(C4:C11)</f>
        <v>16871</v>
      </c>
      <c r="D12" s="1004">
        <f t="shared" si="2"/>
        <v>21189</v>
      </c>
      <c r="E12" s="1004">
        <f t="shared" si="2"/>
        <v>26301</v>
      </c>
      <c r="F12" s="1004">
        <f t="shared" si="2"/>
        <v>28752</v>
      </c>
      <c r="G12" s="1004">
        <f t="shared" si="2"/>
        <v>30331</v>
      </c>
      <c r="H12" s="1004">
        <f t="shared" si="2"/>
        <v>2046</v>
      </c>
      <c r="I12" s="1004">
        <f>SUM(I4:I11)</f>
        <v>139819</v>
      </c>
      <c r="J12" s="1014">
        <f>SUM(J4:J11)</f>
        <v>1</v>
      </c>
    </row>
    <row r="13" spans="1:14" s="84" customFormat="1"/>
    <row r="14" spans="1:14" s="84" customFormat="1" ht="15" customHeight="1"/>
    <row r="15" spans="1:14" s="84" customFormat="1"/>
    <row r="16" spans="1:14" s="84" customFormat="1"/>
    <row r="17" s="84" customFormat="1"/>
    <row r="18" s="84" customFormat="1"/>
    <row r="19" s="84" customFormat="1"/>
    <row r="20" s="84" customFormat="1"/>
    <row r="21" s="84" customFormat="1"/>
    <row r="22" s="84" customFormat="1"/>
    <row r="23" s="84" customFormat="1"/>
  </sheetData>
  <mergeCells count="2">
    <mergeCell ref="A1:N1"/>
    <mergeCell ref="A2:N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N43" sqref="N43"/>
    </sheetView>
  </sheetViews>
  <sheetFormatPr baseColWidth="10" defaultColWidth="11.42578125" defaultRowHeight="15"/>
  <cols>
    <col min="1" max="1" width="50.140625" style="44" customWidth="1"/>
    <col min="2" max="2" width="12" style="44" customWidth="1"/>
    <col min="3" max="3" width="12.5703125" style="44" customWidth="1"/>
    <col min="4" max="4" width="13.28515625" style="44" customWidth="1"/>
    <col min="5" max="8" width="15.140625" style="44" customWidth="1"/>
    <col min="9" max="9" width="14.28515625" style="44" customWidth="1"/>
    <col min="10" max="10" width="18.7109375" style="44" customWidth="1"/>
    <col min="11" max="11" width="11" style="44" customWidth="1"/>
    <col min="12" max="12" width="11.42578125" style="44" customWidth="1"/>
    <col min="13" max="13" width="11.42578125" style="44"/>
    <col min="14" max="14" width="30.5703125" style="44" customWidth="1"/>
    <col min="15" max="16384" width="11.42578125" style="44"/>
  </cols>
  <sheetData>
    <row r="1" spans="1:13" s="84" customFormat="1" ht="62.25" customHeight="1">
      <c r="A1" s="1794"/>
      <c r="B1" s="1794"/>
      <c r="C1" s="1794"/>
      <c r="D1" s="1794"/>
      <c r="E1" s="1794"/>
      <c r="F1" s="1794"/>
      <c r="G1" s="1794"/>
      <c r="H1" s="1794"/>
      <c r="I1" s="1794"/>
      <c r="J1" s="1794"/>
      <c r="K1" s="1794"/>
      <c r="L1" s="1794"/>
      <c r="M1" s="1794"/>
    </row>
    <row r="2" spans="1:13" s="84" customFormat="1" ht="9.75" customHeight="1">
      <c r="A2" s="144"/>
      <c r="B2" s="144"/>
      <c r="C2" s="144"/>
      <c r="D2" s="144"/>
      <c r="E2" s="144"/>
      <c r="F2" s="144"/>
      <c r="G2" s="144"/>
      <c r="H2" s="144"/>
      <c r="I2" s="144"/>
      <c r="J2" s="144"/>
      <c r="K2" s="144"/>
      <c r="L2" s="144"/>
      <c r="M2" s="144"/>
    </row>
    <row r="3" spans="1:13" s="144" customFormat="1" ht="18.75">
      <c r="A3" s="1016" t="s">
        <v>413</v>
      </c>
      <c r="B3" s="854" t="s">
        <v>236</v>
      </c>
      <c r="C3" s="854" t="s">
        <v>197</v>
      </c>
      <c r="D3" s="854" t="s">
        <v>237</v>
      </c>
      <c r="E3" s="839" t="s">
        <v>499</v>
      </c>
      <c r="F3" s="839" t="s">
        <v>619</v>
      </c>
      <c r="G3" s="839" t="s">
        <v>628</v>
      </c>
      <c r="H3" s="839" t="s">
        <v>632</v>
      </c>
      <c r="I3" s="854" t="s">
        <v>143</v>
      </c>
      <c r="J3" s="855" t="s">
        <v>395</v>
      </c>
    </row>
    <row r="4" spans="1:13" s="84" customFormat="1" ht="18.75">
      <c r="A4" s="1020" t="s">
        <v>412</v>
      </c>
      <c r="B4" s="850">
        <v>892</v>
      </c>
      <c r="C4" s="850">
        <v>730</v>
      </c>
      <c r="D4" s="850">
        <v>663</v>
      </c>
      <c r="E4" s="850">
        <v>372</v>
      </c>
      <c r="F4" s="850">
        <v>726</v>
      </c>
      <c r="G4" s="850">
        <v>843</v>
      </c>
      <c r="H4" s="850">
        <v>53</v>
      </c>
      <c r="I4" s="851">
        <f t="shared" ref="I4:I12" si="0">SUM(B4:H4)</f>
        <v>4279</v>
      </c>
      <c r="J4" s="1018">
        <f t="shared" ref="J4:J12" si="1">I4/$I$13</f>
        <v>3.1673303823890803E-2</v>
      </c>
      <c r="K4" s="19"/>
    </row>
    <row r="5" spans="1:13" s="84" customFormat="1" ht="18.75">
      <c r="A5" s="1020" t="s">
        <v>411</v>
      </c>
      <c r="B5" s="850">
        <v>6315</v>
      </c>
      <c r="C5" s="850">
        <v>8043</v>
      </c>
      <c r="D5" s="850">
        <v>9764</v>
      </c>
      <c r="E5" s="850">
        <v>9145</v>
      </c>
      <c r="F5" s="850">
        <v>11271</v>
      </c>
      <c r="G5" s="850">
        <v>12179</v>
      </c>
      <c r="H5" s="850">
        <v>752</v>
      </c>
      <c r="I5" s="851">
        <f t="shared" si="0"/>
        <v>57469</v>
      </c>
      <c r="J5" s="1018">
        <f t="shared" si="1"/>
        <v>0.42538749648403379</v>
      </c>
      <c r="K5" s="19"/>
    </row>
    <row r="6" spans="1:13" s="84" customFormat="1" ht="18.75">
      <c r="A6" s="1020" t="s">
        <v>410</v>
      </c>
      <c r="B6" s="850">
        <v>110</v>
      </c>
      <c r="C6" s="850">
        <v>78</v>
      </c>
      <c r="D6" s="850">
        <v>95</v>
      </c>
      <c r="E6" s="850">
        <v>60</v>
      </c>
      <c r="F6" s="850">
        <v>69</v>
      </c>
      <c r="G6" s="850">
        <v>70</v>
      </c>
      <c r="H6" s="850">
        <v>10</v>
      </c>
      <c r="I6" s="851">
        <f t="shared" si="0"/>
        <v>492</v>
      </c>
      <c r="J6" s="1018">
        <f t="shared" si="1"/>
        <v>3.6418007668507306E-3</v>
      </c>
      <c r="K6" s="19"/>
    </row>
    <row r="7" spans="1:13" s="84" customFormat="1" ht="18.75">
      <c r="A7" s="1020" t="s">
        <v>409</v>
      </c>
      <c r="B7" s="850">
        <v>475</v>
      </c>
      <c r="C7" s="850">
        <v>516</v>
      </c>
      <c r="D7" s="850">
        <v>610</v>
      </c>
      <c r="E7" s="850">
        <v>550</v>
      </c>
      <c r="F7" s="850">
        <v>810</v>
      </c>
      <c r="G7" s="850">
        <v>1067</v>
      </c>
      <c r="H7" s="850">
        <v>67</v>
      </c>
      <c r="I7" s="851">
        <f t="shared" si="0"/>
        <v>4095</v>
      </c>
      <c r="J7" s="1018">
        <f t="shared" si="1"/>
        <v>3.0311329553361264E-2</v>
      </c>
      <c r="K7" s="19"/>
    </row>
    <row r="8" spans="1:13" s="84" customFormat="1" ht="18.75">
      <c r="A8" s="1020" t="s">
        <v>408</v>
      </c>
      <c r="B8" s="850">
        <v>491</v>
      </c>
      <c r="C8" s="850">
        <v>567</v>
      </c>
      <c r="D8" s="850">
        <v>791</v>
      </c>
      <c r="E8" s="850">
        <v>588</v>
      </c>
      <c r="F8" s="850">
        <v>968</v>
      </c>
      <c r="G8" s="850">
        <v>1128</v>
      </c>
      <c r="H8" s="850">
        <v>74</v>
      </c>
      <c r="I8" s="851">
        <f t="shared" si="0"/>
        <v>4607</v>
      </c>
      <c r="J8" s="1018">
        <f t="shared" si="1"/>
        <v>3.4101171001791289E-2</v>
      </c>
      <c r="K8" s="19"/>
    </row>
    <row r="9" spans="1:13" s="84" customFormat="1" ht="18.75">
      <c r="A9" s="1020" t="s">
        <v>407</v>
      </c>
      <c r="B9" s="850">
        <v>134</v>
      </c>
      <c r="C9" s="850">
        <v>151</v>
      </c>
      <c r="D9" s="850">
        <v>163</v>
      </c>
      <c r="E9" s="850">
        <v>103</v>
      </c>
      <c r="F9" s="850">
        <v>180</v>
      </c>
      <c r="G9" s="850">
        <v>228</v>
      </c>
      <c r="H9" s="850">
        <v>16</v>
      </c>
      <c r="I9" s="851">
        <f t="shared" si="0"/>
        <v>975</v>
      </c>
      <c r="J9" s="1018">
        <f t="shared" si="1"/>
        <v>7.2169832269907775E-3</v>
      </c>
      <c r="K9" s="19"/>
    </row>
    <row r="10" spans="1:13" s="84" customFormat="1" ht="18.75">
      <c r="A10" s="1020" t="s">
        <v>406</v>
      </c>
      <c r="B10" s="850">
        <v>1093</v>
      </c>
      <c r="C10" s="850">
        <v>1015</v>
      </c>
      <c r="D10" s="850">
        <v>1167</v>
      </c>
      <c r="E10" s="850">
        <v>1027</v>
      </c>
      <c r="F10" s="850">
        <v>1628</v>
      </c>
      <c r="G10" s="850">
        <v>1662</v>
      </c>
      <c r="H10" s="850">
        <v>120</v>
      </c>
      <c r="I10" s="851">
        <f t="shared" si="0"/>
        <v>7712</v>
      </c>
      <c r="J10" s="1018">
        <f t="shared" si="1"/>
        <v>5.7084486816977302E-2</v>
      </c>
      <c r="K10" s="19"/>
    </row>
    <row r="11" spans="1:13" s="84" customFormat="1" ht="18.75">
      <c r="A11" s="1020" t="s">
        <v>405</v>
      </c>
      <c r="B11" s="850">
        <v>3053</v>
      </c>
      <c r="C11" s="850">
        <v>3558</v>
      </c>
      <c r="D11" s="850">
        <v>6057</v>
      </c>
      <c r="E11" s="850">
        <v>5508</v>
      </c>
      <c r="F11" s="850">
        <v>8078</v>
      </c>
      <c r="G11" s="850">
        <v>9780</v>
      </c>
      <c r="H11" s="850">
        <v>702</v>
      </c>
      <c r="I11" s="851">
        <f t="shared" si="0"/>
        <v>36736</v>
      </c>
      <c r="J11" s="1018">
        <f t="shared" si="1"/>
        <v>0.27192112392485457</v>
      </c>
    </row>
    <row r="12" spans="1:13" s="84" customFormat="1" ht="18.75">
      <c r="A12" s="1020" t="s">
        <v>149</v>
      </c>
      <c r="B12" s="850">
        <v>1766</v>
      </c>
      <c r="C12" s="850">
        <v>2213</v>
      </c>
      <c r="D12" s="850">
        <v>1879</v>
      </c>
      <c r="E12" s="850">
        <v>7750</v>
      </c>
      <c r="F12" s="850">
        <v>3243</v>
      </c>
      <c r="G12" s="850">
        <v>1744</v>
      </c>
      <c r="H12" s="850">
        <v>138</v>
      </c>
      <c r="I12" s="851">
        <f t="shared" si="0"/>
        <v>18733</v>
      </c>
      <c r="J12" s="1018">
        <f t="shared" si="1"/>
        <v>0.13866230440124946</v>
      </c>
    </row>
    <row r="13" spans="1:13" s="84" customFormat="1" ht="18.75">
      <c r="A13" s="1017" t="s">
        <v>23</v>
      </c>
      <c r="B13" s="857">
        <f t="shared" ref="B13:J13" si="2">SUM(B4:B12)</f>
        <v>14329</v>
      </c>
      <c r="C13" s="857">
        <f t="shared" si="2"/>
        <v>16871</v>
      </c>
      <c r="D13" s="857">
        <f t="shared" si="2"/>
        <v>21189</v>
      </c>
      <c r="E13" s="857">
        <f t="shared" si="2"/>
        <v>25103</v>
      </c>
      <c r="F13" s="857">
        <f t="shared" si="2"/>
        <v>26973</v>
      </c>
      <c r="G13" s="857">
        <f t="shared" si="2"/>
        <v>28701</v>
      </c>
      <c r="H13" s="857">
        <f t="shared" si="2"/>
        <v>1932</v>
      </c>
      <c r="I13" s="857">
        <f t="shared" si="2"/>
        <v>135098</v>
      </c>
      <c r="J13" s="1019">
        <f t="shared" si="2"/>
        <v>1</v>
      </c>
    </row>
    <row r="14" spans="1:13" s="84" customFormat="1"/>
    <row r="15" spans="1:13" s="84" customFormat="1"/>
    <row r="16" spans="1:13" s="84" customFormat="1"/>
    <row r="17" s="84" customFormat="1"/>
    <row r="18" s="84" customFormat="1"/>
    <row r="19" s="84" customFormat="1"/>
    <row r="20" s="84" customFormat="1"/>
    <row r="21" s="84" customFormat="1"/>
    <row r="22" s="84" customFormat="1"/>
    <row r="23" s="84" customFormat="1"/>
    <row r="24" s="84" customFormat="1"/>
  </sheetData>
  <mergeCells count="1">
    <mergeCell ref="A1:M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2"/>
  <sheetViews>
    <sheetView showGridLines="0" view="pageBreakPreview" zoomScale="70" zoomScaleNormal="100" zoomScaleSheetLayoutView="70" workbookViewId="0">
      <selection activeCell="P24" sqref="P24"/>
    </sheetView>
  </sheetViews>
  <sheetFormatPr baseColWidth="10" defaultColWidth="11.42578125" defaultRowHeight="15"/>
  <cols>
    <col min="1" max="1" width="14.28515625" style="44" customWidth="1"/>
    <col min="2" max="2" width="16.140625" style="44" customWidth="1"/>
    <col min="3" max="3" width="12.28515625" style="44" customWidth="1"/>
    <col min="4" max="4" width="14.140625" style="44" customWidth="1"/>
    <col min="5" max="6" width="12.28515625" style="44" customWidth="1"/>
    <col min="7" max="7" width="15.7109375" style="44" customWidth="1"/>
    <col min="8" max="8" width="14.42578125" style="44" customWidth="1"/>
    <col min="9" max="9" width="11.140625" style="44" customWidth="1"/>
    <col min="10" max="12" width="13.28515625" style="44" customWidth="1"/>
    <col min="13" max="13" width="13.7109375" style="44" customWidth="1"/>
    <col min="14" max="15" width="11.7109375" style="44" customWidth="1"/>
    <col min="16" max="16384" width="11.42578125" style="44"/>
  </cols>
  <sheetData>
    <row r="1" spans="1:15" s="84" customFormat="1" ht="75" customHeight="1">
      <c r="A1" s="1786"/>
      <c r="B1" s="1786"/>
      <c r="C1" s="1786"/>
      <c r="D1" s="1786"/>
      <c r="E1" s="1786"/>
      <c r="F1" s="1786"/>
      <c r="G1" s="1786"/>
      <c r="H1" s="1786"/>
      <c r="I1" s="1786"/>
      <c r="J1" s="1786"/>
      <c r="K1" s="1786"/>
      <c r="L1" s="1786"/>
      <c r="M1" s="1786"/>
      <c r="N1" s="1786"/>
      <c r="O1" s="153"/>
    </row>
    <row r="2" spans="1:15" ht="3.75" customHeight="1">
      <c r="A2" s="189"/>
      <c r="B2" s="189"/>
      <c r="C2" s="189"/>
      <c r="D2" s="189"/>
      <c r="E2" s="189"/>
      <c r="F2" s="189"/>
      <c r="G2" s="189"/>
      <c r="H2" s="189"/>
      <c r="I2" s="189"/>
      <c r="J2" s="189"/>
      <c r="K2" s="189"/>
      <c r="L2" s="189"/>
      <c r="M2" s="189"/>
      <c r="N2" s="189"/>
      <c r="O2" s="190"/>
    </row>
    <row r="3" spans="1:15" s="145" customFormat="1" ht="31.5">
      <c r="A3" s="978" t="s">
        <v>0</v>
      </c>
      <c r="B3" s="984" t="s">
        <v>426</v>
      </c>
      <c r="C3" s="855" t="s">
        <v>415</v>
      </c>
    </row>
    <row r="4" spans="1:15" s="145" customFormat="1" ht="15.75">
      <c r="A4" s="987" t="s">
        <v>236</v>
      </c>
      <c r="B4" s="850">
        <v>10456</v>
      </c>
      <c r="C4" s="974">
        <f t="shared" ref="C4:C10" si="0">B4/$B$11</f>
        <v>9.1789348011201533E-2</v>
      </c>
    </row>
    <row r="5" spans="1:15" s="145" customFormat="1" ht="15.75">
      <c r="A5" s="856" t="s">
        <v>197</v>
      </c>
      <c r="B5" s="850">
        <v>13140</v>
      </c>
      <c r="C5" s="974">
        <f t="shared" si="0"/>
        <v>0.11535118906533934</v>
      </c>
    </row>
    <row r="6" spans="1:15" s="145" customFormat="1" ht="15.75">
      <c r="A6" s="856" t="s">
        <v>237</v>
      </c>
      <c r="B6" s="850">
        <v>17313</v>
      </c>
      <c r="C6" s="974">
        <f t="shared" si="0"/>
        <v>0.15198440915435463</v>
      </c>
      <c r="F6" s="1744"/>
    </row>
    <row r="7" spans="1:15" s="145" customFormat="1" ht="15.75">
      <c r="A7" s="856" t="s">
        <v>499</v>
      </c>
      <c r="B7" s="850">
        <v>20883</v>
      </c>
      <c r="C7" s="974">
        <f t="shared" si="0"/>
        <v>0.18332411577256327</v>
      </c>
    </row>
    <row r="8" spans="1:15" s="145" customFormat="1" ht="15.75">
      <c r="A8" s="856" t="s">
        <v>619</v>
      </c>
      <c r="B8" s="850">
        <v>22389</v>
      </c>
      <c r="C8" s="974">
        <f t="shared" si="0"/>
        <v>0.19654473150562271</v>
      </c>
    </row>
    <row r="9" spans="1:15" s="145" customFormat="1" ht="15.75">
      <c r="A9" s="856" t="s">
        <v>628</v>
      </c>
      <c r="B9" s="850">
        <v>25583</v>
      </c>
      <c r="C9" s="974">
        <f t="shared" si="0"/>
        <v>0.22458367350521891</v>
      </c>
    </row>
    <row r="10" spans="1:15" s="145" customFormat="1" ht="15.75">
      <c r="A10" s="985" t="s">
        <v>632</v>
      </c>
      <c r="B10" s="850">
        <v>4149</v>
      </c>
      <c r="C10" s="974">
        <f t="shared" si="0"/>
        <v>3.6422532985699613E-2</v>
      </c>
    </row>
    <row r="11" spans="1:15" s="145" customFormat="1" ht="15.75">
      <c r="A11" s="849" t="s">
        <v>23</v>
      </c>
      <c r="B11" s="857">
        <f>SUM(B4:B10)</f>
        <v>113913</v>
      </c>
      <c r="C11" s="986">
        <f>SUM(C4:C6)</f>
        <v>0.35912494623089553</v>
      </c>
    </row>
    <row r="12" spans="1:15" s="84" customFormat="1">
      <c r="A12" s="152"/>
      <c r="B12" s="151"/>
      <c r="C12" s="151"/>
      <c r="D12" s="151"/>
      <c r="E12" s="151"/>
      <c r="F12" s="151"/>
      <c r="G12" s="151"/>
    </row>
    <row r="13" spans="1:15" s="84" customFormat="1">
      <c r="A13" s="152"/>
      <c r="B13" s="151"/>
      <c r="C13" s="151"/>
      <c r="D13" s="151"/>
      <c r="E13" s="151"/>
      <c r="F13" s="151"/>
      <c r="G13" s="151"/>
    </row>
    <row r="14" spans="1:15" s="84" customFormat="1">
      <c r="A14" s="152"/>
      <c r="B14" s="151"/>
      <c r="C14" s="151"/>
      <c r="D14" s="151"/>
      <c r="E14" s="151"/>
      <c r="F14" s="151"/>
      <c r="G14" s="151"/>
    </row>
    <row r="15" spans="1:15" s="84" customFormat="1">
      <c r="A15" s="152"/>
      <c r="B15" s="151"/>
      <c r="C15" s="151"/>
      <c r="D15" s="151"/>
      <c r="E15" s="151"/>
      <c r="F15" s="151"/>
      <c r="G15" s="151"/>
    </row>
    <row r="16" spans="1:15" s="84" customFormat="1"/>
    <row r="17" s="84" customFormat="1"/>
    <row r="18" s="84" customFormat="1"/>
    <row r="19" s="84" customFormat="1"/>
    <row r="20" s="84" customFormat="1"/>
    <row r="21" s="84" customFormat="1"/>
    <row r="22" s="84" customFormat="1"/>
  </sheetData>
  <mergeCells count="1">
    <mergeCell ref="A1:N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J8" sqref="J8"/>
    </sheetView>
  </sheetViews>
  <sheetFormatPr baseColWidth="10" defaultColWidth="11.42578125" defaultRowHeight="15"/>
  <cols>
    <col min="1" max="1" width="13.7109375" style="44" customWidth="1"/>
    <col min="2" max="2" width="13.28515625" style="44" customWidth="1"/>
    <col min="3" max="3" width="14.28515625" style="44" customWidth="1"/>
    <col min="4" max="4" width="13.85546875" style="44" customWidth="1"/>
    <col min="5" max="5" width="16.28515625" style="44" customWidth="1"/>
    <col min="6" max="6" width="16" style="44" customWidth="1"/>
    <col min="7" max="7" width="11.7109375" style="44" customWidth="1"/>
    <col min="8" max="8" width="13.7109375" style="44" customWidth="1"/>
    <col min="9" max="9" width="20" style="44" customWidth="1"/>
    <col min="10" max="10" width="18.85546875" style="44" customWidth="1"/>
    <col min="11" max="11" width="22.85546875" style="44" customWidth="1"/>
    <col min="12" max="12" width="14.140625" style="44" customWidth="1"/>
    <col min="13" max="13" width="11.42578125" style="44" customWidth="1"/>
    <col min="14" max="16384" width="11.42578125" style="44"/>
  </cols>
  <sheetData>
    <row r="1" spans="1:13" s="84" customFormat="1" ht="75.75" customHeight="1">
      <c r="A1" s="1901"/>
      <c r="B1" s="1901"/>
      <c r="C1" s="1901"/>
      <c r="D1" s="1901"/>
      <c r="E1" s="1901"/>
      <c r="F1" s="1901"/>
      <c r="G1" s="1901"/>
      <c r="H1" s="1901"/>
      <c r="I1" s="1901"/>
      <c r="J1" s="1901"/>
      <c r="K1" s="1901"/>
      <c r="L1" s="1901"/>
      <c r="M1" s="153"/>
    </row>
    <row r="2" spans="1:13" ht="3.75" customHeight="1">
      <c r="A2" s="1907"/>
      <c r="B2" s="1907"/>
      <c r="C2" s="1907"/>
      <c r="D2" s="1907"/>
      <c r="E2" s="1907"/>
      <c r="F2" s="1907"/>
      <c r="G2" s="1907"/>
      <c r="H2" s="1907"/>
      <c r="I2" s="1907"/>
      <c r="J2" s="1907"/>
      <c r="K2" s="1907"/>
      <c r="L2" s="1907"/>
      <c r="M2" s="190"/>
    </row>
    <row r="3" spans="1:13" s="84" customFormat="1" ht="21.75" customHeight="1">
      <c r="A3" s="978" t="s">
        <v>0</v>
      </c>
      <c r="B3" s="854" t="s">
        <v>371</v>
      </c>
      <c r="C3" s="854" t="s">
        <v>370</v>
      </c>
      <c r="D3" s="854" t="s">
        <v>143</v>
      </c>
      <c r="E3" s="854" t="s">
        <v>417</v>
      </c>
      <c r="F3" s="855" t="s">
        <v>416</v>
      </c>
    </row>
    <row r="4" spans="1:13" s="84" customFormat="1" ht="15.75">
      <c r="A4" s="990" t="s">
        <v>236</v>
      </c>
      <c r="B4" s="988">
        <v>53</v>
      </c>
      <c r="C4" s="878">
        <v>45</v>
      </c>
      <c r="D4" s="989">
        <f t="shared" ref="D4:D10" si="0">SUM(B4:C4)</f>
        <v>98</v>
      </c>
      <c r="E4" s="993">
        <f t="shared" ref="E4:E11" si="1">B4/D4</f>
        <v>0.54081632653061229</v>
      </c>
      <c r="F4" s="994">
        <f t="shared" ref="F4:F11" si="2">C4/D4</f>
        <v>0.45918367346938777</v>
      </c>
      <c r="G4" s="19"/>
    </row>
    <row r="5" spans="1:13" s="84" customFormat="1" ht="15.75">
      <c r="A5" s="990" t="s">
        <v>197</v>
      </c>
      <c r="B5" s="988">
        <v>95</v>
      </c>
      <c r="C5" s="878">
        <v>153</v>
      </c>
      <c r="D5" s="989">
        <f t="shared" si="0"/>
        <v>248</v>
      </c>
      <c r="E5" s="993">
        <f t="shared" si="1"/>
        <v>0.38306451612903225</v>
      </c>
      <c r="F5" s="994">
        <f t="shared" si="2"/>
        <v>0.61693548387096775</v>
      </c>
      <c r="G5" s="19"/>
      <c r="M5" s="44"/>
    </row>
    <row r="6" spans="1:13" s="84" customFormat="1" ht="15.75">
      <c r="A6" s="990" t="s">
        <v>237</v>
      </c>
      <c r="B6" s="988">
        <v>226</v>
      </c>
      <c r="C6" s="878">
        <v>169</v>
      </c>
      <c r="D6" s="989">
        <f t="shared" si="0"/>
        <v>395</v>
      </c>
      <c r="E6" s="993">
        <f t="shared" si="1"/>
        <v>0.57215189873417727</v>
      </c>
      <c r="F6" s="994">
        <f t="shared" si="2"/>
        <v>0.42784810126582279</v>
      </c>
      <c r="G6" s="19"/>
      <c r="M6" s="44"/>
    </row>
    <row r="7" spans="1:13" s="84" customFormat="1" ht="15.75">
      <c r="A7" s="990" t="s">
        <v>499</v>
      </c>
      <c r="B7" s="988">
        <v>191</v>
      </c>
      <c r="C7" s="878">
        <v>251</v>
      </c>
      <c r="D7" s="989">
        <f t="shared" si="0"/>
        <v>442</v>
      </c>
      <c r="E7" s="993">
        <f t="shared" si="1"/>
        <v>0.4321266968325792</v>
      </c>
      <c r="F7" s="994">
        <f t="shared" si="2"/>
        <v>0.5678733031674208</v>
      </c>
      <c r="G7" s="19"/>
      <c r="M7" s="44"/>
    </row>
    <row r="8" spans="1:13" s="84" customFormat="1" ht="15.75">
      <c r="A8" s="990" t="s">
        <v>619</v>
      </c>
      <c r="B8" s="988">
        <v>118</v>
      </c>
      <c r="C8" s="878">
        <v>384</v>
      </c>
      <c r="D8" s="989">
        <f t="shared" si="0"/>
        <v>502</v>
      </c>
      <c r="E8" s="993">
        <f>B8/D8</f>
        <v>0.23505976095617531</v>
      </c>
      <c r="F8" s="994">
        <f>C8/D8</f>
        <v>0.76494023904382469</v>
      </c>
      <c r="G8" s="19"/>
      <c r="M8" s="44"/>
    </row>
    <row r="9" spans="1:13" s="84" customFormat="1" ht="15.75">
      <c r="A9" s="990" t="s">
        <v>628</v>
      </c>
      <c r="B9" s="988">
        <v>122</v>
      </c>
      <c r="C9" s="878">
        <v>300</v>
      </c>
      <c r="D9" s="989">
        <f t="shared" si="0"/>
        <v>422</v>
      </c>
      <c r="E9" s="993">
        <f>B9/D9</f>
        <v>0.2890995260663507</v>
      </c>
      <c r="F9" s="994">
        <f>C9/D9</f>
        <v>0.7109004739336493</v>
      </c>
      <c r="G9" s="19"/>
      <c r="M9" s="44"/>
    </row>
    <row r="10" spans="1:13" s="84" customFormat="1" ht="15.75">
      <c r="A10" s="990" t="s">
        <v>649</v>
      </c>
      <c r="B10" s="988">
        <v>8</v>
      </c>
      <c r="C10" s="878">
        <v>18</v>
      </c>
      <c r="D10" s="989">
        <f t="shared" si="0"/>
        <v>26</v>
      </c>
      <c r="E10" s="993">
        <f>B10/D10</f>
        <v>0.30769230769230771</v>
      </c>
      <c r="F10" s="994">
        <f>C10/D10</f>
        <v>0.69230769230769229</v>
      </c>
      <c r="G10" s="19"/>
      <c r="M10" s="44"/>
    </row>
    <row r="11" spans="1:13" s="84" customFormat="1" ht="15.75">
      <c r="A11" s="849" t="s">
        <v>23</v>
      </c>
      <c r="B11" s="857">
        <f>SUM(B4:B10)</f>
        <v>813</v>
      </c>
      <c r="C11" s="857">
        <f>SUM(C4:C10)</f>
        <v>1320</v>
      </c>
      <c r="D11" s="857">
        <f>SUM(D4:D10)</f>
        <v>2133</v>
      </c>
      <c r="E11" s="991">
        <f t="shared" si="1"/>
        <v>0.38115330520393814</v>
      </c>
      <c r="F11" s="992">
        <f t="shared" si="2"/>
        <v>0.61884669479606191</v>
      </c>
      <c r="G11" s="19"/>
      <c r="M11" s="44"/>
    </row>
    <row r="12" spans="1:13" s="84" customFormat="1">
      <c r="A12" s="152"/>
      <c r="B12" s="151"/>
      <c r="C12" s="151"/>
      <c r="M12" s="44"/>
    </row>
    <row r="13" spans="1:13" s="84" customFormat="1">
      <c r="A13" s="152"/>
      <c r="B13" s="151"/>
      <c r="C13" s="151"/>
      <c r="L13" s="44"/>
      <c r="M13" s="44"/>
    </row>
    <row r="14" spans="1:13" s="84" customFormat="1">
      <c r="A14" s="152"/>
      <c r="B14" s="151"/>
      <c r="C14" s="151"/>
      <c r="L14" s="44"/>
      <c r="M14" s="44"/>
    </row>
    <row r="15" spans="1:13" s="84" customFormat="1">
      <c r="A15" s="152"/>
      <c r="B15" s="151"/>
      <c r="C15" s="151"/>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85" zoomScaleNormal="100" zoomScaleSheetLayoutView="85" workbookViewId="0">
      <selection activeCell="H9" sqref="H9"/>
    </sheetView>
  </sheetViews>
  <sheetFormatPr baseColWidth="10" defaultColWidth="11.42578125" defaultRowHeight="15"/>
  <cols>
    <col min="1" max="1" width="13" style="44" customWidth="1"/>
    <col min="2" max="3" width="12.28515625" style="44" customWidth="1"/>
    <col min="4" max="4" width="14.42578125" style="44" customWidth="1"/>
    <col min="5" max="5" width="16.5703125" style="44" customWidth="1"/>
    <col min="6" max="6" width="17.140625"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1.42578125" style="44" customWidth="1"/>
    <col min="14" max="16384" width="11.42578125" style="44"/>
  </cols>
  <sheetData>
    <row r="1" spans="1:13" s="84" customFormat="1" ht="66" customHeight="1">
      <c r="A1" s="1908"/>
      <c r="B1" s="1908"/>
      <c r="C1" s="1908"/>
      <c r="D1" s="1908"/>
      <c r="E1" s="1908"/>
      <c r="F1" s="1908"/>
      <c r="G1" s="1908"/>
      <c r="H1" s="1908"/>
      <c r="I1" s="1908"/>
      <c r="J1" s="1908"/>
      <c r="K1" s="1908"/>
      <c r="L1" s="1908"/>
      <c r="M1" s="153"/>
    </row>
    <row r="2" spans="1:13" ht="8.25" customHeight="1">
      <c r="A2" s="209"/>
      <c r="B2" s="209"/>
      <c r="C2" s="209"/>
      <c r="D2" s="209"/>
      <c r="E2" s="209"/>
      <c r="F2" s="209"/>
      <c r="G2" s="209"/>
      <c r="H2" s="209"/>
      <c r="I2" s="209"/>
      <c r="J2" s="209"/>
      <c r="K2" s="209"/>
      <c r="L2" s="209"/>
      <c r="M2" s="190"/>
    </row>
    <row r="3" spans="1:13" s="84" customFormat="1" ht="21.75" customHeight="1">
      <c r="A3" s="995" t="s">
        <v>0</v>
      </c>
      <c r="B3" s="946" t="s">
        <v>371</v>
      </c>
      <c r="C3" s="946" t="s">
        <v>370</v>
      </c>
      <c r="D3" s="946" t="s">
        <v>143</v>
      </c>
      <c r="E3" s="946" t="s">
        <v>417</v>
      </c>
      <c r="F3" s="947" t="s">
        <v>416</v>
      </c>
    </row>
    <row r="4" spans="1:13" s="84" customFormat="1" ht="15.75">
      <c r="A4" s="967" t="s">
        <v>236</v>
      </c>
      <c r="B4" s="996">
        <v>65</v>
      </c>
      <c r="C4" s="891">
        <v>86</v>
      </c>
      <c r="D4" s="997">
        <f t="shared" ref="D4:D10" si="0">SUM(B4:C4)</f>
        <v>151</v>
      </c>
      <c r="E4" s="962">
        <f>B5/D4</f>
        <v>0.58940397350993379</v>
      </c>
      <c r="F4" s="963">
        <f>C5/D4</f>
        <v>0.37748344370860926</v>
      </c>
      <c r="G4" s="19"/>
    </row>
    <row r="5" spans="1:13" s="84" customFormat="1" ht="15.75">
      <c r="A5" s="967" t="s">
        <v>197</v>
      </c>
      <c r="B5" s="996">
        <v>89</v>
      </c>
      <c r="C5" s="891">
        <v>57</v>
      </c>
      <c r="D5" s="997">
        <f t="shared" si="0"/>
        <v>146</v>
      </c>
      <c r="E5" s="962">
        <f t="shared" ref="E5:E11" si="1">B5/D5</f>
        <v>0.6095890410958904</v>
      </c>
      <c r="F5" s="963">
        <f t="shared" ref="F5:F11" si="2">C5/D5</f>
        <v>0.3904109589041096</v>
      </c>
      <c r="G5" s="19"/>
      <c r="M5" s="44"/>
    </row>
    <row r="6" spans="1:13" s="84" customFormat="1" ht="15.75">
      <c r="A6" s="967" t="s">
        <v>237</v>
      </c>
      <c r="B6" s="996">
        <v>86</v>
      </c>
      <c r="C6" s="891">
        <v>86</v>
      </c>
      <c r="D6" s="997">
        <f t="shared" si="0"/>
        <v>172</v>
      </c>
      <c r="E6" s="962">
        <f t="shared" si="1"/>
        <v>0.5</v>
      </c>
      <c r="F6" s="963">
        <f t="shared" si="2"/>
        <v>0.5</v>
      </c>
      <c r="G6" s="19"/>
      <c r="M6" s="44"/>
    </row>
    <row r="7" spans="1:13" s="84" customFormat="1" ht="15.75">
      <c r="A7" s="955" t="s">
        <v>499</v>
      </c>
      <c r="B7" s="996">
        <v>45</v>
      </c>
      <c r="C7" s="891">
        <v>77</v>
      </c>
      <c r="D7" s="997">
        <f t="shared" si="0"/>
        <v>122</v>
      </c>
      <c r="E7" s="962">
        <f t="shared" si="1"/>
        <v>0.36885245901639346</v>
      </c>
      <c r="F7" s="963">
        <f t="shared" si="2"/>
        <v>0.63114754098360659</v>
      </c>
      <c r="G7" s="19"/>
      <c r="M7" s="44"/>
    </row>
    <row r="8" spans="1:13" s="84" customFormat="1" ht="15.75">
      <c r="A8" s="955" t="s">
        <v>619</v>
      </c>
      <c r="B8" s="996">
        <v>79</v>
      </c>
      <c r="C8" s="891">
        <v>133</v>
      </c>
      <c r="D8" s="997">
        <f t="shared" si="0"/>
        <v>212</v>
      </c>
      <c r="E8" s="962">
        <f t="shared" si="1"/>
        <v>0.37264150943396224</v>
      </c>
      <c r="F8" s="963">
        <f t="shared" si="2"/>
        <v>0.62735849056603776</v>
      </c>
      <c r="G8" s="19"/>
      <c r="M8" s="44"/>
    </row>
    <row r="9" spans="1:13" s="84" customFormat="1" ht="15.75">
      <c r="A9" s="955" t="s">
        <v>628</v>
      </c>
      <c r="B9" s="996">
        <v>66</v>
      </c>
      <c r="C9" s="891">
        <v>115</v>
      </c>
      <c r="D9" s="997">
        <f t="shared" si="0"/>
        <v>181</v>
      </c>
      <c r="E9" s="962">
        <f t="shared" si="1"/>
        <v>0.36464088397790057</v>
      </c>
      <c r="F9" s="963">
        <f t="shared" si="2"/>
        <v>0.63535911602209949</v>
      </c>
      <c r="G9" s="19"/>
      <c r="M9" s="44"/>
    </row>
    <row r="10" spans="1:13" s="84" customFormat="1" ht="15.75">
      <c r="A10" s="1002" t="s">
        <v>669</v>
      </c>
      <c r="B10" s="996">
        <v>4</v>
      </c>
      <c r="C10" s="891">
        <v>7</v>
      </c>
      <c r="D10" s="997">
        <f t="shared" si="0"/>
        <v>11</v>
      </c>
      <c r="E10" s="962">
        <f t="shared" si="1"/>
        <v>0.36363636363636365</v>
      </c>
      <c r="F10" s="963">
        <f t="shared" si="2"/>
        <v>0.63636363636363635</v>
      </c>
      <c r="G10" s="19"/>
      <c r="M10" s="44"/>
    </row>
    <row r="11" spans="1:13" s="84" customFormat="1" ht="15.75">
      <c r="A11" s="998" t="s">
        <v>23</v>
      </c>
      <c r="B11" s="999">
        <f>SUM(B4:B10)</f>
        <v>434</v>
      </c>
      <c r="C11" s="999">
        <f>SUM(C4:C10)</f>
        <v>561</v>
      </c>
      <c r="D11" s="999">
        <f>SUM(D4:D10)</f>
        <v>995</v>
      </c>
      <c r="E11" s="1000">
        <f t="shared" si="1"/>
        <v>0.43618090452261304</v>
      </c>
      <c r="F11" s="1001">
        <f t="shared" si="2"/>
        <v>0.56381909547738696</v>
      </c>
      <c r="G11" s="19"/>
      <c r="M11" s="44"/>
    </row>
    <row r="12" spans="1:13" s="84" customFormat="1">
      <c r="A12" s="152"/>
      <c r="B12" s="151"/>
      <c r="C12" s="151"/>
      <c r="M12" s="44"/>
    </row>
    <row r="13" spans="1:13" s="84" customFormat="1">
      <c r="A13" s="152"/>
      <c r="B13" s="151"/>
      <c r="C13" s="151"/>
      <c r="L13" s="44"/>
      <c r="M13" s="44"/>
    </row>
    <row r="14" spans="1:13" s="84" customFormat="1">
      <c r="A14" s="152"/>
      <c r="B14" s="151"/>
      <c r="C14" s="151"/>
      <c r="L14" s="44"/>
      <c r="M14" s="44"/>
    </row>
    <row r="15" spans="1:13" s="84" customFormat="1">
      <c r="A15" s="152"/>
      <c r="B15" s="151"/>
      <c r="C15" s="151"/>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0"/>
    </row>
  </sheetData>
  <mergeCells count="1">
    <mergeCell ref="A1:L1"/>
  </mergeCells>
  <printOptions horizontalCentered="1"/>
  <pageMargins left="0.39370078740157483" right="0.39370078740157483" top="0.23622047244094491" bottom="0.23622047244094491" header="0.31496062992125984" footer="0.31496062992125984"/>
  <pageSetup scale="8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topLeftCell="D1" zoomScale="70" zoomScaleNormal="100" zoomScaleSheetLayoutView="70" workbookViewId="0">
      <selection activeCell="N1" sqref="N1:P17"/>
    </sheetView>
  </sheetViews>
  <sheetFormatPr baseColWidth="10" defaultColWidth="11.42578125" defaultRowHeight="15"/>
  <cols>
    <col min="1" max="1" width="12.42578125" style="44" customWidth="1"/>
    <col min="2" max="4" width="12.28515625" style="44" customWidth="1"/>
    <col min="5" max="5" width="14.85546875" style="44" hidden="1" customWidth="1"/>
    <col min="6" max="6" width="14.42578125" style="44" customWidth="1"/>
    <col min="7" max="8" width="13.28515625" style="44" customWidth="1"/>
    <col min="9" max="9" width="13.42578125" style="44" customWidth="1"/>
    <col min="10" max="10" width="15.28515625" style="44" customWidth="1"/>
    <col min="11" max="11" width="19.140625" style="44" customWidth="1"/>
    <col min="12" max="12" width="17" style="44" customWidth="1"/>
    <col min="13" max="14" width="11.42578125" style="44"/>
    <col min="15" max="15" width="16.28515625" style="44" customWidth="1"/>
    <col min="16" max="16" width="11.42578125" style="44" customWidth="1"/>
    <col min="17" max="16384" width="11.42578125" style="44"/>
  </cols>
  <sheetData>
    <row r="1" spans="1:23" s="84" customFormat="1" ht="67.5" customHeight="1">
      <c r="A1" s="1900"/>
      <c r="B1" s="1900"/>
      <c r="C1" s="1900"/>
      <c r="D1" s="1900"/>
      <c r="E1" s="1900"/>
      <c r="F1" s="1900"/>
      <c r="G1" s="1900"/>
      <c r="H1" s="1900"/>
      <c r="I1" s="1900"/>
      <c r="J1" s="1900"/>
      <c r="K1" s="1900"/>
      <c r="L1" s="1900"/>
      <c r="M1" s="1900"/>
      <c r="N1" s="153"/>
      <c r="O1" s="153"/>
      <c r="P1" s="153"/>
    </row>
    <row r="2" spans="1:23" ht="6.75" customHeight="1">
      <c r="A2" s="188"/>
      <c r="B2" s="188"/>
      <c r="C2" s="188"/>
      <c r="D2" s="188"/>
      <c r="E2" s="188"/>
      <c r="F2" s="188"/>
      <c r="G2" s="188"/>
      <c r="H2" s="188"/>
      <c r="I2" s="188"/>
      <c r="J2" s="188"/>
      <c r="K2" s="188"/>
      <c r="L2" s="188"/>
      <c r="M2" s="188"/>
      <c r="N2" s="190"/>
      <c r="O2" s="190"/>
      <c r="P2" s="190"/>
    </row>
    <row r="3" spans="1:23" s="84" customFormat="1" ht="31.5">
      <c r="A3" s="978" t="s">
        <v>0</v>
      </c>
      <c r="B3" s="854" t="s">
        <v>260</v>
      </c>
      <c r="C3" s="854" t="s">
        <v>259</v>
      </c>
      <c r="D3" s="854" t="s">
        <v>258</v>
      </c>
      <c r="E3" s="854" t="s">
        <v>257</v>
      </c>
      <c r="F3" s="854" t="s">
        <v>143</v>
      </c>
      <c r="G3" s="854" t="s">
        <v>256</v>
      </c>
      <c r="H3" s="854" t="s">
        <v>255</v>
      </c>
      <c r="I3" s="854" t="s">
        <v>254</v>
      </c>
      <c r="J3" s="855" t="s">
        <v>253</v>
      </c>
    </row>
    <row r="4" spans="1:23" s="84" customFormat="1" ht="15.75">
      <c r="A4" s="990" t="s">
        <v>236</v>
      </c>
      <c r="B4" s="878">
        <v>34</v>
      </c>
      <c r="C4" s="878">
        <v>28</v>
      </c>
      <c r="D4" s="878">
        <v>2</v>
      </c>
      <c r="E4" s="878">
        <v>1</v>
      </c>
      <c r="F4" s="879">
        <f t="shared" ref="F4:F10" si="0">SUM(B4:E4)</f>
        <v>65</v>
      </c>
      <c r="G4" s="1007">
        <f t="shared" ref="G4:G11" si="1">B4/F4</f>
        <v>0.52307692307692311</v>
      </c>
      <c r="H4" s="1007">
        <f t="shared" ref="H4:H11" si="2">C4/F4</f>
        <v>0.43076923076923079</v>
      </c>
      <c r="I4" s="1007">
        <f t="shared" ref="I4:I11" si="3">D4/F4</f>
        <v>3.0769230769230771E-2</v>
      </c>
      <c r="J4" s="1008">
        <f t="shared" ref="J4:J11" si="4">E4/F4</f>
        <v>1.5384615384615385E-2</v>
      </c>
    </row>
    <row r="5" spans="1:23" s="84" customFormat="1" ht="15.75">
      <c r="A5" s="990" t="s">
        <v>197</v>
      </c>
      <c r="B5" s="878">
        <v>20</v>
      </c>
      <c r="C5" s="878">
        <v>64</v>
      </c>
      <c r="D5" s="878">
        <v>5</v>
      </c>
      <c r="E5" s="878">
        <v>0</v>
      </c>
      <c r="F5" s="879">
        <f t="shared" si="0"/>
        <v>89</v>
      </c>
      <c r="G5" s="1007">
        <f t="shared" si="1"/>
        <v>0.2247191011235955</v>
      </c>
      <c r="H5" s="1007">
        <f t="shared" si="2"/>
        <v>0.7191011235955056</v>
      </c>
      <c r="I5" s="1007">
        <f t="shared" si="3"/>
        <v>5.6179775280898875E-2</v>
      </c>
      <c r="J5" s="1008">
        <f t="shared" si="4"/>
        <v>0</v>
      </c>
      <c r="P5" s="44"/>
    </row>
    <row r="6" spans="1:23" s="84" customFormat="1" ht="15.75">
      <c r="A6" s="618" t="s">
        <v>237</v>
      </c>
      <c r="B6" s="838">
        <v>29</v>
      </c>
      <c r="C6" s="838">
        <v>54</v>
      </c>
      <c r="D6" s="838">
        <v>3</v>
      </c>
      <c r="E6" s="838">
        <v>0</v>
      </c>
      <c r="F6" s="897">
        <f t="shared" si="0"/>
        <v>86</v>
      </c>
      <c r="G6" s="1007">
        <f t="shared" si="1"/>
        <v>0.33720930232558138</v>
      </c>
      <c r="H6" s="1007">
        <f t="shared" si="2"/>
        <v>0.62790697674418605</v>
      </c>
      <c r="I6" s="1007">
        <f t="shared" si="3"/>
        <v>3.4883720930232558E-2</v>
      </c>
      <c r="J6" s="1008">
        <f t="shared" si="4"/>
        <v>0</v>
      </c>
    </row>
    <row r="7" spans="1:23" s="84" customFormat="1" ht="15.75">
      <c r="A7" s="618" t="s">
        <v>499</v>
      </c>
      <c r="B7" s="838">
        <v>15</v>
      </c>
      <c r="C7" s="838">
        <v>26</v>
      </c>
      <c r="D7" s="838">
        <v>4</v>
      </c>
      <c r="E7" s="838"/>
      <c r="F7" s="897">
        <f t="shared" si="0"/>
        <v>45</v>
      </c>
      <c r="G7" s="1007">
        <f t="shared" si="1"/>
        <v>0.33333333333333331</v>
      </c>
      <c r="H7" s="1007">
        <f t="shared" si="2"/>
        <v>0.57777777777777772</v>
      </c>
      <c r="I7" s="1007">
        <f t="shared" si="3"/>
        <v>8.8888888888888892E-2</v>
      </c>
      <c r="J7" s="1008">
        <f t="shared" si="4"/>
        <v>0</v>
      </c>
    </row>
    <row r="8" spans="1:23" s="84" customFormat="1" ht="15.75">
      <c r="A8" s="618" t="s">
        <v>619</v>
      </c>
      <c r="B8" s="838">
        <v>40</v>
      </c>
      <c r="C8" s="838">
        <v>38</v>
      </c>
      <c r="D8" s="838">
        <v>1</v>
      </c>
      <c r="E8" s="838"/>
      <c r="F8" s="897">
        <f t="shared" si="0"/>
        <v>79</v>
      </c>
      <c r="G8" s="1007">
        <f t="shared" si="1"/>
        <v>0.50632911392405067</v>
      </c>
      <c r="H8" s="1007">
        <f t="shared" si="2"/>
        <v>0.48101265822784811</v>
      </c>
      <c r="I8" s="1007">
        <f t="shared" si="3"/>
        <v>1.2658227848101266E-2</v>
      </c>
      <c r="J8" s="1008">
        <f t="shared" si="4"/>
        <v>0</v>
      </c>
    </row>
    <row r="9" spans="1:23" s="84" customFormat="1" ht="15.75">
      <c r="A9" s="618" t="s">
        <v>628</v>
      </c>
      <c r="B9" s="838">
        <v>31</v>
      </c>
      <c r="C9" s="838">
        <v>32</v>
      </c>
      <c r="D9" s="838">
        <v>3</v>
      </c>
      <c r="E9" s="838"/>
      <c r="F9" s="897">
        <f t="shared" si="0"/>
        <v>66</v>
      </c>
      <c r="G9" s="1007">
        <f t="shared" si="1"/>
        <v>0.46969696969696972</v>
      </c>
      <c r="H9" s="1007">
        <f t="shared" si="2"/>
        <v>0.48484848484848486</v>
      </c>
      <c r="I9" s="1007">
        <f t="shared" si="3"/>
        <v>4.5454545454545456E-2</v>
      </c>
      <c r="J9" s="1008">
        <f t="shared" si="4"/>
        <v>0</v>
      </c>
    </row>
    <row r="10" spans="1:23" s="84" customFormat="1" ht="15.75">
      <c r="A10" s="618" t="s">
        <v>632</v>
      </c>
      <c r="B10" s="838">
        <v>1</v>
      </c>
      <c r="C10" s="838">
        <v>3</v>
      </c>
      <c r="D10" s="838">
        <v>0</v>
      </c>
      <c r="E10" s="838"/>
      <c r="F10" s="897">
        <f t="shared" si="0"/>
        <v>4</v>
      </c>
      <c r="G10" s="1007">
        <f t="shared" si="1"/>
        <v>0.25</v>
      </c>
      <c r="H10" s="1007">
        <f t="shared" si="2"/>
        <v>0.75</v>
      </c>
      <c r="I10" s="1007">
        <f t="shared" si="3"/>
        <v>0</v>
      </c>
      <c r="J10" s="1008">
        <f t="shared" si="4"/>
        <v>0</v>
      </c>
    </row>
    <row r="11" spans="1:23" s="84" customFormat="1" ht="15.75">
      <c r="A11" s="873" t="s">
        <v>23</v>
      </c>
      <c r="B11" s="1003">
        <f>SUM(B4:B10)</f>
        <v>170</v>
      </c>
      <c r="C11" s="1003">
        <f>SUM(C4:C10)</f>
        <v>245</v>
      </c>
      <c r="D11" s="1003">
        <f>SUM(D4:D10)</f>
        <v>18</v>
      </c>
      <c r="E11" s="1003">
        <f>SUM(E4:E10)</f>
        <v>1</v>
      </c>
      <c r="F11" s="1003">
        <f>SUM(F4:F10)</f>
        <v>434</v>
      </c>
      <c r="G11" s="1005">
        <f t="shared" si="1"/>
        <v>0.39170506912442399</v>
      </c>
      <c r="H11" s="1005">
        <f t="shared" si="2"/>
        <v>0.56451612903225812</v>
      </c>
      <c r="I11" s="1005">
        <f t="shared" si="3"/>
        <v>4.1474654377880185E-2</v>
      </c>
      <c r="J11" s="1006">
        <f t="shared" si="4"/>
        <v>2.304147465437788E-3</v>
      </c>
    </row>
    <row r="12" spans="1:23" s="84" customFormat="1" ht="31.5" customHeight="1">
      <c r="A12" s="152" t="s">
        <v>911</v>
      </c>
      <c r="B12" s="151"/>
      <c r="C12" s="151"/>
      <c r="D12" s="151"/>
      <c r="E12" s="151"/>
      <c r="P12" s="213"/>
      <c r="Q12" s="213"/>
      <c r="R12" s="213"/>
      <c r="S12" s="213"/>
      <c r="T12" s="213"/>
      <c r="U12" s="213"/>
      <c r="V12" s="213"/>
      <c r="W12" s="213"/>
    </row>
    <row r="13" spans="1:23" s="84" customFormat="1">
      <c r="A13" s="152"/>
      <c r="B13" s="151"/>
      <c r="C13" s="151"/>
      <c r="D13" s="151"/>
      <c r="E13" s="151"/>
      <c r="O13" s="44"/>
      <c r="P13" s="213"/>
      <c r="Q13" s="213"/>
      <c r="R13" s="213"/>
      <c r="S13" s="213"/>
      <c r="T13" s="213"/>
      <c r="U13" s="213"/>
      <c r="V13" s="213"/>
      <c r="W13" s="213"/>
    </row>
    <row r="14" spans="1:23" s="84" customFormat="1">
      <c r="A14" s="152"/>
      <c r="B14" s="151"/>
      <c r="C14" s="151"/>
      <c r="D14" s="151"/>
      <c r="E14" s="151"/>
      <c r="O14" s="44"/>
      <c r="P14" s="213"/>
      <c r="Q14" s="213"/>
      <c r="R14" s="213"/>
      <c r="S14" s="213"/>
      <c r="T14" s="213"/>
      <c r="U14" s="213"/>
      <c r="V14" s="213"/>
      <c r="W14" s="213"/>
    </row>
    <row r="15" spans="1:23" s="84" customFormat="1">
      <c r="A15" s="152"/>
      <c r="B15" s="151"/>
      <c r="C15" s="151"/>
      <c r="D15" s="151"/>
      <c r="E15" s="151"/>
      <c r="P15" s="213"/>
      <c r="Q15" s="213"/>
      <c r="R15" s="213"/>
      <c r="S15" s="213"/>
      <c r="T15" s="213"/>
      <c r="U15" s="213"/>
      <c r="V15" s="213"/>
      <c r="W15" s="213"/>
    </row>
    <row r="16" spans="1:23" s="84" customFormat="1"/>
    <row r="17" spans="15:15" s="84" customFormat="1"/>
    <row r="18" spans="15:15" s="84" customFormat="1"/>
    <row r="19" spans="15:15" s="84" customFormat="1"/>
    <row r="20" spans="15:15" s="84" customFormat="1"/>
    <row r="21" spans="15:15" s="84" customFormat="1"/>
    <row r="22" spans="15:15" s="84" customFormat="1"/>
    <row r="24" spans="15:15">
      <c r="O24" s="150"/>
    </row>
  </sheetData>
  <mergeCells count="1">
    <mergeCell ref="A1:M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85" zoomScaleNormal="100" zoomScaleSheetLayoutView="85" workbookViewId="0">
      <selection activeCell="K7" sqref="K7"/>
    </sheetView>
  </sheetViews>
  <sheetFormatPr baseColWidth="10" defaultColWidth="11.42578125" defaultRowHeight="15"/>
  <cols>
    <col min="1" max="1" width="17.7109375" style="44" customWidth="1"/>
    <col min="2" max="6" width="11.42578125" style="44" customWidth="1"/>
    <col min="7" max="7" width="14.140625" style="44" customWidth="1"/>
    <col min="8" max="8" width="13.28515625" style="44" customWidth="1"/>
    <col min="9" max="10" width="14.85546875" style="44" customWidth="1"/>
    <col min="11" max="11" width="18.140625" style="44" customWidth="1"/>
    <col min="12" max="12" width="17.140625" style="44" customWidth="1"/>
    <col min="13" max="16384" width="11.42578125" style="44"/>
  </cols>
  <sheetData>
    <row r="1" spans="1:13" s="84" customFormat="1" ht="69" customHeight="1">
      <c r="A1" s="1908"/>
      <c r="B1" s="1908"/>
      <c r="C1" s="1908"/>
      <c r="D1" s="1908"/>
      <c r="E1" s="1908"/>
      <c r="F1" s="1908"/>
      <c r="G1" s="1908"/>
      <c r="H1" s="1908"/>
      <c r="I1" s="1908"/>
      <c r="J1" s="1908"/>
      <c r="K1" s="1908"/>
      <c r="L1" s="1908"/>
      <c r="M1" s="153"/>
    </row>
    <row r="2" spans="1:13" ht="3" customHeight="1">
      <c r="A2" s="209"/>
      <c r="B2" s="209"/>
      <c r="C2" s="209"/>
      <c r="D2" s="209"/>
      <c r="E2" s="209"/>
      <c r="F2" s="209"/>
      <c r="G2" s="209"/>
      <c r="H2" s="209"/>
      <c r="I2" s="209"/>
      <c r="J2" s="209"/>
      <c r="K2" s="209"/>
      <c r="L2" s="209"/>
      <c r="M2" s="190"/>
    </row>
    <row r="3" spans="1:13" s="84" customFormat="1" ht="31.5">
      <c r="A3" s="978" t="s">
        <v>0</v>
      </c>
      <c r="B3" s="854" t="s">
        <v>384</v>
      </c>
      <c r="C3" s="854" t="s">
        <v>383</v>
      </c>
      <c r="D3" s="854" t="s">
        <v>382</v>
      </c>
      <c r="E3" s="854" t="s">
        <v>381</v>
      </c>
      <c r="F3" s="854" t="s">
        <v>143</v>
      </c>
      <c r="G3" s="854" t="s">
        <v>418</v>
      </c>
      <c r="H3" s="854" t="s">
        <v>377</v>
      </c>
      <c r="I3" s="854" t="s">
        <v>376</v>
      </c>
      <c r="J3" s="855" t="s">
        <v>375</v>
      </c>
    </row>
    <row r="4" spans="1:13" s="84" customFormat="1" ht="15.75">
      <c r="A4" s="990" t="s">
        <v>236</v>
      </c>
      <c r="B4" s="878">
        <v>11</v>
      </c>
      <c r="C4" s="878">
        <v>50</v>
      </c>
      <c r="D4" s="878">
        <v>2</v>
      </c>
      <c r="E4" s="878">
        <v>2</v>
      </c>
      <c r="F4" s="1009">
        <f t="shared" ref="F4:F10" si="0">SUM(B4:E4)</f>
        <v>65</v>
      </c>
      <c r="G4" s="1007">
        <f t="shared" ref="G4:G11" si="1">B4/F4</f>
        <v>0.16923076923076924</v>
      </c>
      <c r="H4" s="1007">
        <f t="shared" ref="H4:H11" si="2">C4/F4</f>
        <v>0.76923076923076927</v>
      </c>
      <c r="I4" s="1007">
        <f t="shared" ref="I4:I11" si="3">D4/F4</f>
        <v>3.0769230769230771E-2</v>
      </c>
      <c r="J4" s="1008">
        <f t="shared" ref="J4:J11" si="4">E4/F4</f>
        <v>3.0769230769230771E-2</v>
      </c>
    </row>
    <row r="5" spans="1:13" s="84" customFormat="1" ht="15.75">
      <c r="A5" s="990" t="s">
        <v>197</v>
      </c>
      <c r="B5" s="878">
        <v>7</v>
      </c>
      <c r="C5" s="878">
        <v>60</v>
      </c>
      <c r="D5" s="878">
        <v>14</v>
      </c>
      <c r="E5" s="878">
        <v>8</v>
      </c>
      <c r="F5" s="1009">
        <f t="shared" si="0"/>
        <v>89</v>
      </c>
      <c r="G5" s="1007">
        <f t="shared" si="1"/>
        <v>7.8651685393258425E-2</v>
      </c>
      <c r="H5" s="1007">
        <f t="shared" si="2"/>
        <v>0.6741573033707865</v>
      </c>
      <c r="I5" s="1007">
        <f t="shared" si="3"/>
        <v>0.15730337078651685</v>
      </c>
      <c r="J5" s="1008">
        <f t="shared" si="4"/>
        <v>8.98876404494382E-2</v>
      </c>
    </row>
    <row r="6" spans="1:13" s="84" customFormat="1" ht="15.75">
      <c r="A6" s="618" t="s">
        <v>237</v>
      </c>
      <c r="B6" s="838">
        <v>6</v>
      </c>
      <c r="C6" s="838">
        <v>64</v>
      </c>
      <c r="D6" s="838">
        <v>10</v>
      </c>
      <c r="E6" s="838">
        <v>6</v>
      </c>
      <c r="F6" s="1010">
        <f t="shared" si="0"/>
        <v>86</v>
      </c>
      <c r="G6" s="1007">
        <f t="shared" si="1"/>
        <v>6.9767441860465115E-2</v>
      </c>
      <c r="H6" s="1007">
        <f t="shared" si="2"/>
        <v>0.7441860465116279</v>
      </c>
      <c r="I6" s="1007">
        <f t="shared" si="3"/>
        <v>0.11627906976744186</v>
      </c>
      <c r="J6" s="1008">
        <f t="shared" si="4"/>
        <v>6.9767441860465115E-2</v>
      </c>
    </row>
    <row r="7" spans="1:13" s="84" customFormat="1" ht="15.75">
      <c r="A7" s="618" t="s">
        <v>499</v>
      </c>
      <c r="B7" s="838">
        <v>6</v>
      </c>
      <c r="C7" s="838">
        <v>26</v>
      </c>
      <c r="D7" s="838">
        <v>10</v>
      </c>
      <c r="E7" s="838">
        <v>3</v>
      </c>
      <c r="F7" s="1010">
        <f t="shared" si="0"/>
        <v>45</v>
      </c>
      <c r="G7" s="1007">
        <f t="shared" si="1"/>
        <v>0.13333333333333333</v>
      </c>
      <c r="H7" s="1007">
        <f t="shared" si="2"/>
        <v>0.57777777777777772</v>
      </c>
      <c r="I7" s="1007">
        <f t="shared" si="3"/>
        <v>0.22222222222222221</v>
      </c>
      <c r="J7" s="1008">
        <f t="shared" si="4"/>
        <v>6.6666666666666666E-2</v>
      </c>
    </row>
    <row r="8" spans="1:13" s="84" customFormat="1" ht="15.75">
      <c r="A8" s="618" t="s">
        <v>619</v>
      </c>
      <c r="B8" s="838">
        <v>8</v>
      </c>
      <c r="C8" s="838">
        <v>58</v>
      </c>
      <c r="D8" s="838">
        <v>8</v>
      </c>
      <c r="E8" s="838">
        <v>5</v>
      </c>
      <c r="F8" s="1010">
        <f t="shared" si="0"/>
        <v>79</v>
      </c>
      <c r="G8" s="1007">
        <f t="shared" si="1"/>
        <v>0.10126582278481013</v>
      </c>
      <c r="H8" s="1007">
        <f t="shared" si="2"/>
        <v>0.73417721518987344</v>
      </c>
      <c r="I8" s="1007">
        <f t="shared" si="3"/>
        <v>0.10126582278481013</v>
      </c>
      <c r="J8" s="1008">
        <f t="shared" si="4"/>
        <v>6.3291139240506333E-2</v>
      </c>
    </row>
    <row r="9" spans="1:13" s="84" customFormat="1" ht="15.75">
      <c r="A9" s="618" t="s">
        <v>628</v>
      </c>
      <c r="B9" s="838">
        <v>7</v>
      </c>
      <c r="C9" s="838">
        <v>49</v>
      </c>
      <c r="D9" s="838">
        <v>8</v>
      </c>
      <c r="E9" s="838">
        <v>2</v>
      </c>
      <c r="F9" s="1010">
        <f t="shared" si="0"/>
        <v>66</v>
      </c>
      <c r="G9" s="1007">
        <f t="shared" si="1"/>
        <v>0.10606060606060606</v>
      </c>
      <c r="H9" s="1007">
        <f t="shared" si="2"/>
        <v>0.74242424242424243</v>
      </c>
      <c r="I9" s="1007">
        <f t="shared" si="3"/>
        <v>0.12121212121212122</v>
      </c>
      <c r="J9" s="1008">
        <f t="shared" si="4"/>
        <v>3.0303030303030304E-2</v>
      </c>
    </row>
    <row r="10" spans="1:13" s="84" customFormat="1" ht="15.75">
      <c r="A10" s="618" t="s">
        <v>632</v>
      </c>
      <c r="B10" s="838">
        <v>0</v>
      </c>
      <c r="C10" s="838">
        <v>4</v>
      </c>
      <c r="D10" s="838">
        <v>0</v>
      </c>
      <c r="E10" s="838">
        <v>0</v>
      </c>
      <c r="F10" s="1010">
        <f t="shared" si="0"/>
        <v>4</v>
      </c>
      <c r="G10" s="1007">
        <f t="shared" si="1"/>
        <v>0</v>
      </c>
      <c r="H10" s="1007">
        <f t="shared" si="2"/>
        <v>1</v>
      </c>
      <c r="I10" s="1007">
        <f t="shared" si="3"/>
        <v>0</v>
      </c>
      <c r="J10" s="1008">
        <f t="shared" si="4"/>
        <v>0</v>
      </c>
    </row>
    <row r="11" spans="1:13" s="84" customFormat="1" ht="15.75">
      <c r="A11" s="873" t="s">
        <v>23</v>
      </c>
      <c r="B11" s="1003">
        <f>SUM(B4:B10)</f>
        <v>45</v>
      </c>
      <c r="C11" s="1003">
        <f>SUM(C4:C10)</f>
        <v>311</v>
      </c>
      <c r="D11" s="1003">
        <f>SUM(D4:D10)</f>
        <v>52</v>
      </c>
      <c r="E11" s="1003">
        <f>SUM(E4:E10)</f>
        <v>26</v>
      </c>
      <c r="F11" s="1003">
        <f>SUM(F4:F10)</f>
        <v>434</v>
      </c>
      <c r="G11" s="1005">
        <f t="shared" si="1"/>
        <v>0.10368663594470046</v>
      </c>
      <c r="H11" s="1005">
        <f t="shared" si="2"/>
        <v>0.71658986175115202</v>
      </c>
      <c r="I11" s="1005">
        <f t="shared" si="3"/>
        <v>0.11981566820276497</v>
      </c>
      <c r="J11" s="1006">
        <f t="shared" si="4"/>
        <v>5.9907834101382486E-2</v>
      </c>
    </row>
    <row r="12" spans="1:13" s="84" customFormat="1">
      <c r="A12" s="152"/>
      <c r="B12" s="151"/>
      <c r="C12" s="151"/>
      <c r="D12" s="151"/>
      <c r="E12" s="151"/>
    </row>
    <row r="13" spans="1:13" s="84" customFormat="1">
      <c r="A13" s="152"/>
      <c r="B13" s="151"/>
      <c r="C13" s="151"/>
      <c r="D13" s="151"/>
      <c r="E13" s="151"/>
    </row>
    <row r="14" spans="1:13" s="84" customFormat="1">
      <c r="A14" s="152"/>
      <c r="B14" s="151"/>
      <c r="C14" s="151"/>
      <c r="D14" s="151"/>
      <c r="E14" s="151"/>
    </row>
    <row r="15" spans="1:13" s="84" customFormat="1">
      <c r="A15" s="152"/>
      <c r="B15" s="151"/>
      <c r="C15" s="151"/>
      <c r="D15" s="151"/>
      <c r="E15" s="151"/>
    </row>
    <row r="16" spans="1:13" s="84" customFormat="1"/>
    <row r="17" s="84" customFormat="1"/>
    <row r="18" s="84" customFormat="1"/>
    <row r="19" s="84" customFormat="1"/>
    <row r="20" s="84" customFormat="1"/>
    <row r="21" s="84" customFormat="1"/>
    <row r="22"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70" zoomScaleNormal="100" zoomScaleSheetLayoutView="70" workbookViewId="0">
      <selection activeCell="Q32" sqref="Q32"/>
    </sheetView>
  </sheetViews>
  <sheetFormatPr baseColWidth="10" defaultColWidth="11.42578125" defaultRowHeight="15"/>
  <cols>
    <col min="1" max="1" width="14.85546875" style="44" customWidth="1"/>
    <col min="2" max="3" width="12.28515625" style="44" customWidth="1"/>
    <col min="4" max="4" width="14.140625" style="44" customWidth="1"/>
    <col min="5" max="5" width="10.5703125" style="44" customWidth="1"/>
    <col min="6" max="6" width="9.7109375" style="44" customWidth="1"/>
    <col min="7" max="7" width="15.7109375" style="44" customWidth="1"/>
    <col min="8" max="8" width="13.7109375" style="44" customWidth="1"/>
    <col min="9" max="9" width="16.42578125" style="44" customWidth="1"/>
    <col min="10" max="10" width="13.28515625" style="44" customWidth="1"/>
    <col min="11" max="11" width="13.7109375" style="44" customWidth="1"/>
    <col min="12" max="13" width="11.7109375" style="44" customWidth="1"/>
    <col min="14" max="14" width="15.28515625" style="44" customWidth="1"/>
    <col min="15" max="16" width="11.42578125" style="44"/>
    <col min="17" max="17" width="16.28515625" style="44" customWidth="1"/>
    <col min="18" max="18" width="11.42578125" style="44" customWidth="1"/>
    <col min="19" max="16384" width="11.42578125" style="44"/>
  </cols>
  <sheetData>
    <row r="1" spans="1:18" s="84" customFormat="1" ht="78.75" customHeight="1">
      <c r="A1" s="1901"/>
      <c r="B1" s="1901"/>
      <c r="C1" s="1901"/>
      <c r="D1" s="1901"/>
      <c r="E1" s="1901"/>
      <c r="F1" s="1901"/>
      <c r="G1" s="1901"/>
      <c r="H1" s="1901"/>
      <c r="I1" s="1901"/>
      <c r="J1" s="1901"/>
      <c r="K1" s="1901"/>
      <c r="L1" s="1901"/>
      <c r="M1" s="1901"/>
      <c r="N1" s="1901"/>
      <c r="O1" s="153"/>
      <c r="P1" s="153"/>
      <c r="Q1" s="153"/>
      <c r="R1" s="153"/>
    </row>
    <row r="2" spans="1:18" s="84" customFormat="1" ht="4.5" customHeight="1">
      <c r="A2" s="875"/>
      <c r="B2" s="188"/>
      <c r="C2" s="188"/>
      <c r="D2" s="188"/>
      <c r="E2" s="188"/>
      <c r="F2" s="188"/>
      <c r="G2" s="188"/>
      <c r="H2" s="188"/>
      <c r="I2" s="188"/>
      <c r="J2" s="188"/>
      <c r="K2" s="188"/>
      <c r="L2" s="188"/>
      <c r="M2" s="188"/>
      <c r="N2" s="188"/>
      <c r="O2" s="153"/>
      <c r="P2" s="153"/>
      <c r="Q2" s="153"/>
      <c r="R2" s="153"/>
    </row>
    <row r="3" spans="1:18" s="84" customFormat="1" ht="44.25" customHeight="1">
      <c r="A3" s="978" t="s">
        <v>0</v>
      </c>
      <c r="B3" s="854" t="s">
        <v>394</v>
      </c>
      <c r="C3" s="854" t="s">
        <v>393</v>
      </c>
      <c r="D3" s="854" t="s">
        <v>392</v>
      </c>
      <c r="E3" s="854" t="s">
        <v>391</v>
      </c>
      <c r="F3" s="854" t="s">
        <v>390</v>
      </c>
      <c r="G3" s="854" t="s">
        <v>379</v>
      </c>
      <c r="H3" s="854" t="s">
        <v>143</v>
      </c>
      <c r="I3" s="984" t="s">
        <v>389</v>
      </c>
      <c r="J3" s="984" t="s">
        <v>388</v>
      </c>
      <c r="K3" s="854" t="s">
        <v>387</v>
      </c>
      <c r="L3" s="854" t="s">
        <v>386</v>
      </c>
      <c r="M3" s="854" t="s">
        <v>385</v>
      </c>
      <c r="N3" s="855" t="s">
        <v>253</v>
      </c>
    </row>
    <row r="4" spans="1:18" s="84" customFormat="1" ht="15.75">
      <c r="A4" s="856" t="s">
        <v>236</v>
      </c>
      <c r="B4" s="850">
        <v>13</v>
      </c>
      <c r="C4" s="850">
        <v>4</v>
      </c>
      <c r="D4" s="850">
        <v>6</v>
      </c>
      <c r="E4" s="850">
        <v>28</v>
      </c>
      <c r="F4" s="850">
        <v>14</v>
      </c>
      <c r="G4" s="850">
        <v>0</v>
      </c>
      <c r="H4" s="972">
        <f t="shared" ref="H4:H10" si="0">SUM(B4:G4)</f>
        <v>65</v>
      </c>
      <c r="I4" s="1011">
        <f t="shared" ref="I4:I11" si="1">B4/H4</f>
        <v>0.2</v>
      </c>
      <c r="J4" s="1011">
        <f t="shared" ref="J4:J11" si="2">C4/H4</f>
        <v>6.1538461538461542E-2</v>
      </c>
      <c r="K4" s="1011">
        <f t="shared" ref="K4:K11" si="3">D4/H4</f>
        <v>9.2307692307692313E-2</v>
      </c>
      <c r="L4" s="1011">
        <f t="shared" ref="L4:L11" si="4">E4/H4</f>
        <v>0.43076923076923079</v>
      </c>
      <c r="M4" s="1011">
        <f t="shared" ref="M4:M11" si="5">F4/H4</f>
        <v>0.2153846153846154</v>
      </c>
      <c r="N4" s="1012">
        <f t="shared" ref="N4:N11" si="6">G4/H4</f>
        <v>0</v>
      </c>
    </row>
    <row r="5" spans="1:18" s="84" customFormat="1" ht="15.75">
      <c r="A5" s="856" t="s">
        <v>197</v>
      </c>
      <c r="B5" s="850">
        <v>7</v>
      </c>
      <c r="C5" s="850">
        <v>8</v>
      </c>
      <c r="D5" s="850">
        <v>0</v>
      </c>
      <c r="E5" s="850">
        <v>55</v>
      </c>
      <c r="F5" s="850">
        <v>17</v>
      </c>
      <c r="G5" s="850">
        <v>2</v>
      </c>
      <c r="H5" s="972">
        <f t="shared" si="0"/>
        <v>89</v>
      </c>
      <c r="I5" s="1011">
        <f t="shared" si="1"/>
        <v>7.8651685393258425E-2</v>
      </c>
      <c r="J5" s="1011">
        <f t="shared" si="2"/>
        <v>8.98876404494382E-2</v>
      </c>
      <c r="K5" s="1011">
        <f t="shared" si="3"/>
        <v>0</v>
      </c>
      <c r="L5" s="1011">
        <f t="shared" si="4"/>
        <v>0.6179775280898876</v>
      </c>
      <c r="M5" s="1011">
        <f t="shared" si="5"/>
        <v>0.19101123595505617</v>
      </c>
      <c r="N5" s="1012">
        <f t="shared" si="6"/>
        <v>2.247191011235955E-2</v>
      </c>
      <c r="R5" s="44"/>
    </row>
    <row r="6" spans="1:18" s="84" customFormat="1" ht="15.75">
      <c r="A6" s="856" t="s">
        <v>237</v>
      </c>
      <c r="B6" s="850">
        <v>14</v>
      </c>
      <c r="C6" s="850">
        <v>6</v>
      </c>
      <c r="D6" s="850">
        <v>1</v>
      </c>
      <c r="E6" s="850">
        <v>55</v>
      </c>
      <c r="F6" s="850">
        <v>4</v>
      </c>
      <c r="G6" s="850">
        <v>6</v>
      </c>
      <c r="H6" s="972">
        <f t="shared" si="0"/>
        <v>86</v>
      </c>
      <c r="I6" s="1011">
        <f t="shared" si="1"/>
        <v>0.16279069767441862</v>
      </c>
      <c r="J6" s="1011">
        <f t="shared" si="2"/>
        <v>6.9767441860465115E-2</v>
      </c>
      <c r="K6" s="1011">
        <f t="shared" si="3"/>
        <v>1.1627906976744186E-2</v>
      </c>
      <c r="L6" s="1011">
        <f t="shared" si="4"/>
        <v>0.63953488372093026</v>
      </c>
      <c r="M6" s="1011">
        <f t="shared" si="5"/>
        <v>4.6511627906976744E-2</v>
      </c>
      <c r="N6" s="1012">
        <f t="shared" si="6"/>
        <v>6.9767441860465115E-2</v>
      </c>
    </row>
    <row r="7" spans="1:18" s="84" customFormat="1" ht="15.75">
      <c r="A7" s="856" t="s">
        <v>499</v>
      </c>
      <c r="B7" s="300">
        <v>1</v>
      </c>
      <c r="C7" s="300">
        <v>0</v>
      </c>
      <c r="D7" s="300">
        <v>0</v>
      </c>
      <c r="E7" s="300">
        <v>36</v>
      </c>
      <c r="F7" s="300">
        <v>1</v>
      </c>
      <c r="G7" s="300">
        <v>7</v>
      </c>
      <c r="H7" s="860">
        <f t="shared" si="0"/>
        <v>45</v>
      </c>
      <c r="I7" s="1011">
        <f t="shared" si="1"/>
        <v>2.2222222222222223E-2</v>
      </c>
      <c r="J7" s="1011">
        <f t="shared" si="2"/>
        <v>0</v>
      </c>
      <c r="K7" s="1011">
        <f t="shared" si="3"/>
        <v>0</v>
      </c>
      <c r="L7" s="1011">
        <f t="shared" si="4"/>
        <v>0.8</v>
      </c>
      <c r="M7" s="1011">
        <f t="shared" si="5"/>
        <v>2.2222222222222223E-2</v>
      </c>
      <c r="N7" s="1012">
        <f t="shared" si="6"/>
        <v>0.15555555555555556</v>
      </c>
    </row>
    <row r="8" spans="1:18" s="84" customFormat="1" ht="15.75">
      <c r="A8" s="856" t="s">
        <v>619</v>
      </c>
      <c r="B8" s="300">
        <v>2</v>
      </c>
      <c r="C8" s="300">
        <v>2</v>
      </c>
      <c r="D8" s="300">
        <v>1</v>
      </c>
      <c r="E8" s="300">
        <v>64</v>
      </c>
      <c r="F8" s="300">
        <v>7</v>
      </c>
      <c r="G8" s="300">
        <v>3</v>
      </c>
      <c r="H8" s="860">
        <f t="shared" si="0"/>
        <v>79</v>
      </c>
      <c r="I8" s="1011">
        <f t="shared" si="1"/>
        <v>2.5316455696202531E-2</v>
      </c>
      <c r="J8" s="1011">
        <f t="shared" si="2"/>
        <v>2.5316455696202531E-2</v>
      </c>
      <c r="K8" s="1011">
        <f t="shared" si="3"/>
        <v>1.2658227848101266E-2</v>
      </c>
      <c r="L8" s="1011">
        <f t="shared" si="4"/>
        <v>0.810126582278481</v>
      </c>
      <c r="M8" s="1011">
        <f t="shared" si="5"/>
        <v>8.8607594936708861E-2</v>
      </c>
      <c r="N8" s="1012">
        <f t="shared" si="6"/>
        <v>3.7974683544303799E-2</v>
      </c>
    </row>
    <row r="9" spans="1:18" s="84" customFormat="1" ht="15.75">
      <c r="A9" s="856" t="s">
        <v>628</v>
      </c>
      <c r="B9" s="300">
        <v>2</v>
      </c>
      <c r="C9" s="300">
        <v>12</v>
      </c>
      <c r="D9" s="300">
        <v>1</v>
      </c>
      <c r="E9" s="300">
        <v>46</v>
      </c>
      <c r="F9" s="300">
        <v>5</v>
      </c>
      <c r="G9" s="300">
        <v>0</v>
      </c>
      <c r="H9" s="860">
        <f t="shared" si="0"/>
        <v>66</v>
      </c>
      <c r="I9" s="1011">
        <f t="shared" si="1"/>
        <v>3.0303030303030304E-2</v>
      </c>
      <c r="J9" s="1011">
        <f t="shared" si="2"/>
        <v>0.18181818181818182</v>
      </c>
      <c r="K9" s="1011">
        <f t="shared" si="3"/>
        <v>1.5151515151515152E-2</v>
      </c>
      <c r="L9" s="1011">
        <f t="shared" si="4"/>
        <v>0.69696969696969702</v>
      </c>
      <c r="M9" s="1011">
        <f t="shared" si="5"/>
        <v>7.575757575757576E-2</v>
      </c>
      <c r="N9" s="1012">
        <f t="shared" si="6"/>
        <v>0</v>
      </c>
    </row>
    <row r="10" spans="1:18" s="84" customFormat="1" ht="15.75">
      <c r="A10" s="856" t="s">
        <v>632</v>
      </c>
      <c r="B10" s="300">
        <v>0</v>
      </c>
      <c r="C10" s="300">
        <v>0</v>
      </c>
      <c r="D10" s="300">
        <v>0</v>
      </c>
      <c r="E10" s="300">
        <v>4</v>
      </c>
      <c r="F10" s="300">
        <v>0</v>
      </c>
      <c r="G10" s="300">
        <v>0</v>
      </c>
      <c r="H10" s="860">
        <f t="shared" si="0"/>
        <v>4</v>
      </c>
      <c r="I10" s="1011">
        <f t="shared" si="1"/>
        <v>0</v>
      </c>
      <c r="J10" s="1011">
        <f t="shared" si="2"/>
        <v>0</v>
      </c>
      <c r="K10" s="1011">
        <f t="shared" si="3"/>
        <v>0</v>
      </c>
      <c r="L10" s="1011">
        <f t="shared" si="4"/>
        <v>1</v>
      </c>
      <c r="M10" s="1011">
        <f t="shared" si="5"/>
        <v>0</v>
      </c>
      <c r="N10" s="1012">
        <f t="shared" si="6"/>
        <v>0</v>
      </c>
    </row>
    <row r="11" spans="1:18" s="84" customFormat="1" ht="15.75">
      <c r="A11" s="849" t="s">
        <v>23</v>
      </c>
      <c r="B11" s="857">
        <f>SUM(B4:B10)</f>
        <v>39</v>
      </c>
      <c r="C11" s="857">
        <f t="shared" ref="C11:H11" si="7">SUM(C4:C10)</f>
        <v>32</v>
      </c>
      <c r="D11" s="857">
        <f t="shared" si="7"/>
        <v>9</v>
      </c>
      <c r="E11" s="857">
        <f t="shared" si="7"/>
        <v>288</v>
      </c>
      <c r="F11" s="857">
        <f t="shared" si="7"/>
        <v>48</v>
      </c>
      <c r="G11" s="857">
        <f t="shared" si="7"/>
        <v>18</v>
      </c>
      <c r="H11" s="857">
        <f t="shared" si="7"/>
        <v>434</v>
      </c>
      <c r="I11" s="858">
        <f t="shared" si="1"/>
        <v>8.9861751152073732E-2</v>
      </c>
      <c r="J11" s="858">
        <f t="shared" si="2"/>
        <v>7.3732718894009217E-2</v>
      </c>
      <c r="K11" s="858">
        <f t="shared" si="3"/>
        <v>2.0737327188940093E-2</v>
      </c>
      <c r="L11" s="858">
        <f t="shared" si="4"/>
        <v>0.66359447004608296</v>
      </c>
      <c r="M11" s="858">
        <f t="shared" si="5"/>
        <v>0.11059907834101383</v>
      </c>
      <c r="N11" s="859">
        <f t="shared" si="6"/>
        <v>4.1474654377880185E-2</v>
      </c>
    </row>
    <row r="12" spans="1:18" s="84" customFormat="1">
      <c r="A12" s="152"/>
      <c r="B12" s="151"/>
      <c r="C12" s="151"/>
      <c r="D12" s="151"/>
      <c r="E12" s="151"/>
      <c r="F12" s="151"/>
      <c r="G12" s="151"/>
    </row>
    <row r="13" spans="1:18" s="84" customFormat="1">
      <c r="A13" s="152"/>
      <c r="B13" s="151"/>
      <c r="C13" s="151"/>
      <c r="D13" s="151"/>
      <c r="E13" s="151"/>
      <c r="F13" s="151"/>
      <c r="G13" s="151"/>
      <c r="Q13" s="44"/>
    </row>
    <row r="14" spans="1:18" s="84" customFormat="1">
      <c r="A14" s="152"/>
      <c r="B14" s="151"/>
      <c r="C14" s="151"/>
      <c r="D14" s="151"/>
      <c r="E14" s="151"/>
      <c r="F14" s="151"/>
      <c r="G14" s="151"/>
      <c r="Q14" s="44"/>
    </row>
    <row r="15" spans="1:18" s="84" customFormat="1">
      <c r="A15" s="152"/>
      <c r="B15" s="151"/>
      <c r="C15" s="151"/>
      <c r="D15" s="151"/>
      <c r="E15" s="151"/>
      <c r="F15" s="151"/>
      <c r="G15" s="151"/>
    </row>
    <row r="16" spans="1:18" s="84" customFormat="1"/>
    <row r="17" spans="17:17" s="84" customFormat="1"/>
    <row r="18" spans="17:17" s="84" customFormat="1"/>
    <row r="19" spans="17:17" s="84" customFormat="1"/>
    <row r="20" spans="17:17" s="84" customFormat="1"/>
    <row r="21" spans="17:17" s="84" customFormat="1"/>
    <row r="22" spans="17:17" s="84" customFormat="1"/>
    <row r="24" spans="17:17">
      <c r="Q24" s="15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Normal="100" zoomScaleSheetLayoutView="100" workbookViewId="0">
      <selection activeCell="M12" sqref="M12"/>
    </sheetView>
  </sheetViews>
  <sheetFormatPr baseColWidth="10" defaultColWidth="11.42578125" defaultRowHeight="15"/>
  <cols>
    <col min="1" max="1" width="11.7109375" style="1262" customWidth="1"/>
    <col min="2" max="2" width="20.140625" style="1262" customWidth="1"/>
    <col min="3" max="7" width="12.7109375" style="1262" customWidth="1"/>
    <col min="8" max="9" width="13.7109375" style="1262" customWidth="1"/>
    <col min="10" max="10" width="13.85546875" style="1262" customWidth="1"/>
    <col min="11" max="11" width="8.42578125" style="1262" customWidth="1"/>
    <col min="12" max="12" width="0.28515625" style="1262" customWidth="1"/>
    <col min="13" max="16384" width="11.42578125" style="1262"/>
  </cols>
  <sheetData>
    <row r="1" spans="1:15" s="1260" customFormat="1" ht="57.75" customHeight="1">
      <c r="A1" s="1909"/>
      <c r="B1" s="1910"/>
      <c r="C1" s="1910"/>
      <c r="D1" s="1910"/>
      <c r="E1" s="1910"/>
      <c r="F1" s="1910"/>
      <c r="G1" s="1910"/>
      <c r="H1" s="1910"/>
      <c r="I1" s="1910"/>
      <c r="J1" s="1910"/>
      <c r="K1" s="1910"/>
    </row>
    <row r="2" spans="1:15" s="1260" customFormat="1" ht="3" customHeight="1"/>
    <row r="3" spans="1:15" s="1261" customFormat="1" ht="29.25" customHeight="1">
      <c r="A3" s="1272" t="s">
        <v>782</v>
      </c>
      <c r="B3" s="1278" t="s">
        <v>783</v>
      </c>
      <c r="C3" s="1276">
        <v>2009</v>
      </c>
      <c r="D3" s="1276">
        <v>2010</v>
      </c>
      <c r="E3" s="1276">
        <v>2011</v>
      </c>
      <c r="F3" s="1276">
        <v>2012</v>
      </c>
      <c r="G3" s="1276">
        <v>2013</v>
      </c>
      <c r="H3" s="1277" t="s">
        <v>628</v>
      </c>
      <c r="I3" s="1277" t="s">
        <v>632</v>
      </c>
      <c r="J3" s="1277" t="s">
        <v>784</v>
      </c>
      <c r="K3" s="1273" t="s">
        <v>23</v>
      </c>
    </row>
    <row r="4" spans="1:15">
      <c r="A4" s="1911" t="s">
        <v>850</v>
      </c>
      <c r="B4" s="1279" t="s">
        <v>785</v>
      </c>
      <c r="C4" s="1275">
        <v>80</v>
      </c>
      <c r="D4" s="1275">
        <v>53</v>
      </c>
      <c r="E4" s="1275">
        <v>66</v>
      </c>
      <c r="F4" s="1275">
        <v>271</v>
      </c>
      <c r="G4" s="1275">
        <v>471</v>
      </c>
      <c r="H4" s="1275">
        <v>273</v>
      </c>
      <c r="I4" s="1429">
        <v>22</v>
      </c>
      <c r="J4" s="1275">
        <v>5</v>
      </c>
      <c r="K4" s="1284">
        <f t="shared" ref="K4:K9" si="0">SUM(C4:J4)</f>
        <v>1241</v>
      </c>
    </row>
    <row r="5" spans="1:15">
      <c r="A5" s="1911"/>
      <c r="B5" s="1280" t="s">
        <v>786</v>
      </c>
      <c r="C5" s="1275">
        <v>13</v>
      </c>
      <c r="D5" s="1275">
        <v>25</v>
      </c>
      <c r="E5" s="1275">
        <v>45</v>
      </c>
      <c r="F5" s="1275">
        <v>180</v>
      </c>
      <c r="G5" s="1275">
        <v>217</v>
      </c>
      <c r="H5" s="1275">
        <v>99</v>
      </c>
      <c r="I5" s="1429">
        <v>5</v>
      </c>
      <c r="J5" s="1275">
        <v>0</v>
      </c>
      <c r="K5" s="1284">
        <f t="shared" si="0"/>
        <v>584</v>
      </c>
    </row>
    <row r="6" spans="1:15">
      <c r="A6" s="1911"/>
      <c r="B6" s="1281" t="s">
        <v>780</v>
      </c>
      <c r="C6" s="1275">
        <v>0</v>
      </c>
      <c r="D6" s="1275">
        <v>0</v>
      </c>
      <c r="E6" s="1275">
        <v>0</v>
      </c>
      <c r="F6" s="1275">
        <v>54</v>
      </c>
      <c r="G6" s="1275">
        <v>19</v>
      </c>
      <c r="H6" s="1275">
        <v>2</v>
      </c>
      <c r="I6" s="1429">
        <v>0</v>
      </c>
      <c r="J6" s="1275">
        <v>1</v>
      </c>
      <c r="K6" s="1284">
        <f t="shared" si="0"/>
        <v>76</v>
      </c>
    </row>
    <row r="7" spans="1:15">
      <c r="A7" s="1911" t="s">
        <v>787</v>
      </c>
      <c r="B7" s="1279" t="s">
        <v>785</v>
      </c>
      <c r="C7" s="1275">
        <v>0</v>
      </c>
      <c r="D7" s="1275">
        <v>8</v>
      </c>
      <c r="E7" s="1275">
        <v>12</v>
      </c>
      <c r="F7" s="1275">
        <v>43</v>
      </c>
      <c r="G7" s="1275">
        <v>56</v>
      </c>
      <c r="H7" s="1275">
        <v>14</v>
      </c>
      <c r="I7" s="1429">
        <v>0</v>
      </c>
      <c r="J7" s="1275">
        <v>0</v>
      </c>
      <c r="K7" s="1284">
        <f t="shared" si="0"/>
        <v>133</v>
      </c>
    </row>
    <row r="8" spans="1:15">
      <c r="A8" s="1911"/>
      <c r="B8" s="1280" t="s">
        <v>786</v>
      </c>
      <c r="C8" s="1275">
        <v>0</v>
      </c>
      <c r="D8" s="1275">
        <v>0</v>
      </c>
      <c r="E8" s="1275">
        <v>0</v>
      </c>
      <c r="F8" s="1275">
        <v>5</v>
      </c>
      <c r="G8" s="1275">
        <v>2</v>
      </c>
      <c r="H8" s="1275">
        <v>0</v>
      </c>
      <c r="I8" s="1429">
        <v>0</v>
      </c>
      <c r="J8" s="1275">
        <v>0</v>
      </c>
      <c r="K8" s="1284">
        <f t="shared" si="0"/>
        <v>7</v>
      </c>
    </row>
    <row r="9" spans="1:15">
      <c r="A9" s="1911"/>
      <c r="B9" s="1281" t="s">
        <v>780</v>
      </c>
      <c r="C9" s="1275">
        <v>1</v>
      </c>
      <c r="D9" s="1275">
        <v>0</v>
      </c>
      <c r="E9" s="1275">
        <v>0</v>
      </c>
      <c r="F9" s="1275">
        <v>6</v>
      </c>
      <c r="G9" s="1275">
        <v>2</v>
      </c>
      <c r="H9" s="1275">
        <v>0</v>
      </c>
      <c r="I9" s="1429">
        <v>0</v>
      </c>
      <c r="J9" s="1275">
        <v>0</v>
      </c>
      <c r="K9" s="1284">
        <f t="shared" si="0"/>
        <v>9</v>
      </c>
    </row>
    <row r="10" spans="1:15">
      <c r="A10" s="1911" t="s">
        <v>23</v>
      </c>
      <c r="B10" s="1912"/>
      <c r="C10" s="1282">
        <f>SUM(C4:C9)</f>
        <v>94</v>
      </c>
      <c r="D10" s="1283">
        <f t="shared" ref="D10:K10" si="1">SUM(D4:D9)</f>
        <v>86</v>
      </c>
      <c r="E10" s="1283">
        <f t="shared" si="1"/>
        <v>123</v>
      </c>
      <c r="F10" s="1283">
        <f t="shared" si="1"/>
        <v>559</v>
      </c>
      <c r="G10" s="1283">
        <f t="shared" si="1"/>
        <v>767</v>
      </c>
      <c r="H10" s="1283">
        <f t="shared" si="1"/>
        <v>388</v>
      </c>
      <c r="I10" s="1283">
        <f>SUM(I4:I9)</f>
        <v>27</v>
      </c>
      <c r="J10" s="1283">
        <f t="shared" si="1"/>
        <v>6</v>
      </c>
      <c r="K10" s="1274">
        <f t="shared" si="1"/>
        <v>2050</v>
      </c>
      <c r="L10" s="84"/>
      <c r="M10" s="84"/>
      <c r="N10" s="84"/>
      <c r="O10" s="84"/>
    </row>
    <row r="11" spans="1:15">
      <c r="A11" s="1262" t="s">
        <v>788</v>
      </c>
      <c r="L11" s="84"/>
      <c r="M11" s="84"/>
      <c r="N11" s="84"/>
      <c r="O11" s="84"/>
    </row>
    <row r="12" spans="1:15">
      <c r="L12" s="84"/>
      <c r="M12" s="84"/>
      <c r="N12" s="84"/>
      <c r="O12" s="84"/>
    </row>
    <row r="13" spans="1:15">
      <c r="L13" s="84"/>
      <c r="M13" s="84"/>
      <c r="N13" s="84"/>
      <c r="O13" s="84"/>
    </row>
    <row r="14" spans="1:15">
      <c r="L14" s="84"/>
      <c r="M14" s="84"/>
      <c r="N14" s="84"/>
      <c r="O14" s="84"/>
    </row>
    <row r="15" spans="1:15">
      <c r="L15" s="84"/>
      <c r="M15" s="84"/>
      <c r="N15" s="84"/>
      <c r="O15" s="84"/>
    </row>
  </sheetData>
  <mergeCells count="4">
    <mergeCell ref="A1:K1"/>
    <mergeCell ref="A4:A6"/>
    <mergeCell ref="A7:A9"/>
    <mergeCell ref="A10:B10"/>
  </mergeCells>
  <pageMargins left="0.7" right="0.7" top="0.75" bottom="0.75" header="0.3" footer="0.3"/>
  <pageSetup scale="8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G33" sqref="G33"/>
    </sheetView>
  </sheetViews>
  <sheetFormatPr baseColWidth="10" defaultColWidth="11.42578125" defaultRowHeight="15"/>
  <cols>
    <col min="1" max="1" width="11.42578125" style="84"/>
    <col min="2" max="2" width="11.7109375" style="84" customWidth="1"/>
    <col min="3" max="6" width="11.42578125" style="84"/>
    <col min="7" max="7" width="35.7109375" style="84" customWidth="1"/>
    <col min="8" max="16384" width="11.42578125" style="84"/>
  </cols>
  <sheetData/>
  <pageMargins left="0.7" right="0.7" top="0.75" bottom="0.75" header="0.3" footer="0.3"/>
  <pageSetup scale="96"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5:N27"/>
  <sheetViews>
    <sheetView showGridLines="0" view="pageBreakPreview" zoomScale="85" zoomScaleNormal="100" zoomScaleSheetLayoutView="85" workbookViewId="0">
      <selection activeCell="N23" sqref="N23"/>
    </sheetView>
  </sheetViews>
  <sheetFormatPr baseColWidth="10" defaultColWidth="11.42578125" defaultRowHeight="15"/>
  <cols>
    <col min="1" max="6" width="11.42578125" style="84"/>
    <col min="7" max="7" width="9.42578125" style="84" customWidth="1"/>
    <col min="8" max="16384" width="11.42578125" style="84"/>
  </cols>
  <sheetData>
    <row r="15" spans="14:14">
      <c r="N15" s="1426"/>
    </row>
    <row r="27" spans="14:14">
      <c r="N27"/>
    </row>
  </sheetData>
  <pageMargins left="0.70866141732283472" right="0.70866141732283472" top="0.74803149606299213" bottom="0.74803149606299213" header="0.31496062992125984" footer="0.31496062992125984"/>
  <pageSetup scale="8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15.5703125" style="1253" customWidth="1"/>
    <col min="2" max="2" width="13.140625" style="1253" customWidth="1"/>
    <col min="3" max="3" width="16.28515625" style="1253" customWidth="1"/>
    <col min="4" max="4" width="16.85546875" style="1253" customWidth="1"/>
    <col min="5" max="16384" width="11.42578125" style="1253"/>
  </cols>
  <sheetData>
    <row r="1" spans="1:14" ht="58.5" customHeight="1">
      <c r="A1" s="1913"/>
      <c r="B1" s="1913"/>
      <c r="C1" s="1913"/>
      <c r="D1" s="1913"/>
      <c r="E1" s="1913"/>
      <c r="F1" s="1913"/>
      <c r="G1" s="1913"/>
      <c r="H1" s="1913"/>
      <c r="I1" s="1913"/>
      <c r="J1" s="1913"/>
      <c r="K1" s="1913"/>
      <c r="L1" s="1913"/>
    </row>
    <row r="2" spans="1:14" ht="4.5" customHeight="1">
      <c r="A2" s="1914"/>
      <c r="B2" s="1914"/>
      <c r="C2" s="1914"/>
      <c r="D2" s="1914"/>
      <c r="E2" s="1914"/>
    </row>
    <row r="3" spans="1:14" ht="36.75" customHeight="1">
      <c r="A3" s="1285" t="s">
        <v>47</v>
      </c>
      <c r="B3" s="1287" t="s">
        <v>774</v>
      </c>
      <c r="C3" s="1287" t="s">
        <v>775</v>
      </c>
      <c r="D3" s="1288" t="s">
        <v>776</v>
      </c>
    </row>
    <row r="4" spans="1:14" ht="17.25" customHeight="1">
      <c r="A4" s="1289" t="s">
        <v>777</v>
      </c>
      <c r="B4" s="1031">
        <v>107</v>
      </c>
      <c r="C4" s="1031">
        <v>16</v>
      </c>
      <c r="D4" s="1286">
        <f>C4/B4</f>
        <v>0.14953271028037382</v>
      </c>
    </row>
    <row r="5" spans="1:14" ht="17.25" customHeight="1">
      <c r="A5" s="1289">
        <v>2009</v>
      </c>
      <c r="B5" s="1031">
        <v>1018</v>
      </c>
      <c r="C5" s="1031">
        <v>659</v>
      </c>
      <c r="D5" s="1286">
        <f t="shared" ref="D5:D11" si="0">C5/B5</f>
        <v>0.6473477406679764</v>
      </c>
    </row>
    <row r="6" spans="1:14">
      <c r="A6" s="1289" t="s">
        <v>197</v>
      </c>
      <c r="B6" s="1031">
        <v>1491</v>
      </c>
      <c r="C6" s="1031">
        <v>785</v>
      </c>
      <c r="D6" s="1286">
        <f t="shared" si="0"/>
        <v>0.52649228705566731</v>
      </c>
    </row>
    <row r="7" spans="1:14">
      <c r="A7" s="1289" t="s">
        <v>237</v>
      </c>
      <c r="B7" s="1031">
        <v>2085</v>
      </c>
      <c r="C7" s="1031">
        <v>802</v>
      </c>
      <c r="D7" s="1286">
        <f t="shared" si="0"/>
        <v>0.38465227817745801</v>
      </c>
    </row>
    <row r="8" spans="1:14">
      <c r="A8" s="1289" t="s">
        <v>499</v>
      </c>
      <c r="B8" s="1031">
        <v>2165</v>
      </c>
      <c r="C8" s="1031">
        <v>1885</v>
      </c>
      <c r="D8" s="1286">
        <f t="shared" si="0"/>
        <v>0.87066974595842961</v>
      </c>
    </row>
    <row r="9" spans="1:14">
      <c r="A9" s="1289" t="s">
        <v>619</v>
      </c>
      <c r="B9" s="1031">
        <v>1670</v>
      </c>
      <c r="C9" s="1031">
        <v>2885</v>
      </c>
      <c r="D9" s="1286">
        <f t="shared" si="0"/>
        <v>1.7275449101796407</v>
      </c>
    </row>
    <row r="10" spans="1:14">
      <c r="A10" s="1289" t="s">
        <v>628</v>
      </c>
      <c r="B10" s="1031">
        <v>1561</v>
      </c>
      <c r="C10" s="1031">
        <v>1749</v>
      </c>
      <c r="D10" s="1286">
        <f t="shared" si="0"/>
        <v>1.1204356181934658</v>
      </c>
    </row>
    <row r="11" spans="1:14">
      <c r="A11" s="1289" t="s">
        <v>632</v>
      </c>
      <c r="B11" s="1031">
        <v>111</v>
      </c>
      <c r="C11" s="1031">
        <v>148</v>
      </c>
      <c r="D11" s="1286">
        <f t="shared" si="0"/>
        <v>1.3333333333333333</v>
      </c>
    </row>
    <row r="12" spans="1:14">
      <c r="A12" s="1285" t="s">
        <v>23</v>
      </c>
      <c r="B12" s="1290">
        <f>SUM(B4:B11)</f>
        <v>10208</v>
      </c>
      <c r="C12" s="1290">
        <f>SUM(C4:C11)</f>
        <v>8929</v>
      </c>
      <c r="D12" s="1291">
        <f>C12/B12</f>
        <v>0.87470611285266453</v>
      </c>
      <c r="M12" s="1254"/>
      <c r="N12" s="1254"/>
    </row>
    <row r="14" spans="1:14">
      <c r="M14" s="1254"/>
    </row>
    <row r="15" spans="1:14">
      <c r="M15" s="1254"/>
    </row>
    <row r="17" spans="14:19">
      <c r="N17" s="1255"/>
      <c r="O17" s="1255"/>
      <c r="P17" s="1255"/>
    </row>
    <row r="18" spans="14:19">
      <c r="N18" s="1255"/>
      <c r="R18" s="1256"/>
      <c r="S18" s="1257"/>
    </row>
    <row r="19" spans="14:19">
      <c r="N19" s="1255"/>
      <c r="R19" s="1256"/>
      <c r="S19" s="1257"/>
    </row>
    <row r="20" spans="14:19">
      <c r="R20" s="1256"/>
      <c r="S20" s="1257"/>
    </row>
    <row r="21" spans="14:19">
      <c r="R21" s="1256"/>
      <c r="S21" s="1257"/>
    </row>
    <row r="22" spans="14:19">
      <c r="R22" s="1256"/>
      <c r="S22" s="1257"/>
    </row>
    <row r="23" spans="14:19">
      <c r="R23" s="1256"/>
      <c r="S23" s="1257"/>
    </row>
    <row r="24" spans="14:19">
      <c r="R24" s="1256"/>
      <c r="S24" s="1257"/>
    </row>
    <row r="25" spans="14:19">
      <c r="R25" s="1256"/>
      <c r="S25" s="1257"/>
    </row>
    <row r="26" spans="14:19">
      <c r="S26" s="1257"/>
    </row>
    <row r="29" spans="14:19">
      <c r="O29" s="1255"/>
    </row>
  </sheetData>
  <mergeCells count="2">
    <mergeCell ref="A1:L1"/>
    <mergeCell ref="A2:E2"/>
  </mergeCells>
  <pageMargins left="0.7" right="0.7" top="0.75" bottom="0.75" header="0.3" footer="0.3"/>
  <pageSetup scale="8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
  <sheetViews>
    <sheetView showGridLines="0" view="pageBreakPreview" zoomScale="60" zoomScaleNormal="100" workbookViewId="0">
      <selection activeCell="R24" sqref="R24"/>
    </sheetView>
  </sheetViews>
  <sheetFormatPr baseColWidth="10" defaultColWidth="11.42578125" defaultRowHeight="15"/>
  <cols>
    <col min="1" max="1" width="30" style="1258" customWidth="1"/>
    <col min="2" max="2" width="14.5703125" style="1258" customWidth="1"/>
    <col min="3" max="3" width="21.85546875" style="1258" customWidth="1"/>
    <col min="4" max="4" width="21" style="1258" customWidth="1"/>
    <col min="5" max="5" width="22.85546875" style="1258" customWidth="1"/>
    <col min="6" max="11" width="11.42578125" style="1258"/>
    <col min="12" max="12" width="18.85546875" style="1258" customWidth="1"/>
    <col min="13" max="13" width="8.85546875" style="1258" customWidth="1"/>
    <col min="14" max="16384" width="11.42578125" style="1258"/>
  </cols>
  <sheetData>
    <row r="1" spans="1:15" ht="81" customHeight="1">
      <c r="A1" s="1915"/>
      <c r="B1" s="1915"/>
      <c r="C1" s="1915"/>
      <c r="D1" s="1915"/>
      <c r="E1" s="1915"/>
      <c r="F1" s="1915"/>
      <c r="G1" s="1915"/>
      <c r="H1" s="1915"/>
      <c r="I1" s="1915"/>
      <c r="J1" s="1915"/>
      <c r="K1" s="1915"/>
      <c r="L1" s="1915"/>
      <c r="M1" s="1915"/>
    </row>
    <row r="2" spans="1:15" ht="7.5" customHeight="1"/>
    <row r="3" spans="1:15" ht="21" customHeight="1">
      <c r="A3" s="1264"/>
      <c r="B3" s="1916" t="s">
        <v>778</v>
      </c>
      <c r="C3" s="1917"/>
      <c r="D3" s="1917"/>
      <c r="E3" s="1918"/>
    </row>
    <row r="4" spans="1:15" ht="42">
      <c r="A4" s="1266" t="s">
        <v>0</v>
      </c>
      <c r="B4" s="1267" t="s">
        <v>543</v>
      </c>
      <c r="C4" s="1268" t="s">
        <v>779</v>
      </c>
      <c r="D4" s="1268" t="s">
        <v>780</v>
      </c>
      <c r="E4" s="1269" t="s">
        <v>23</v>
      </c>
    </row>
    <row r="5" spans="1:15" ht="21">
      <c r="A5" s="1270">
        <v>2009</v>
      </c>
      <c r="B5" s="1292">
        <v>81</v>
      </c>
      <c r="C5" s="1293">
        <v>13</v>
      </c>
      <c r="D5" s="1293">
        <v>0</v>
      </c>
      <c r="E5" s="1294">
        <f>SUM(B5:D5)</f>
        <v>94</v>
      </c>
    </row>
    <row r="6" spans="1:15" ht="21">
      <c r="A6" s="1271">
        <v>2010</v>
      </c>
      <c r="B6" s="1295">
        <v>61</v>
      </c>
      <c r="C6" s="1263">
        <v>25</v>
      </c>
      <c r="D6" s="1263">
        <v>0</v>
      </c>
      <c r="E6" s="1265">
        <f t="shared" ref="E6:E12" si="0">SUM(B6:D6)</f>
        <v>86</v>
      </c>
    </row>
    <row r="7" spans="1:15" ht="21">
      <c r="A7" s="1271">
        <v>2011</v>
      </c>
      <c r="B7" s="1295">
        <v>78</v>
      </c>
      <c r="C7" s="1263">
        <v>45</v>
      </c>
      <c r="D7" s="1263">
        <v>0</v>
      </c>
      <c r="E7" s="1265">
        <f t="shared" si="0"/>
        <v>123</v>
      </c>
      <c r="O7" s="1431"/>
    </row>
    <row r="8" spans="1:15" ht="21">
      <c r="A8" s="1271">
        <v>2012</v>
      </c>
      <c r="B8" s="1295">
        <v>313</v>
      </c>
      <c r="C8" s="1263">
        <v>186</v>
      </c>
      <c r="D8" s="1263">
        <v>60</v>
      </c>
      <c r="E8" s="1265">
        <f t="shared" si="0"/>
        <v>559</v>
      </c>
      <c r="O8" s="1432"/>
    </row>
    <row r="9" spans="1:15" ht="21">
      <c r="A9" s="1271">
        <v>2013</v>
      </c>
      <c r="B9" s="1295">
        <v>527</v>
      </c>
      <c r="C9" s="1263">
        <v>218</v>
      </c>
      <c r="D9" s="1263">
        <v>22</v>
      </c>
      <c r="E9" s="1265">
        <f t="shared" si="0"/>
        <v>767</v>
      </c>
    </row>
    <row r="10" spans="1:15" ht="21">
      <c r="A10" s="1271">
        <v>2014</v>
      </c>
      <c r="B10" s="1295">
        <v>287</v>
      </c>
      <c r="C10" s="1263">
        <v>99</v>
      </c>
      <c r="D10" s="1263">
        <v>2</v>
      </c>
      <c r="E10" s="1265">
        <f t="shared" si="0"/>
        <v>388</v>
      </c>
    </row>
    <row r="11" spans="1:15" ht="21">
      <c r="A11" s="1271" t="s">
        <v>632</v>
      </c>
      <c r="B11" s="1427">
        <v>22</v>
      </c>
      <c r="C11" s="1428">
        <v>5</v>
      </c>
      <c r="D11" s="1428">
        <v>0</v>
      </c>
      <c r="E11" s="1265">
        <f t="shared" si="0"/>
        <v>27</v>
      </c>
      <c r="O11" s="1432"/>
    </row>
    <row r="12" spans="1:15" ht="21">
      <c r="A12" s="1271" t="s">
        <v>781</v>
      </c>
      <c r="B12" s="1295">
        <v>5</v>
      </c>
      <c r="C12" s="1263">
        <v>0</v>
      </c>
      <c r="D12" s="1263">
        <v>1</v>
      </c>
      <c r="E12" s="1265">
        <f t="shared" si="0"/>
        <v>6</v>
      </c>
      <c r="O12" s="1259"/>
    </row>
    <row r="13" spans="1:15" ht="21">
      <c r="A13" s="1675" t="s">
        <v>23</v>
      </c>
      <c r="B13" s="1676">
        <f>SUM(B5:B12)</f>
        <v>1374</v>
      </c>
      <c r="C13" s="1677">
        <f>SUM(C5:C12)</f>
        <v>591</v>
      </c>
      <c r="D13" s="1677">
        <f>SUM(D5:D12)</f>
        <v>85</v>
      </c>
      <c r="E13" s="1678">
        <f>SUM(E5:E12)</f>
        <v>2050</v>
      </c>
      <c r="N13" s="1430"/>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L14" sqref="L14"/>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zoomScale="85" zoomScaleNormal="90" zoomScaleSheetLayoutView="85" workbookViewId="0">
      <selection activeCell="O11" sqref="O11"/>
    </sheetView>
  </sheetViews>
  <sheetFormatPr baseColWidth="10" defaultColWidth="11.42578125" defaultRowHeight="15"/>
  <cols>
    <col min="1" max="1" width="32.42578125" style="84" customWidth="1"/>
    <col min="2" max="3" width="11" style="84" hidden="1" customWidth="1"/>
    <col min="4" max="4" width="10.7109375" style="84" hidden="1" customWidth="1"/>
    <col min="5" max="5" width="13.140625" style="84" customWidth="1"/>
    <col min="6" max="6" width="10" style="84" customWidth="1"/>
    <col min="7" max="7" width="10.42578125" style="84" customWidth="1"/>
    <col min="8" max="8" width="10" style="84" customWidth="1"/>
    <col min="9" max="10" width="10.42578125" style="84" customWidth="1"/>
    <col min="11" max="11" width="10.7109375" style="84" customWidth="1"/>
    <col min="12" max="12" width="12.42578125" style="84" customWidth="1"/>
    <col min="13" max="13" width="11.42578125" style="84"/>
    <col min="14" max="14" width="12.42578125" style="84" customWidth="1"/>
    <col min="15" max="16384" width="11.42578125" style="84"/>
  </cols>
  <sheetData>
    <row r="1" spans="1:16" ht="68.25" customHeight="1">
      <c r="A1" s="1919"/>
      <c r="B1" s="1919"/>
      <c r="C1" s="1919"/>
      <c r="D1" s="1919"/>
      <c r="E1" s="1919"/>
      <c r="F1" s="1919"/>
      <c r="G1" s="1919"/>
      <c r="H1" s="1919"/>
      <c r="I1" s="1919"/>
      <c r="J1" s="1919"/>
      <c r="K1" s="1919"/>
      <c r="L1" s="1919"/>
      <c r="M1" s="1919"/>
      <c r="N1" s="1919"/>
      <c r="O1" s="1919"/>
      <c r="P1" s="1919"/>
    </row>
    <row r="2" spans="1:16" s="22" customFormat="1" ht="9" customHeight="1">
      <c r="A2" s="1920"/>
      <c r="B2" s="1920"/>
      <c r="C2" s="1920"/>
      <c r="D2" s="1920"/>
      <c r="E2" s="1920"/>
      <c r="F2" s="1920"/>
      <c r="G2" s="1920"/>
      <c r="H2" s="1920"/>
      <c r="I2" s="1920"/>
      <c r="J2" s="1920"/>
      <c r="K2" s="1920"/>
      <c r="L2" s="1920"/>
      <c r="M2" s="1920"/>
      <c r="N2" s="1920"/>
      <c r="O2" s="1920"/>
      <c r="P2" s="1920"/>
    </row>
    <row r="3" spans="1:16" ht="21" customHeight="1">
      <c r="A3" s="808" t="s">
        <v>11</v>
      </c>
      <c r="B3" s="1032" t="s">
        <v>458</v>
      </c>
      <c r="C3" s="1032" t="s">
        <v>4</v>
      </c>
      <c r="D3" s="1032" t="s">
        <v>5</v>
      </c>
      <c r="E3" s="1032" t="s">
        <v>265</v>
      </c>
      <c r="F3" s="1032" t="s">
        <v>264</v>
      </c>
      <c r="G3" s="1032" t="s">
        <v>179</v>
      </c>
      <c r="H3" s="1032" t="s">
        <v>235</v>
      </c>
      <c r="I3" s="1032" t="s">
        <v>10</v>
      </c>
      <c r="J3" s="1032" t="s">
        <v>197</v>
      </c>
      <c r="K3" s="1032" t="s">
        <v>237</v>
      </c>
      <c r="L3" s="1032" t="s">
        <v>499</v>
      </c>
      <c r="M3" s="1032" t="s">
        <v>619</v>
      </c>
      <c r="N3" s="1033" t="s">
        <v>628</v>
      </c>
    </row>
    <row r="4" spans="1:16">
      <c r="A4" s="1040" t="s">
        <v>12</v>
      </c>
      <c r="B4" s="1030">
        <v>54394</v>
      </c>
      <c r="C4" s="1030">
        <v>49967</v>
      </c>
      <c r="D4" s="1031">
        <v>65316</v>
      </c>
      <c r="E4" s="1034">
        <v>59055.5</v>
      </c>
      <c r="F4" s="1034">
        <v>57661</v>
      </c>
      <c r="G4" s="1034">
        <v>63198</v>
      </c>
      <c r="H4" s="1034">
        <v>55832</v>
      </c>
      <c r="I4" s="1034">
        <v>62722</v>
      </c>
      <c r="J4" s="1034">
        <v>56906</v>
      </c>
      <c r="K4" s="1034">
        <v>73730</v>
      </c>
      <c r="L4" s="1034">
        <v>65532</v>
      </c>
      <c r="M4" s="1034">
        <v>74396</v>
      </c>
      <c r="N4" s="1035">
        <v>94092</v>
      </c>
    </row>
    <row r="5" spans="1:16" ht="16.5" customHeight="1">
      <c r="A5" s="1040" t="s">
        <v>13</v>
      </c>
      <c r="B5" s="1030">
        <v>5332</v>
      </c>
      <c r="C5" s="1030">
        <v>6224</v>
      </c>
      <c r="D5" s="1031">
        <v>4729.5</v>
      </c>
      <c r="E5" s="1034">
        <v>5240.5</v>
      </c>
      <c r="F5" s="1034">
        <v>3875</v>
      </c>
      <c r="G5" s="1034">
        <v>5460.5</v>
      </c>
      <c r="H5" s="1034">
        <v>7849</v>
      </c>
      <c r="I5" s="1034">
        <v>7092</v>
      </c>
      <c r="J5" s="1034">
        <v>9592</v>
      </c>
      <c r="K5" s="1034">
        <v>15545</v>
      </c>
      <c r="L5" s="1034">
        <v>12905</v>
      </c>
      <c r="M5" s="1034">
        <v>9756</v>
      </c>
      <c r="N5" s="1035">
        <v>5755</v>
      </c>
    </row>
    <row r="6" spans="1:16">
      <c r="A6" s="1040" t="s">
        <v>14</v>
      </c>
      <c r="B6" s="1030">
        <v>335875</v>
      </c>
      <c r="C6" s="1030">
        <v>347392</v>
      </c>
      <c r="D6" s="1031">
        <v>380576</v>
      </c>
      <c r="E6" s="1034">
        <v>356009</v>
      </c>
      <c r="F6" s="1034">
        <v>367230.5</v>
      </c>
      <c r="G6" s="1034">
        <v>381709.5</v>
      </c>
      <c r="H6" s="1034">
        <v>322067</v>
      </c>
      <c r="I6" s="1034">
        <v>267702</v>
      </c>
      <c r="J6" s="1034">
        <v>281199</v>
      </c>
      <c r="K6" s="1034">
        <v>277208</v>
      </c>
      <c r="L6" s="1034">
        <v>292404</v>
      </c>
      <c r="M6" s="1034">
        <v>292394</v>
      </c>
      <c r="N6" s="1035">
        <v>288770</v>
      </c>
    </row>
    <row r="7" spans="1:16">
      <c r="A7" s="1040" t="s">
        <v>15</v>
      </c>
      <c r="B7" s="1030">
        <v>20857</v>
      </c>
      <c r="C7" s="1030">
        <v>26411</v>
      </c>
      <c r="D7" s="1031">
        <v>26734.5</v>
      </c>
      <c r="E7" s="1034">
        <v>26193.5</v>
      </c>
      <c r="F7" s="1034">
        <v>26353.5</v>
      </c>
      <c r="G7" s="1034">
        <v>30830</v>
      </c>
      <c r="H7" s="1034">
        <v>31582</v>
      </c>
      <c r="I7" s="1034">
        <v>30520</v>
      </c>
      <c r="J7" s="1034">
        <v>37741</v>
      </c>
      <c r="K7" s="1034">
        <v>31145</v>
      </c>
      <c r="L7" s="1034">
        <v>43665</v>
      </c>
      <c r="M7" s="1034">
        <v>35190</v>
      </c>
      <c r="N7" s="1035">
        <v>34478</v>
      </c>
    </row>
    <row r="8" spans="1:16">
      <c r="A8" s="1040" t="s">
        <v>16</v>
      </c>
      <c r="B8" s="1030">
        <v>42579</v>
      </c>
      <c r="C8" s="1030">
        <v>45173</v>
      </c>
      <c r="D8" s="1031">
        <v>53564.5</v>
      </c>
      <c r="E8" s="1034">
        <v>31601</v>
      </c>
      <c r="F8" s="1034">
        <v>43507.5</v>
      </c>
      <c r="G8" s="1034">
        <v>45705</v>
      </c>
      <c r="H8" s="1034">
        <v>51584</v>
      </c>
      <c r="I8" s="1034">
        <v>34519</v>
      </c>
      <c r="J8" s="1034">
        <v>40257</v>
      </c>
      <c r="K8" s="1034">
        <v>35938</v>
      </c>
      <c r="L8" s="1034">
        <v>40323</v>
      </c>
      <c r="M8" s="1034">
        <v>27474</v>
      </c>
      <c r="N8" s="1035">
        <v>42681</v>
      </c>
    </row>
    <row r="9" spans="1:16">
      <c r="A9" s="1040" t="s">
        <v>17</v>
      </c>
      <c r="B9" s="1030">
        <v>218947</v>
      </c>
      <c r="C9" s="1030">
        <v>198915</v>
      </c>
      <c r="D9" s="1031">
        <v>198724</v>
      </c>
      <c r="E9" s="1034">
        <v>211992.5</v>
      </c>
      <c r="F9" s="1034">
        <v>234505</v>
      </c>
      <c r="G9" s="1034">
        <v>229492.5</v>
      </c>
      <c r="H9" s="1034">
        <v>238189</v>
      </c>
      <c r="I9" s="1034">
        <v>241768</v>
      </c>
      <c r="J9" s="1034">
        <v>251447</v>
      </c>
      <c r="K9" s="1034">
        <v>254030</v>
      </c>
      <c r="L9" s="1034">
        <v>236447</v>
      </c>
      <c r="M9" s="1036">
        <v>257264</v>
      </c>
      <c r="N9" s="1035">
        <v>291369</v>
      </c>
    </row>
    <row r="10" spans="1:16">
      <c r="A10" s="1040" t="s">
        <v>18</v>
      </c>
      <c r="B10" s="1030">
        <v>74471</v>
      </c>
      <c r="C10" s="1030">
        <v>94191</v>
      </c>
      <c r="D10" s="1031">
        <v>93758.5</v>
      </c>
      <c r="E10" s="1034">
        <v>86665</v>
      </c>
      <c r="F10" s="1034">
        <v>91077</v>
      </c>
      <c r="G10" s="1034">
        <v>105664.5</v>
      </c>
      <c r="H10" s="1034">
        <v>112403</v>
      </c>
      <c r="I10" s="1034">
        <v>101997</v>
      </c>
      <c r="J10" s="1034">
        <v>110062</v>
      </c>
      <c r="K10" s="1034">
        <v>117394</v>
      </c>
      <c r="L10" s="1034">
        <v>123299</v>
      </c>
      <c r="M10" s="1036">
        <v>120700</v>
      </c>
      <c r="N10" s="1035">
        <v>134768</v>
      </c>
    </row>
    <row r="11" spans="1:16">
      <c r="A11" s="1040" t="s">
        <v>19</v>
      </c>
      <c r="B11" s="1030">
        <v>68639</v>
      </c>
      <c r="C11" s="1030">
        <v>69119</v>
      </c>
      <c r="D11" s="1031">
        <v>69605.5</v>
      </c>
      <c r="E11" s="1034">
        <v>64356.5</v>
      </c>
      <c r="F11" s="1034">
        <v>66871.5</v>
      </c>
      <c r="G11" s="1034">
        <v>68018.5</v>
      </c>
      <c r="H11" s="1034">
        <v>73736</v>
      </c>
      <c r="I11" s="1034">
        <v>74994</v>
      </c>
      <c r="J11" s="1034">
        <v>70890</v>
      </c>
      <c r="K11" s="1034">
        <v>67549</v>
      </c>
      <c r="L11" s="1034">
        <v>71306</v>
      </c>
      <c r="M11" s="1036">
        <v>90119</v>
      </c>
      <c r="N11" s="1035">
        <v>92028</v>
      </c>
    </row>
    <row r="12" spans="1:16">
      <c r="A12" s="1040" t="s">
        <v>20</v>
      </c>
      <c r="B12" s="1030">
        <v>48965</v>
      </c>
      <c r="C12" s="1030">
        <v>51554</v>
      </c>
      <c r="D12" s="1031">
        <v>44203.5</v>
      </c>
      <c r="E12" s="1034">
        <v>46757.5</v>
      </c>
      <c r="F12" s="1034">
        <v>49397</v>
      </c>
      <c r="G12" s="1034">
        <v>55326</v>
      </c>
      <c r="H12" s="1034">
        <v>55155</v>
      </c>
      <c r="I12" s="1034">
        <v>67119</v>
      </c>
      <c r="J12" s="1034">
        <v>65137</v>
      </c>
      <c r="K12" s="1034">
        <v>72016</v>
      </c>
      <c r="L12" s="1034">
        <v>82080</v>
      </c>
      <c r="M12" s="1036">
        <v>79468</v>
      </c>
      <c r="N12" s="1035">
        <v>83517</v>
      </c>
    </row>
    <row r="13" spans="1:16">
      <c r="A13" s="1040" t="s">
        <v>21</v>
      </c>
      <c r="B13" s="1030">
        <v>154503</v>
      </c>
      <c r="C13" s="1030">
        <v>137736</v>
      </c>
      <c r="D13" s="1031">
        <v>140736.5</v>
      </c>
      <c r="E13" s="1034">
        <v>147544.5</v>
      </c>
      <c r="F13" s="1034">
        <v>148907.5</v>
      </c>
      <c r="G13" s="1034">
        <v>152563.5</v>
      </c>
      <c r="H13" s="1034">
        <v>156837</v>
      </c>
      <c r="I13" s="1034">
        <v>164689</v>
      </c>
      <c r="J13" s="1034">
        <v>184575</v>
      </c>
      <c r="K13" s="1034">
        <v>189387</v>
      </c>
      <c r="L13" s="1034">
        <v>194986</v>
      </c>
      <c r="M13" s="1036">
        <v>194720</v>
      </c>
      <c r="N13" s="1035">
        <v>191598</v>
      </c>
    </row>
    <row r="14" spans="1:16">
      <c r="A14" s="1040" t="s">
        <v>22</v>
      </c>
      <c r="B14" s="1030">
        <v>368304</v>
      </c>
      <c r="C14" s="1030">
        <v>393542</v>
      </c>
      <c r="D14" s="1031">
        <v>403905</v>
      </c>
      <c r="E14" s="1034">
        <v>401844.5</v>
      </c>
      <c r="F14" s="1034">
        <v>416197</v>
      </c>
      <c r="G14" s="1034">
        <v>433943.5</v>
      </c>
      <c r="H14" s="1034">
        <v>460813</v>
      </c>
      <c r="I14" s="1034">
        <v>507872</v>
      </c>
      <c r="J14" s="1034">
        <v>523323</v>
      </c>
      <c r="K14" s="1034">
        <v>552274</v>
      </c>
      <c r="L14" s="1034">
        <v>553281</v>
      </c>
      <c r="M14" s="1036">
        <v>588320</v>
      </c>
      <c r="N14" s="1035">
        <v>606440</v>
      </c>
    </row>
    <row r="15" spans="1:16" ht="17.25" customHeight="1">
      <c r="A15" s="808" t="s">
        <v>23</v>
      </c>
      <c r="B15" s="1037">
        <f>SUM(B4:B14)</f>
        <v>1392866</v>
      </c>
      <c r="C15" s="1037">
        <f>SUM(C4:C14)</f>
        <v>1420224</v>
      </c>
      <c r="D15" s="1037">
        <f t="shared" ref="D15:N15" si="0">SUM(D4:D14)</f>
        <v>1481853.5</v>
      </c>
      <c r="E15" s="1038" t="e">
        <f>SUM(G15E5:E14)</f>
        <v>#NAME?</v>
      </c>
      <c r="F15" s="1038">
        <f t="shared" si="0"/>
        <v>1505582.5</v>
      </c>
      <c r="G15" s="1038">
        <f t="shared" si="0"/>
        <v>1571911.5</v>
      </c>
      <c r="H15" s="1038">
        <f t="shared" si="0"/>
        <v>1566047</v>
      </c>
      <c r="I15" s="1038">
        <f t="shared" si="0"/>
        <v>1560994</v>
      </c>
      <c r="J15" s="1038">
        <f t="shared" si="0"/>
        <v>1631129</v>
      </c>
      <c r="K15" s="1038">
        <f t="shared" si="0"/>
        <v>1686216</v>
      </c>
      <c r="L15" s="1038">
        <f t="shared" si="0"/>
        <v>1716228</v>
      </c>
      <c r="M15" s="1038">
        <f t="shared" si="0"/>
        <v>1769801</v>
      </c>
      <c r="N15" s="1039">
        <f t="shared" si="0"/>
        <v>1865496</v>
      </c>
    </row>
    <row r="16" spans="1:16" s="102" customFormat="1" ht="13.5" customHeight="1">
      <c r="A16" s="157"/>
      <c r="B16" s="86"/>
      <c r="C16" s="86"/>
      <c r="D16" s="86"/>
      <c r="E16" s="103"/>
      <c r="F16" s="103"/>
      <c r="G16" s="103"/>
      <c r="H16" s="103"/>
      <c r="I16" s="103"/>
      <c r="J16" s="103"/>
      <c r="K16" s="103"/>
      <c r="L16" s="103"/>
    </row>
    <row r="17" spans="1:12" ht="9.75" customHeight="1">
      <c r="A17" s="33"/>
      <c r="B17" s="33"/>
      <c r="C17" s="33"/>
      <c r="D17" s="33"/>
      <c r="E17" s="104"/>
      <c r="F17" s="104"/>
      <c r="G17" s="104"/>
      <c r="H17" s="104"/>
      <c r="I17" s="104"/>
      <c r="J17" s="104"/>
      <c r="K17" s="104"/>
      <c r="L17" s="104"/>
    </row>
    <row r="18" spans="1:12">
      <c r="A18" s="104"/>
      <c r="B18" s="104"/>
      <c r="C18" s="104"/>
      <c r="D18" s="104"/>
      <c r="E18" s="104"/>
      <c r="F18" s="104"/>
      <c r="G18" s="104"/>
      <c r="H18" s="104"/>
      <c r="I18" s="104"/>
      <c r="J18" s="104"/>
      <c r="K18" s="104"/>
      <c r="L18" s="104"/>
    </row>
    <row r="19" spans="1:12">
      <c r="A19" s="104"/>
      <c r="B19" s="104"/>
      <c r="C19" s="104"/>
      <c r="D19" s="104"/>
      <c r="E19" s="104"/>
      <c r="F19" s="104"/>
      <c r="G19" s="104"/>
      <c r="H19" s="104"/>
      <c r="I19" s="104"/>
      <c r="J19" s="104"/>
      <c r="K19" s="104"/>
      <c r="L19" s="104"/>
    </row>
    <row r="20" spans="1:12">
      <c r="A20" s="104"/>
      <c r="B20" s="104"/>
      <c r="C20" s="104"/>
      <c r="D20" s="104"/>
      <c r="E20" s="104"/>
      <c r="F20" s="104"/>
      <c r="G20" s="104"/>
      <c r="H20" s="104"/>
      <c r="I20" s="104"/>
      <c r="J20" s="104"/>
      <c r="K20" s="104"/>
      <c r="L20" s="104"/>
    </row>
    <row r="21" spans="1:12">
      <c r="A21" s="104"/>
      <c r="B21" s="104"/>
      <c r="C21" s="104"/>
      <c r="D21" s="104"/>
      <c r="E21" s="104"/>
      <c r="F21" s="104"/>
      <c r="G21" s="104"/>
      <c r="H21" s="104"/>
      <c r="I21" s="104"/>
      <c r="J21" s="104"/>
      <c r="K21" s="104"/>
      <c r="L21" s="104"/>
    </row>
    <row r="22" spans="1:12">
      <c r="A22" s="104"/>
      <c r="B22" s="104"/>
      <c r="C22" s="104"/>
      <c r="D22" s="104"/>
      <c r="E22" s="104"/>
      <c r="F22" s="104"/>
      <c r="G22" s="104"/>
      <c r="H22" s="104"/>
      <c r="I22" s="104"/>
      <c r="J22" s="104"/>
      <c r="K22" s="104"/>
      <c r="L22" s="104"/>
    </row>
    <row r="23" spans="1:12">
      <c r="A23" s="104"/>
      <c r="B23" s="104"/>
      <c r="C23" s="104"/>
      <c r="D23" s="104"/>
      <c r="E23" s="104"/>
      <c r="F23" s="104"/>
      <c r="G23" s="104"/>
      <c r="H23" s="104"/>
      <c r="I23" s="104"/>
      <c r="J23" s="104"/>
      <c r="K23" s="104"/>
      <c r="L23" s="104"/>
    </row>
    <row r="24" spans="1:12">
      <c r="A24" s="104"/>
      <c r="B24" s="104"/>
      <c r="C24" s="104"/>
      <c r="D24" s="104"/>
      <c r="E24" s="104"/>
      <c r="F24" s="104"/>
      <c r="G24" s="104"/>
      <c r="H24" s="104"/>
      <c r="I24" s="104"/>
      <c r="J24" s="104"/>
      <c r="K24" s="104"/>
      <c r="L24" s="104"/>
    </row>
    <row r="25" spans="1:12">
      <c r="A25" s="104"/>
      <c r="B25" s="104"/>
      <c r="C25" s="104"/>
      <c r="D25" s="104"/>
      <c r="E25" s="104"/>
      <c r="F25" s="104"/>
      <c r="G25" s="104"/>
      <c r="H25" s="104"/>
      <c r="I25" s="104"/>
      <c r="J25" s="104"/>
      <c r="K25" s="104"/>
      <c r="L25" s="104"/>
    </row>
    <row r="26" spans="1:12">
      <c r="A26" s="104"/>
      <c r="B26" s="104"/>
      <c r="C26" s="104"/>
      <c r="D26" s="104"/>
      <c r="E26" s="104"/>
      <c r="F26" s="104"/>
      <c r="G26" s="104"/>
      <c r="H26" s="104"/>
      <c r="I26" s="104"/>
      <c r="J26" s="104"/>
      <c r="K26" s="104"/>
      <c r="L26" s="104"/>
    </row>
    <row r="27" spans="1:12">
      <c r="A27" s="104"/>
      <c r="B27" s="104"/>
      <c r="C27" s="104"/>
      <c r="D27" s="104"/>
      <c r="E27" s="104"/>
      <c r="F27" s="104"/>
      <c r="G27" s="104"/>
      <c r="H27" s="104"/>
      <c r="I27" s="104"/>
      <c r="J27" s="104"/>
      <c r="K27" s="104"/>
      <c r="L27" s="104"/>
    </row>
    <row r="28" spans="1:12">
      <c r="A28" s="104"/>
      <c r="B28" s="104"/>
      <c r="C28" s="104"/>
      <c r="D28" s="104"/>
      <c r="E28" s="104"/>
      <c r="F28" s="104"/>
      <c r="G28" s="104"/>
      <c r="H28" s="104"/>
      <c r="I28" s="104"/>
      <c r="J28" s="104"/>
      <c r="K28" s="104"/>
      <c r="L28" s="104"/>
    </row>
    <row r="29" spans="1:12">
      <c r="A29" s="104"/>
      <c r="B29" s="104"/>
      <c r="C29" s="104"/>
      <c r="D29" s="104"/>
      <c r="E29" s="104"/>
      <c r="F29" s="104"/>
      <c r="G29" s="104"/>
      <c r="H29" s="104"/>
      <c r="I29" s="104"/>
      <c r="J29" s="104"/>
      <c r="K29" s="104"/>
      <c r="L29" s="104"/>
    </row>
    <row r="30" spans="1:12">
      <c r="A30" s="104"/>
      <c r="B30" s="104"/>
      <c r="C30" s="104"/>
      <c r="D30" s="104"/>
      <c r="E30" s="104"/>
      <c r="F30" s="104"/>
      <c r="G30" s="104"/>
      <c r="H30" s="104"/>
      <c r="I30" s="104"/>
      <c r="J30" s="104"/>
      <c r="K30" s="104"/>
      <c r="L30" s="104"/>
    </row>
    <row r="31" spans="1:12">
      <c r="A31" s="104"/>
      <c r="B31" s="104"/>
      <c r="C31" s="104"/>
      <c r="D31" s="104"/>
      <c r="E31" s="104"/>
      <c r="F31" s="104"/>
      <c r="G31" s="104"/>
      <c r="H31" s="104"/>
      <c r="I31" s="104"/>
      <c r="J31" s="104"/>
      <c r="K31" s="104"/>
      <c r="L31" s="104"/>
    </row>
    <row r="32" spans="1:12">
      <c r="A32" s="104"/>
      <c r="B32" s="104"/>
      <c r="C32" s="104"/>
      <c r="D32" s="104"/>
      <c r="E32" s="104"/>
      <c r="F32" s="104"/>
      <c r="G32" s="104"/>
      <c r="H32" s="104"/>
      <c r="I32" s="104"/>
      <c r="J32" s="104"/>
      <c r="K32" s="104"/>
      <c r="L32" s="104"/>
    </row>
    <row r="33" spans="1:12">
      <c r="A33" s="104"/>
      <c r="B33" s="104"/>
      <c r="C33" s="104"/>
      <c r="D33" s="104"/>
      <c r="E33" s="104"/>
      <c r="F33" s="104"/>
      <c r="G33" s="104"/>
      <c r="H33" s="104"/>
      <c r="I33" s="104"/>
      <c r="J33" s="104"/>
      <c r="K33" s="104"/>
      <c r="L33" s="104"/>
    </row>
    <row r="34" spans="1:12">
      <c r="A34" s="104"/>
      <c r="B34" s="104"/>
      <c r="C34" s="104"/>
      <c r="D34" s="104"/>
      <c r="E34" s="104"/>
      <c r="F34" s="104"/>
      <c r="G34" s="104"/>
      <c r="H34" s="104"/>
      <c r="I34" s="104"/>
      <c r="J34" s="104"/>
      <c r="K34" s="104"/>
      <c r="L34" s="104"/>
    </row>
    <row r="35" spans="1:12">
      <c r="A35" s="104"/>
      <c r="B35" s="104"/>
      <c r="C35" s="104"/>
      <c r="D35" s="104"/>
      <c r="E35" s="104"/>
      <c r="F35" s="104"/>
      <c r="G35" s="104"/>
      <c r="H35" s="104"/>
      <c r="I35" s="104"/>
      <c r="J35" s="104"/>
      <c r="K35" s="104"/>
      <c r="L35" s="104"/>
    </row>
    <row r="36" spans="1:12">
      <c r="A36" s="104"/>
      <c r="B36" s="104"/>
      <c r="C36" s="104"/>
      <c r="D36" s="104"/>
      <c r="E36" s="104"/>
      <c r="F36" s="104"/>
      <c r="G36" s="104"/>
      <c r="H36" s="104"/>
      <c r="I36" s="104"/>
      <c r="J36" s="104"/>
      <c r="K36" s="104"/>
      <c r="L36" s="104"/>
    </row>
    <row r="37" spans="1:12">
      <c r="A37" s="104"/>
      <c r="B37" s="104"/>
      <c r="C37" s="104"/>
      <c r="D37" s="104"/>
      <c r="E37" s="104"/>
      <c r="F37" s="104"/>
      <c r="G37" s="104"/>
      <c r="H37" s="104"/>
      <c r="I37" s="104"/>
      <c r="J37" s="104"/>
      <c r="K37" s="104"/>
      <c r="L37" s="104"/>
    </row>
    <row r="38" spans="1:12">
      <c r="A38" s="104"/>
      <c r="B38" s="104"/>
      <c r="C38" s="104"/>
      <c r="D38" s="104"/>
      <c r="E38" s="104"/>
      <c r="F38" s="104"/>
      <c r="G38" s="104"/>
      <c r="H38" s="104"/>
      <c r="I38" s="104"/>
      <c r="J38" s="104"/>
      <c r="K38" s="104"/>
      <c r="L38" s="104"/>
    </row>
    <row r="39" spans="1:12">
      <c r="A39" s="104"/>
      <c r="B39" s="104"/>
      <c r="C39" s="104"/>
      <c r="D39" s="104"/>
      <c r="E39" s="104"/>
      <c r="F39" s="104"/>
      <c r="G39" s="104"/>
      <c r="H39" s="104"/>
      <c r="I39" s="104"/>
      <c r="J39" s="104"/>
      <c r="K39" s="104"/>
      <c r="L39" s="104"/>
    </row>
    <row r="40" spans="1:12">
      <c r="A40" s="104"/>
      <c r="B40" s="104"/>
      <c r="C40" s="104"/>
      <c r="D40" s="104"/>
      <c r="E40" s="104"/>
      <c r="F40" s="104"/>
      <c r="G40" s="104"/>
      <c r="H40" s="104"/>
      <c r="I40" s="104"/>
      <c r="J40" s="104"/>
      <c r="K40" s="104"/>
      <c r="L40" s="104"/>
    </row>
    <row r="41" spans="1:12">
      <c r="A41" s="104"/>
      <c r="B41" s="104"/>
      <c r="C41" s="104"/>
      <c r="D41" s="104"/>
      <c r="E41" s="104"/>
      <c r="F41" s="104"/>
      <c r="G41" s="104"/>
      <c r="H41" s="104"/>
      <c r="I41" s="104"/>
      <c r="J41" s="104"/>
      <c r="K41" s="104"/>
      <c r="L41" s="104"/>
    </row>
    <row r="42" spans="1:12">
      <c r="A42" s="104"/>
      <c r="B42" s="104"/>
      <c r="C42" s="104"/>
      <c r="D42" s="104"/>
      <c r="E42" s="104"/>
      <c r="F42" s="104"/>
      <c r="G42" s="104"/>
      <c r="H42" s="104"/>
      <c r="I42" s="104"/>
      <c r="J42" s="104"/>
      <c r="K42" s="104"/>
      <c r="L42" s="104"/>
    </row>
    <row r="43" spans="1:12">
      <c r="A43" s="104"/>
      <c r="B43" s="104"/>
      <c r="C43" s="104"/>
      <c r="D43" s="104"/>
      <c r="E43" s="104"/>
      <c r="F43" s="104"/>
      <c r="G43" s="104"/>
      <c r="H43" s="104"/>
      <c r="I43" s="104"/>
      <c r="J43" s="104"/>
      <c r="K43" s="104"/>
      <c r="L43" s="104"/>
    </row>
    <row r="44" spans="1:12">
      <c r="A44" s="104"/>
      <c r="B44" s="104"/>
      <c r="C44" s="104"/>
      <c r="D44" s="104"/>
      <c r="E44" s="104"/>
      <c r="F44" s="104"/>
      <c r="G44" s="104"/>
      <c r="H44" s="104"/>
      <c r="I44" s="104"/>
      <c r="J44" s="104"/>
      <c r="K44" s="104"/>
      <c r="L44" s="104"/>
    </row>
    <row r="45" spans="1:12">
      <c r="A45" s="104"/>
      <c r="B45" s="104"/>
      <c r="C45" s="104"/>
      <c r="D45" s="104"/>
      <c r="E45" s="104"/>
      <c r="F45" s="104"/>
      <c r="G45" s="104"/>
      <c r="H45" s="104"/>
      <c r="I45" s="104"/>
      <c r="J45" s="104"/>
      <c r="K45" s="104"/>
      <c r="L45" s="104"/>
    </row>
    <row r="46" spans="1:12" ht="11.25" customHeight="1">
      <c r="A46" s="104"/>
      <c r="B46" s="104"/>
      <c r="C46" s="104"/>
      <c r="D46" s="104"/>
      <c r="E46" s="104"/>
      <c r="F46" s="104"/>
      <c r="G46" s="104"/>
      <c r="H46" s="104"/>
      <c r="I46" s="104"/>
      <c r="J46" s="104"/>
      <c r="K46" s="104"/>
      <c r="L46" s="104"/>
    </row>
    <row r="47" spans="1:12">
      <c r="A47" s="104"/>
      <c r="B47" s="104"/>
      <c r="C47" s="104"/>
      <c r="D47" s="104"/>
      <c r="E47" s="104"/>
      <c r="F47" s="104"/>
      <c r="G47" s="104"/>
      <c r="H47" s="104"/>
      <c r="I47" s="104"/>
      <c r="J47" s="104"/>
      <c r="K47" s="104"/>
      <c r="L47" s="104"/>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activeCell="M28" sqref="M28"/>
    </sheetView>
  </sheetViews>
  <sheetFormatPr baseColWidth="10" defaultColWidth="11.42578125" defaultRowHeight="15"/>
  <cols>
    <col min="1" max="1" width="11.42578125" style="84"/>
    <col min="2" max="2" width="14.5703125" style="84" customWidth="1"/>
    <col min="3" max="3" width="17.140625" style="84" customWidth="1"/>
    <col min="4" max="4" width="20.7109375" style="84" customWidth="1"/>
    <col min="5" max="5" width="14.7109375" style="84" customWidth="1"/>
    <col min="6" max="6" width="15" style="48" customWidth="1"/>
    <col min="7" max="7" width="17.5703125" style="84" customWidth="1"/>
    <col min="8" max="9" width="16.28515625" style="84" customWidth="1"/>
    <col min="10" max="10" width="17" style="84" customWidth="1"/>
    <col min="11" max="11" width="11.42578125" style="84"/>
    <col min="12" max="12" width="6.28515625" style="84" customWidth="1"/>
    <col min="13" max="13" width="12.28515625" style="84" bestFit="1" customWidth="1"/>
    <col min="14" max="14" width="16.28515625" style="84" bestFit="1" customWidth="1"/>
    <col min="15" max="21" width="11.42578125" style="84"/>
    <col min="22" max="22" width="12.28515625" style="84" bestFit="1" customWidth="1"/>
    <col min="23" max="16384" width="11.42578125" style="84"/>
  </cols>
  <sheetData>
    <row r="1" spans="1:14" ht="75" customHeight="1">
      <c r="A1" s="1921"/>
      <c r="B1" s="1922"/>
      <c r="C1" s="1922"/>
      <c r="D1" s="1922"/>
      <c r="E1" s="1922"/>
      <c r="F1" s="1922"/>
      <c r="G1" s="1922"/>
      <c r="H1" s="1922"/>
      <c r="I1" s="1922"/>
      <c r="J1" s="1922"/>
      <c r="K1" s="1922"/>
      <c r="L1" s="1922"/>
    </row>
    <row r="2" spans="1:14" ht="6" customHeight="1">
      <c r="A2" s="1923"/>
      <c r="B2" s="1923"/>
      <c r="C2" s="1923"/>
      <c r="D2" s="1923"/>
      <c r="E2" s="1923"/>
      <c r="F2" s="1923"/>
      <c r="G2" s="1923"/>
      <c r="H2" s="1923"/>
      <c r="I2" s="1923"/>
      <c r="J2" s="1923"/>
      <c r="K2" s="1923"/>
      <c r="L2" s="1923"/>
    </row>
    <row r="3" spans="1:14" ht="45.75" customHeight="1">
      <c r="A3" s="1029" t="s">
        <v>0</v>
      </c>
      <c r="B3" s="352" t="s">
        <v>35</v>
      </c>
      <c r="C3" s="352" t="s">
        <v>206</v>
      </c>
      <c r="D3" s="352" t="s">
        <v>207</v>
      </c>
      <c r="E3" s="352" t="s">
        <v>1</v>
      </c>
      <c r="F3" s="352" t="s">
        <v>464</v>
      </c>
      <c r="G3" s="352" t="s">
        <v>423</v>
      </c>
      <c r="H3" s="352" t="s">
        <v>180</v>
      </c>
      <c r="I3" s="352" t="s">
        <v>2</v>
      </c>
      <c r="J3" s="352" t="s">
        <v>3</v>
      </c>
      <c r="K3" s="353" t="s">
        <v>181</v>
      </c>
      <c r="L3" s="1"/>
    </row>
    <row r="4" spans="1:14" ht="18" hidden="1" customHeight="1">
      <c r="A4" s="618" t="s">
        <v>150</v>
      </c>
      <c r="B4" s="616"/>
      <c r="C4" s="616">
        <f>D4+K4</f>
        <v>6764678</v>
      </c>
      <c r="D4" s="1022">
        <f>E4+H4</f>
        <v>3701525</v>
      </c>
      <c r="E4" s="1022">
        <f>F4+G4</f>
        <v>3104294</v>
      </c>
      <c r="F4" s="1022">
        <v>1392866</v>
      </c>
      <c r="G4" s="1022">
        <v>1711428</v>
      </c>
      <c r="H4" s="616">
        <f>I4+J4</f>
        <v>597231</v>
      </c>
      <c r="I4" s="616">
        <v>329439</v>
      </c>
      <c r="J4" s="616">
        <v>267792</v>
      </c>
      <c r="K4" s="1024">
        <v>3063153</v>
      </c>
      <c r="L4" s="1"/>
      <c r="N4" s="54"/>
    </row>
    <row r="5" spans="1:14" ht="16.5" hidden="1" customHeight="1">
      <c r="A5" s="618" t="s">
        <v>4</v>
      </c>
      <c r="B5" s="1021">
        <f>+'[4]I.1.1 Cobertura SDSS '!E4</f>
        <v>8742318</v>
      </c>
      <c r="C5" s="1021">
        <f>D5+K5</f>
        <v>6826593</v>
      </c>
      <c r="D5" s="1023">
        <f>E5+H5</f>
        <v>3731676</v>
      </c>
      <c r="E5" s="1023">
        <f>F5+G5</f>
        <v>3098443</v>
      </c>
      <c r="F5" s="1022">
        <v>1420224</v>
      </c>
      <c r="G5" s="1022">
        <v>1678219</v>
      </c>
      <c r="H5" s="1021">
        <f>I5+J5</f>
        <v>633233</v>
      </c>
      <c r="I5" s="616">
        <v>395034</v>
      </c>
      <c r="J5" s="616">
        <v>238199</v>
      </c>
      <c r="K5" s="1024">
        <v>3094917</v>
      </c>
      <c r="N5" s="54"/>
    </row>
    <row r="6" spans="1:14" ht="15" hidden="1" customHeight="1">
      <c r="A6" s="618" t="s">
        <v>5</v>
      </c>
      <c r="B6" s="1021">
        <f>+'[4]I.1.1 Cobertura SDSS '!E5</f>
        <v>8855026</v>
      </c>
      <c r="C6" s="1021">
        <v>6981868.5</v>
      </c>
      <c r="D6" s="1023">
        <v>3933660.5</v>
      </c>
      <c r="E6" s="1023">
        <v>3209932</v>
      </c>
      <c r="F6" s="1022">
        <v>1481853.5</v>
      </c>
      <c r="G6" s="1022">
        <v>1727862.5</v>
      </c>
      <c r="H6" s="1021">
        <v>723728.5</v>
      </c>
      <c r="I6" s="616">
        <v>391070.5</v>
      </c>
      <c r="J6" s="616">
        <v>332658</v>
      </c>
      <c r="K6" s="1024">
        <v>3048208</v>
      </c>
      <c r="N6" s="54"/>
    </row>
    <row r="7" spans="1:14" ht="14.25" customHeight="1">
      <c r="A7" s="618" t="s">
        <v>6</v>
      </c>
      <c r="B7" s="1046">
        <v>8968144</v>
      </c>
      <c r="C7" s="1044">
        <v>7144758</v>
      </c>
      <c r="D7" s="1043">
        <v>3992211</v>
      </c>
      <c r="E7" s="1042">
        <v>3276373</v>
      </c>
      <c r="F7" s="1043">
        <v>1437260</v>
      </c>
      <c r="G7" s="1043">
        <v>1839113</v>
      </c>
      <c r="H7" s="1041">
        <v>715838</v>
      </c>
      <c r="I7" s="1044">
        <v>415113</v>
      </c>
      <c r="J7" s="1044">
        <v>300725</v>
      </c>
      <c r="K7" s="1045">
        <v>3152547</v>
      </c>
      <c r="N7" s="54"/>
    </row>
    <row r="8" spans="1:14" ht="13.5" customHeight="1">
      <c r="A8" s="618" t="s">
        <v>7</v>
      </c>
      <c r="B8" s="831">
        <v>9072308</v>
      </c>
      <c r="C8" s="616">
        <v>7320436</v>
      </c>
      <c r="D8" s="1022">
        <v>4100433</v>
      </c>
      <c r="E8" s="1023">
        <v>3435086</v>
      </c>
      <c r="F8" s="1022">
        <v>1505582.5</v>
      </c>
      <c r="G8" s="1022">
        <v>1929503.5</v>
      </c>
      <c r="H8" s="1021">
        <v>665347</v>
      </c>
      <c r="I8" s="616">
        <v>352829</v>
      </c>
      <c r="J8" s="616">
        <v>312518</v>
      </c>
      <c r="K8" s="1024">
        <v>3220003</v>
      </c>
      <c r="N8" s="54"/>
    </row>
    <row r="9" spans="1:14" ht="12.75" customHeight="1">
      <c r="A9" s="618" t="s">
        <v>8</v>
      </c>
      <c r="B9" s="831">
        <v>9175265</v>
      </c>
      <c r="C9" s="616">
        <v>7484808</v>
      </c>
      <c r="D9" s="1022">
        <v>4202277</v>
      </c>
      <c r="E9" s="1023">
        <v>3548304</v>
      </c>
      <c r="F9" s="1022">
        <v>1571911.5</v>
      </c>
      <c r="G9" s="1022">
        <v>1976392.5</v>
      </c>
      <c r="H9" s="1021">
        <v>653973</v>
      </c>
      <c r="I9" s="616">
        <v>336868</v>
      </c>
      <c r="J9" s="616">
        <v>317105</v>
      </c>
      <c r="K9" s="1024">
        <v>3282531</v>
      </c>
      <c r="N9" s="54"/>
    </row>
    <row r="10" spans="1:14" ht="15" customHeight="1">
      <c r="A10" s="618" t="s">
        <v>9</v>
      </c>
      <c r="B10" s="831">
        <v>9277181</v>
      </c>
      <c r="C10" s="616">
        <v>7663945</v>
      </c>
      <c r="D10" s="1022">
        <v>4256447</v>
      </c>
      <c r="E10" s="1023">
        <v>3653946</v>
      </c>
      <c r="F10" s="1022">
        <v>1566047</v>
      </c>
      <c r="G10" s="1022">
        <v>2087899</v>
      </c>
      <c r="H10" s="1021">
        <v>602501</v>
      </c>
      <c r="I10" s="616">
        <v>264997</v>
      </c>
      <c r="J10" s="616">
        <v>337504</v>
      </c>
      <c r="K10" s="1024">
        <v>3407498</v>
      </c>
      <c r="N10" s="54"/>
    </row>
    <row r="11" spans="1:14" ht="15.75" customHeight="1">
      <c r="A11" s="618" t="s">
        <v>10</v>
      </c>
      <c r="B11" s="831">
        <v>9378455</v>
      </c>
      <c r="C11" s="616">
        <v>7848901</v>
      </c>
      <c r="D11" s="1022">
        <v>4221883</v>
      </c>
      <c r="E11" s="1023">
        <v>3593988</v>
      </c>
      <c r="F11" s="616">
        <v>1560994</v>
      </c>
      <c r="G11" s="616">
        <v>2032994</v>
      </c>
      <c r="H11" s="1021">
        <v>627895</v>
      </c>
      <c r="I11" s="616">
        <v>318576</v>
      </c>
      <c r="J11" s="616">
        <v>309319</v>
      </c>
      <c r="K11" s="1024">
        <v>3627018</v>
      </c>
      <c r="N11" s="54"/>
    </row>
    <row r="12" spans="1:14" ht="14.25" customHeight="1">
      <c r="A12" s="618" t="s">
        <v>151</v>
      </c>
      <c r="B12" s="831">
        <v>9478612</v>
      </c>
      <c r="C12" s="616">
        <v>7967202</v>
      </c>
      <c r="D12" s="1022">
        <v>4378866</v>
      </c>
      <c r="E12" s="1023">
        <v>3753529</v>
      </c>
      <c r="F12" s="616">
        <v>1631129</v>
      </c>
      <c r="G12" s="616">
        <v>2122400</v>
      </c>
      <c r="H12" s="1021">
        <v>625337</v>
      </c>
      <c r="I12" s="616">
        <v>314055</v>
      </c>
      <c r="J12" s="616">
        <v>311282</v>
      </c>
      <c r="K12" s="1024">
        <v>3588336</v>
      </c>
      <c r="N12" s="54"/>
    </row>
    <row r="13" spans="1:14" ht="15.75">
      <c r="A13" s="618" t="s">
        <v>237</v>
      </c>
      <c r="B13" s="831">
        <v>9579983</v>
      </c>
      <c r="C13" s="616">
        <v>8144337</v>
      </c>
      <c r="D13" s="1022">
        <v>4580813</v>
      </c>
      <c r="E13" s="1023">
        <v>3912405</v>
      </c>
      <c r="F13" s="616">
        <v>1686216</v>
      </c>
      <c r="G13" s="616">
        <v>2226189</v>
      </c>
      <c r="H13" s="1021">
        <v>668408</v>
      </c>
      <c r="I13" s="616">
        <v>368019</v>
      </c>
      <c r="J13" s="616">
        <v>300389</v>
      </c>
      <c r="K13" s="1024">
        <v>3563524</v>
      </c>
      <c r="N13" s="54"/>
    </row>
    <row r="14" spans="1:14" ht="15.75">
      <c r="A14" s="618" t="s">
        <v>499</v>
      </c>
      <c r="B14" s="831">
        <v>9680534</v>
      </c>
      <c r="C14" s="616">
        <v>8276419</v>
      </c>
      <c r="D14" s="1022">
        <v>4677824</v>
      </c>
      <c r="E14" s="1023">
        <v>3990748</v>
      </c>
      <c r="F14" s="616">
        <v>1716228</v>
      </c>
      <c r="G14" s="616">
        <v>2274520</v>
      </c>
      <c r="H14" s="1021">
        <v>687076</v>
      </c>
      <c r="I14" s="616">
        <v>377404</v>
      </c>
      <c r="J14" s="616">
        <v>309672</v>
      </c>
      <c r="K14" s="1024">
        <v>3598595</v>
      </c>
      <c r="N14" s="54"/>
    </row>
    <row r="15" spans="1:14" ht="15.75">
      <c r="A15" s="618" t="s">
        <v>619</v>
      </c>
      <c r="B15" s="831">
        <v>9780743</v>
      </c>
      <c r="C15" s="616">
        <v>8422139</v>
      </c>
      <c r="D15" s="1022">
        <v>4728655</v>
      </c>
      <c r="E15" s="1023">
        <v>4018420</v>
      </c>
      <c r="F15" s="616">
        <v>1769801</v>
      </c>
      <c r="G15" s="616">
        <v>2248619</v>
      </c>
      <c r="H15" s="1021">
        <v>710235</v>
      </c>
      <c r="I15" s="616">
        <v>404825</v>
      </c>
      <c r="J15" s="616">
        <v>305410</v>
      </c>
      <c r="K15" s="1024">
        <v>3693484</v>
      </c>
    </row>
    <row r="16" spans="1:14" ht="15.75">
      <c r="A16" s="634" t="s">
        <v>628</v>
      </c>
      <c r="B16" s="1047">
        <v>9880505</v>
      </c>
      <c r="C16" s="1027">
        <f>D16+K16</f>
        <v>8571213</v>
      </c>
      <c r="D16" s="1048">
        <f>E16+H16</f>
        <v>4913588</v>
      </c>
      <c r="E16" s="1026">
        <f>F16+G16</f>
        <v>4199885</v>
      </c>
      <c r="F16" s="1027">
        <v>1865496</v>
      </c>
      <c r="G16" s="1027">
        <v>2334389</v>
      </c>
      <c r="H16" s="1025">
        <f>I16+J16</f>
        <v>713703</v>
      </c>
      <c r="I16" s="1027">
        <v>403839</v>
      </c>
      <c r="J16" s="1027">
        <v>309864</v>
      </c>
      <c r="K16" s="1028">
        <v>3657625</v>
      </c>
    </row>
    <row r="17" spans="1:15">
      <c r="A17" s="103"/>
      <c r="B17" s="103"/>
      <c r="C17" s="103"/>
      <c r="D17" s="103"/>
      <c r="E17" s="103"/>
      <c r="F17" s="103"/>
      <c r="G17" s="103"/>
      <c r="H17" s="103"/>
      <c r="I17" s="103"/>
      <c r="J17" s="103"/>
      <c r="K17" s="103"/>
    </row>
    <row r="18" spans="1:15">
      <c r="A18" s="103"/>
      <c r="B18" s="103"/>
      <c r="C18" s="103"/>
      <c r="D18" s="103"/>
      <c r="E18" s="103"/>
      <c r="F18" s="85"/>
      <c r="G18" s="103"/>
      <c r="H18" s="103"/>
      <c r="I18" s="103"/>
      <c r="J18" s="103"/>
      <c r="K18" s="103"/>
    </row>
    <row r="19" spans="1:15">
      <c r="A19" s="103"/>
      <c r="B19" s="103"/>
      <c r="C19" s="103"/>
      <c r="D19" s="103"/>
      <c r="E19" s="103"/>
      <c r="F19" s="85"/>
      <c r="G19" s="103"/>
      <c r="H19" s="103"/>
      <c r="I19" s="103"/>
      <c r="J19" s="103"/>
      <c r="K19" s="103"/>
      <c r="N19" s="54"/>
      <c r="O19" s="54"/>
    </row>
    <row r="20" spans="1:15">
      <c r="A20" s="103"/>
      <c r="B20" s="103"/>
      <c r="C20" s="103"/>
      <c r="D20" s="103"/>
      <c r="E20" s="103"/>
      <c r="F20" s="85"/>
      <c r="G20" s="103"/>
      <c r="H20" s="103"/>
      <c r="I20" s="103"/>
      <c r="J20" s="103"/>
      <c r="K20" s="103"/>
      <c r="N20" s="54"/>
      <c r="O20" s="54"/>
    </row>
    <row r="21" spans="1:15">
      <c r="A21" s="103"/>
      <c r="B21" s="103"/>
      <c r="C21" s="103"/>
      <c r="D21" s="103"/>
      <c r="E21" s="103"/>
      <c r="F21" s="85"/>
      <c r="G21" s="103"/>
      <c r="H21" s="103"/>
      <c r="I21" s="103"/>
      <c r="J21" s="103"/>
      <c r="K21" s="103"/>
      <c r="N21" s="54"/>
      <c r="O21" s="54"/>
    </row>
    <row r="22" spans="1:15">
      <c r="A22" s="103"/>
      <c r="B22" s="103"/>
      <c r="C22" s="103"/>
      <c r="D22" s="103"/>
      <c r="E22" s="103"/>
      <c r="F22" s="85"/>
      <c r="G22" s="103"/>
      <c r="H22" s="103"/>
      <c r="I22" s="103"/>
      <c r="J22" s="103"/>
      <c r="K22" s="103"/>
      <c r="O22" s="54"/>
    </row>
    <row r="23" spans="1:15">
      <c r="A23" s="103"/>
      <c r="B23" s="103"/>
      <c r="C23" s="103"/>
      <c r="D23" s="103"/>
      <c r="E23" s="103"/>
      <c r="F23" s="85"/>
      <c r="G23" s="103"/>
      <c r="H23" s="103"/>
      <c r="I23" s="103"/>
      <c r="J23" s="103"/>
      <c r="K23" s="103"/>
      <c r="O23" s="54"/>
    </row>
    <row r="24" spans="1:15">
      <c r="A24" s="103"/>
      <c r="B24" s="103"/>
      <c r="C24" s="103"/>
      <c r="D24" s="103"/>
      <c r="E24" s="103"/>
      <c r="F24" s="85"/>
      <c r="G24" s="103"/>
      <c r="H24" s="103"/>
      <c r="I24" s="103"/>
      <c r="J24" s="103"/>
      <c r="K24" s="103"/>
      <c r="O24" s="54"/>
    </row>
    <row r="25" spans="1:15">
      <c r="A25" s="103"/>
      <c r="B25" s="103"/>
      <c r="C25" s="103"/>
      <c r="D25" s="103"/>
      <c r="E25" s="103"/>
      <c r="F25" s="85"/>
      <c r="G25" s="103"/>
      <c r="H25" s="103"/>
      <c r="I25" s="103"/>
      <c r="J25" s="103"/>
      <c r="K25" s="103"/>
      <c r="O25" s="54"/>
    </row>
    <row r="26" spans="1:15">
      <c r="A26" s="103"/>
      <c r="B26" s="103"/>
      <c r="C26" s="103"/>
      <c r="D26" s="103"/>
      <c r="E26" s="103"/>
      <c r="F26" s="85"/>
      <c r="G26" s="103"/>
      <c r="H26" s="103"/>
      <c r="I26" s="103"/>
      <c r="J26" s="103"/>
      <c r="K26" s="103"/>
      <c r="O26" s="54"/>
    </row>
    <row r="27" spans="1:15">
      <c r="A27" s="103"/>
      <c r="B27" s="103"/>
      <c r="C27" s="103"/>
      <c r="D27" s="103"/>
      <c r="E27" s="103"/>
      <c r="F27" s="85"/>
      <c r="G27" s="103"/>
      <c r="H27" s="103"/>
      <c r="I27" s="103"/>
      <c r="J27" s="103"/>
      <c r="K27" s="103"/>
      <c r="O27" s="54"/>
    </row>
    <row r="28" spans="1:15">
      <c r="A28" s="103"/>
      <c r="B28" s="103"/>
      <c r="C28" s="103"/>
      <c r="D28" s="103"/>
      <c r="E28" s="103"/>
      <c r="F28" s="85"/>
      <c r="G28" s="103"/>
      <c r="H28" s="103"/>
      <c r="I28" s="103"/>
      <c r="J28" s="103"/>
      <c r="K28" s="103"/>
      <c r="O28" s="54"/>
    </row>
    <row r="29" spans="1:15">
      <c r="A29" s="103"/>
      <c r="B29" s="103"/>
      <c r="C29" s="103"/>
      <c r="D29" s="103"/>
      <c r="E29" s="103"/>
      <c r="F29" s="85"/>
      <c r="G29" s="103"/>
      <c r="H29" s="103"/>
      <c r="I29" s="103"/>
      <c r="J29" s="103"/>
      <c r="K29" s="103"/>
    </row>
    <row r="30" spans="1:15">
      <c r="A30" s="103"/>
      <c r="B30" s="103"/>
      <c r="C30" s="103"/>
      <c r="D30" s="103"/>
      <c r="E30" s="103"/>
      <c r="F30" s="85"/>
      <c r="G30" s="103"/>
      <c r="H30" s="103"/>
      <c r="I30" s="103"/>
      <c r="J30" s="103"/>
      <c r="K30" s="103"/>
    </row>
    <row r="31" spans="1:15">
      <c r="A31" s="103"/>
      <c r="B31" s="103"/>
      <c r="C31" s="103"/>
      <c r="D31" s="103"/>
      <c r="E31" s="103"/>
      <c r="F31" s="85"/>
      <c r="G31" s="103"/>
      <c r="H31" s="103"/>
      <c r="I31" s="103"/>
      <c r="J31" s="103"/>
      <c r="K31" s="103"/>
    </row>
    <row r="32" spans="1:15">
      <c r="A32" s="103"/>
      <c r="B32" s="103"/>
      <c r="C32" s="103"/>
      <c r="D32" s="103"/>
      <c r="E32" s="103"/>
      <c r="F32" s="85"/>
      <c r="G32" s="103"/>
      <c r="H32" s="103"/>
      <c r="I32" s="103"/>
      <c r="J32" s="103"/>
      <c r="K32" s="103"/>
    </row>
    <row r="33" spans="1:11">
      <c r="A33" s="103"/>
      <c r="B33" s="103"/>
      <c r="C33" s="103"/>
      <c r="D33" s="103"/>
      <c r="E33" s="103"/>
      <c r="F33" s="85"/>
      <c r="G33" s="103"/>
      <c r="H33" s="103"/>
      <c r="I33" s="103"/>
      <c r="J33" s="103"/>
      <c r="K33" s="103"/>
    </row>
    <row r="34" spans="1:11">
      <c r="A34" s="103"/>
      <c r="B34" s="103"/>
      <c r="C34" s="103"/>
      <c r="D34" s="103"/>
      <c r="E34" s="103"/>
      <c r="F34" s="85"/>
      <c r="G34" s="103"/>
      <c r="H34" s="103"/>
      <c r="I34" s="103"/>
      <c r="J34" s="103"/>
      <c r="K34" s="103"/>
    </row>
    <row r="35" spans="1:11">
      <c r="A35" s="103"/>
      <c r="B35" s="103"/>
      <c r="C35" s="103"/>
      <c r="D35" s="103"/>
      <c r="E35" s="103"/>
      <c r="F35" s="85"/>
      <c r="G35" s="103"/>
      <c r="H35" s="103"/>
      <c r="I35" s="103"/>
      <c r="J35" s="103"/>
      <c r="K35" s="103"/>
    </row>
    <row r="36" spans="1:11">
      <c r="A36" s="103"/>
      <c r="B36" s="103"/>
      <c r="C36" s="103"/>
      <c r="D36" s="103"/>
      <c r="E36" s="103"/>
      <c r="F36" s="85"/>
      <c r="G36" s="103"/>
      <c r="H36" s="103"/>
      <c r="I36" s="103"/>
      <c r="J36" s="103"/>
      <c r="K36" s="103"/>
    </row>
    <row r="37" spans="1:11">
      <c r="A37" s="103"/>
      <c r="B37" s="103"/>
      <c r="C37" s="103"/>
      <c r="D37" s="103"/>
      <c r="E37" s="103"/>
      <c r="F37" s="85"/>
      <c r="G37" s="103"/>
      <c r="H37" s="103"/>
      <c r="I37" s="103"/>
      <c r="J37" s="103"/>
      <c r="K37" s="103"/>
    </row>
    <row r="38" spans="1:11" ht="3" customHeight="1">
      <c r="A38" s="56"/>
      <c r="B38" s="56"/>
      <c r="C38" s="56"/>
      <c r="D38" s="56"/>
      <c r="E38" s="56"/>
      <c r="F38" s="56"/>
      <c r="G38" s="56"/>
      <c r="H38" s="56"/>
      <c r="I38" s="56"/>
      <c r="J38" s="56"/>
      <c r="K38" s="56"/>
    </row>
    <row r="39" spans="1:11">
      <c r="A39" s="104"/>
      <c r="B39" s="104"/>
      <c r="C39" s="104"/>
      <c r="D39" s="104"/>
      <c r="E39" s="104"/>
      <c r="F39" s="47"/>
      <c r="G39" s="104"/>
      <c r="H39" s="104"/>
      <c r="I39" s="104"/>
      <c r="J39" s="104"/>
      <c r="K39" s="104"/>
    </row>
    <row r="42" spans="1:11">
      <c r="A42" s="104"/>
      <c r="B42" s="104"/>
      <c r="C42" s="104"/>
      <c r="D42" s="104"/>
      <c r="E42" s="104"/>
      <c r="F42" s="47"/>
      <c r="G42" s="104"/>
      <c r="H42" s="104"/>
      <c r="I42" s="104"/>
      <c r="J42" s="104"/>
      <c r="K42" s="104"/>
    </row>
    <row r="57" spans="7:7">
      <c r="G57" s="84">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16" style="84" customWidth="1"/>
    <col min="10" max="10" width="18.7109375" style="84" customWidth="1"/>
    <col min="11" max="11" width="17.140625" style="84" customWidth="1"/>
    <col min="12" max="12" width="15.7109375" style="84" customWidth="1"/>
    <col min="13" max="13" width="16.85546875" style="84" customWidth="1"/>
    <col min="14" max="14" width="16.28515625" style="84" customWidth="1"/>
    <col min="15" max="15" width="15" style="84" customWidth="1"/>
    <col min="16" max="16" width="9.7109375" style="84" customWidth="1"/>
    <col min="17" max="17" width="18" style="84" bestFit="1" customWidth="1"/>
    <col min="18" max="18" width="17.42578125" style="84" customWidth="1"/>
    <col min="19" max="22" width="11.42578125" style="84"/>
    <col min="23" max="23" width="18.7109375" style="84" bestFit="1" customWidth="1"/>
    <col min="24" max="16384" width="11.42578125" style="84"/>
  </cols>
  <sheetData>
    <row r="1" spans="1:29" ht="90.75" customHeight="1">
      <c r="A1" s="1924"/>
      <c r="B1" s="1924"/>
      <c r="C1" s="1924"/>
      <c r="D1" s="1924"/>
      <c r="E1" s="1924"/>
      <c r="F1" s="1924"/>
      <c r="G1" s="1924"/>
      <c r="H1" s="1924"/>
      <c r="I1" s="1924"/>
      <c r="J1" s="1924"/>
      <c r="K1" s="1924"/>
      <c r="L1" s="1924"/>
      <c r="M1" s="1924"/>
      <c r="N1" s="1924"/>
      <c r="O1" s="1924"/>
      <c r="P1" s="1924"/>
    </row>
    <row r="2" spans="1:29" ht="408.75" customHeight="1">
      <c r="A2" s="1925" t="s">
        <v>436</v>
      </c>
      <c r="B2" s="1926"/>
      <c r="C2" s="1926"/>
      <c r="D2" s="1926"/>
      <c r="E2" s="1926"/>
      <c r="F2" s="1926"/>
      <c r="G2" s="1926"/>
      <c r="H2" s="1926"/>
      <c r="I2" s="1926"/>
      <c r="J2" s="1926"/>
      <c r="K2" s="1926"/>
      <c r="L2" s="1926"/>
      <c r="M2" s="1926"/>
      <c r="N2" s="1926"/>
      <c r="O2" s="1926"/>
      <c r="P2" s="1926"/>
      <c r="Q2" s="66"/>
      <c r="R2" s="66"/>
    </row>
    <row r="3" spans="1:29" ht="408.75" customHeight="1">
      <c r="A3" s="1926"/>
      <c r="B3" s="1926"/>
      <c r="C3" s="1926"/>
      <c r="D3" s="1926"/>
      <c r="E3" s="1926"/>
      <c r="F3" s="1926"/>
      <c r="G3" s="1926"/>
      <c r="H3" s="1926"/>
      <c r="I3" s="1926"/>
      <c r="J3" s="1926"/>
      <c r="K3" s="1926"/>
      <c r="L3" s="1926"/>
      <c r="M3" s="1926"/>
      <c r="N3" s="1926"/>
      <c r="O3" s="1926"/>
      <c r="P3" s="1926"/>
      <c r="Q3" s="66"/>
      <c r="R3" s="66"/>
    </row>
    <row r="4" spans="1:29" ht="357" customHeight="1">
      <c r="A4" s="1926"/>
      <c r="B4" s="1926"/>
      <c r="C4" s="1926"/>
      <c r="D4" s="1926"/>
      <c r="E4" s="1926"/>
      <c r="F4" s="1926"/>
      <c r="G4" s="1926"/>
      <c r="H4" s="1926"/>
      <c r="I4" s="1926"/>
      <c r="J4" s="1926"/>
      <c r="K4" s="1926"/>
      <c r="L4" s="1926"/>
      <c r="M4" s="1926"/>
      <c r="N4" s="1926"/>
      <c r="O4" s="1926"/>
      <c r="P4" s="1926"/>
      <c r="Q4" s="66"/>
      <c r="R4" s="66"/>
      <c r="S4" s="84" t="s">
        <v>33</v>
      </c>
    </row>
    <row r="5" spans="1:29" s="1927" customFormat="1" ht="25.5" customHeight="1"/>
    <row r="6" spans="1:29" ht="25.5" customHeight="1">
      <c r="A6"/>
      <c r="B6"/>
      <c r="C6"/>
      <c r="D6"/>
      <c r="E6"/>
      <c r="F6"/>
      <c r="G6"/>
      <c r="H6"/>
      <c r="I6"/>
      <c r="J6"/>
      <c r="K6"/>
      <c r="L6"/>
      <c r="M6"/>
      <c r="N6"/>
      <c r="O6"/>
      <c r="P6"/>
      <c r="Q6" s="66"/>
      <c r="R6" s="66"/>
    </row>
    <row r="7" spans="1:29" ht="25.5" customHeight="1">
      <c r="A7"/>
      <c r="B7"/>
      <c r="C7"/>
      <c r="D7"/>
      <c r="E7"/>
      <c r="F7"/>
      <c r="G7"/>
      <c r="H7"/>
      <c r="I7"/>
      <c r="J7"/>
      <c r="K7"/>
      <c r="L7"/>
      <c r="M7"/>
      <c r="N7"/>
      <c r="O7"/>
      <c r="P7"/>
      <c r="Q7" s="66"/>
      <c r="R7" s="66"/>
    </row>
    <row r="8" spans="1:29" ht="25.5" customHeight="1">
      <c r="A8"/>
      <c r="B8"/>
      <c r="C8"/>
      <c r="D8"/>
      <c r="E8"/>
      <c r="F8"/>
      <c r="G8"/>
      <c r="H8"/>
      <c r="I8"/>
      <c r="J8"/>
      <c r="K8"/>
      <c r="L8"/>
      <c r="M8"/>
      <c r="N8"/>
      <c r="O8"/>
      <c r="P8"/>
      <c r="Q8" s="66"/>
      <c r="R8" s="66"/>
    </row>
    <row r="9" spans="1:29" ht="25.5" customHeight="1">
      <c r="A9"/>
      <c r="B9"/>
      <c r="C9"/>
      <c r="D9"/>
      <c r="E9"/>
      <c r="F9"/>
      <c r="G9"/>
      <c r="H9"/>
      <c r="I9"/>
      <c r="J9"/>
      <c r="K9"/>
      <c r="L9"/>
      <c r="M9"/>
      <c r="N9"/>
      <c r="O9"/>
      <c r="P9"/>
      <c r="Q9" s="66"/>
      <c r="R9" s="66"/>
    </row>
    <row r="10" spans="1:29" ht="25.5" customHeight="1">
      <c r="A10"/>
      <c r="B10"/>
      <c r="C10"/>
      <c r="D10"/>
      <c r="E10"/>
      <c r="F10"/>
      <c r="G10"/>
      <c r="H10"/>
      <c r="I10"/>
      <c r="J10"/>
      <c r="K10"/>
      <c r="L10"/>
      <c r="M10"/>
      <c r="N10"/>
      <c r="O10"/>
      <c r="P10"/>
      <c r="Q10" s="66"/>
      <c r="R10" s="66"/>
    </row>
    <row r="11" spans="1:29" ht="25.5" customHeight="1">
      <c r="A11"/>
      <c r="B11"/>
      <c r="C11"/>
      <c r="D11"/>
      <c r="E11"/>
      <c r="F11"/>
      <c r="G11"/>
      <c r="H11"/>
      <c r="I11"/>
      <c r="J11"/>
      <c r="K11"/>
      <c r="L11"/>
      <c r="M11"/>
      <c r="N11"/>
      <c r="O11"/>
      <c r="P11"/>
      <c r="Q11" s="66"/>
      <c r="R11" s="66"/>
    </row>
    <row r="12" spans="1:29" ht="23.25" customHeight="1">
      <c r="A12"/>
      <c r="B12"/>
      <c r="C12"/>
      <c r="D12"/>
      <c r="E12"/>
      <c r="F12"/>
      <c r="G12"/>
      <c r="H12"/>
      <c r="I12"/>
      <c r="J12"/>
      <c r="K12"/>
      <c r="L12"/>
      <c r="M12"/>
      <c r="N12"/>
      <c r="O12"/>
      <c r="P12"/>
      <c r="Q12" s="66"/>
      <c r="R12" s="66"/>
    </row>
    <row r="13" spans="1:29" ht="25.5" customHeight="1">
      <c r="A13" s="34"/>
      <c r="B13" s="34"/>
      <c r="C13" s="34"/>
      <c r="D13" s="34"/>
      <c r="E13" s="34"/>
      <c r="F13" s="34"/>
      <c r="G13" s="34"/>
      <c r="H13" s="34"/>
      <c r="I13" s="34"/>
      <c r="J13" s="34"/>
      <c r="K13" s="34"/>
      <c r="L13" s="34"/>
      <c r="M13" s="34"/>
      <c r="N13" s="34"/>
      <c r="O13" s="34"/>
      <c r="P13" s="34"/>
      <c r="R13" s="66"/>
    </row>
    <row r="14" spans="1:29" ht="25.5" customHeight="1">
      <c r="A14" s="34"/>
      <c r="B14" s="34"/>
      <c r="C14" s="34"/>
      <c r="D14" s="34"/>
      <c r="E14" s="34"/>
      <c r="F14" s="34"/>
      <c r="G14" s="34"/>
      <c r="H14" s="34"/>
      <c r="I14" s="34"/>
      <c r="J14" s="34"/>
      <c r="K14" s="34"/>
      <c r="L14" s="34"/>
      <c r="M14" s="34"/>
      <c r="N14" s="34"/>
      <c r="O14" s="34"/>
      <c r="P14" s="34"/>
      <c r="Q14" s="34"/>
      <c r="R14" s="34"/>
    </row>
    <row r="15" spans="1:29" ht="25.5" customHeight="1">
      <c r="A15" s="34"/>
      <c r="B15" s="34"/>
      <c r="C15" s="34"/>
      <c r="D15" s="34"/>
      <c r="E15" s="34"/>
      <c r="F15" s="34"/>
      <c r="G15" s="34"/>
      <c r="H15" s="34"/>
      <c r="I15" s="34"/>
      <c r="J15" s="34"/>
      <c r="K15" s="34"/>
      <c r="L15" s="34"/>
      <c r="M15" s="34"/>
      <c r="N15" s="34"/>
      <c r="O15" s="34"/>
      <c r="P15" s="34"/>
      <c r="Q15" s="34"/>
      <c r="R15" s="34"/>
      <c r="AC15" s="84" t="s">
        <v>33</v>
      </c>
    </row>
    <row r="16" spans="1:29" ht="25.5" customHeight="1">
      <c r="A16" s="34"/>
      <c r="B16" s="34"/>
      <c r="C16" s="34"/>
      <c r="D16" s="34"/>
      <c r="E16" s="34"/>
      <c r="F16" s="34"/>
      <c r="G16" s="34"/>
      <c r="H16" s="34"/>
      <c r="I16" s="34"/>
      <c r="J16" s="34"/>
      <c r="K16" s="34"/>
      <c r="L16" s="34"/>
      <c r="M16" s="34"/>
      <c r="N16" s="34"/>
      <c r="O16" s="34"/>
      <c r="P16" s="34"/>
      <c r="Q16" s="34"/>
      <c r="R16" s="34"/>
    </row>
    <row r="17" spans="1:19" ht="25.5" customHeight="1">
      <c r="A17" s="34"/>
      <c r="B17" s="34"/>
      <c r="C17" s="34"/>
      <c r="D17" s="34"/>
      <c r="E17" s="34"/>
      <c r="F17" s="34"/>
      <c r="G17" s="34"/>
      <c r="H17" s="34"/>
      <c r="I17" s="34"/>
      <c r="J17" s="34"/>
      <c r="K17" s="34"/>
      <c r="L17" s="34"/>
      <c r="M17" s="34"/>
      <c r="N17" s="34"/>
      <c r="O17" s="34"/>
      <c r="P17" s="34"/>
      <c r="Q17" s="34"/>
      <c r="R17" s="34"/>
    </row>
    <row r="18" spans="1:19" ht="25.5" customHeight="1">
      <c r="A18" s="34"/>
      <c r="B18" s="34"/>
      <c r="C18" s="34"/>
      <c r="D18" s="34"/>
      <c r="E18" s="34"/>
      <c r="F18" s="34"/>
      <c r="G18" s="34"/>
      <c r="H18" s="34"/>
      <c r="I18" s="34"/>
      <c r="J18" s="34"/>
      <c r="K18" s="34"/>
      <c r="L18" s="34"/>
      <c r="M18" s="34"/>
      <c r="N18" s="34"/>
      <c r="O18" s="34"/>
      <c r="P18" s="34"/>
      <c r="Q18" s="34"/>
      <c r="R18" s="34"/>
    </row>
    <row r="19" spans="1:19" ht="25.5" customHeight="1">
      <c r="A19" s="34"/>
      <c r="B19" s="34"/>
      <c r="C19" s="34"/>
      <c r="D19" s="34"/>
      <c r="E19" s="34"/>
      <c r="F19" s="34"/>
      <c r="G19" s="34"/>
      <c r="H19" s="34"/>
      <c r="I19" s="34"/>
      <c r="J19" s="34"/>
      <c r="K19" s="34"/>
      <c r="L19" s="34"/>
      <c r="M19" s="34"/>
      <c r="N19" s="34"/>
      <c r="O19" s="34"/>
      <c r="P19" s="34"/>
      <c r="Q19" s="34"/>
      <c r="R19" s="34"/>
    </row>
    <row r="20" spans="1:19" ht="25.5" customHeight="1">
      <c r="A20" s="34"/>
      <c r="B20" s="34"/>
      <c r="C20" s="34"/>
      <c r="D20" s="34"/>
      <c r="E20" s="34"/>
      <c r="F20" s="34"/>
      <c r="G20" s="34"/>
      <c r="H20" s="34"/>
      <c r="I20" s="34"/>
      <c r="J20" s="34"/>
      <c r="K20" s="34"/>
      <c r="L20" s="34"/>
      <c r="M20" s="34"/>
      <c r="N20" s="34"/>
      <c r="O20" s="34"/>
      <c r="P20" s="34"/>
      <c r="Q20" s="34"/>
      <c r="R20" s="34"/>
    </row>
    <row r="21" spans="1:19" ht="25.5" customHeight="1">
      <c r="A21" s="34"/>
      <c r="B21" s="34"/>
      <c r="C21" s="34"/>
      <c r="D21" s="34"/>
      <c r="E21" s="34"/>
      <c r="F21" s="34"/>
      <c r="G21" s="34"/>
      <c r="H21" s="34"/>
      <c r="I21" s="34"/>
      <c r="J21" s="34"/>
      <c r="K21" s="34"/>
      <c r="L21" s="34"/>
      <c r="M21" s="34"/>
      <c r="N21" s="34"/>
      <c r="O21" s="34"/>
      <c r="P21" s="34"/>
      <c r="Q21" s="34"/>
      <c r="R21" s="34"/>
    </row>
    <row r="22" spans="1:19" ht="25.5" customHeight="1">
      <c r="A22" s="34"/>
      <c r="B22" s="34"/>
      <c r="C22" s="34"/>
      <c r="D22" s="34"/>
      <c r="E22" s="34"/>
      <c r="F22" s="34"/>
      <c r="G22" s="34"/>
      <c r="H22" s="34"/>
      <c r="I22" s="34"/>
      <c r="J22" s="34"/>
      <c r="K22" s="34"/>
      <c r="L22" s="34"/>
      <c r="M22" s="34"/>
      <c r="N22" s="34"/>
      <c r="O22" s="34"/>
      <c r="P22" s="34"/>
      <c r="Q22" s="34"/>
      <c r="R22" s="34"/>
    </row>
    <row r="23" spans="1:19" ht="25.5" customHeight="1">
      <c r="A23" s="34"/>
      <c r="B23" s="34"/>
      <c r="C23" s="34"/>
      <c r="D23" s="34"/>
      <c r="E23" s="34"/>
      <c r="F23" s="34"/>
      <c r="G23" s="34"/>
      <c r="H23" s="34"/>
      <c r="I23" s="34"/>
      <c r="J23" s="34"/>
      <c r="K23" s="34"/>
      <c r="L23" s="34"/>
      <c r="M23" s="34"/>
      <c r="N23" s="34"/>
      <c r="O23" s="34"/>
      <c r="P23" s="34"/>
      <c r="Q23" s="34"/>
      <c r="R23" s="34"/>
    </row>
    <row r="24" spans="1:19" ht="25.5" customHeight="1">
      <c r="A24" s="34"/>
      <c r="B24" s="34"/>
      <c r="C24" s="34"/>
      <c r="D24" s="34"/>
      <c r="E24" s="34"/>
      <c r="F24" s="34"/>
      <c r="G24" s="34"/>
      <c r="H24" s="34"/>
      <c r="I24" s="34"/>
      <c r="J24" s="34"/>
      <c r="K24" s="34"/>
      <c r="L24" s="34"/>
      <c r="M24" s="34"/>
      <c r="N24" s="34"/>
      <c r="O24" s="34"/>
      <c r="P24" s="34"/>
      <c r="Q24" s="34"/>
      <c r="R24" s="34"/>
    </row>
    <row r="25" spans="1:19" ht="25.5" customHeight="1">
      <c r="A25" s="34"/>
      <c r="B25" s="34"/>
      <c r="C25" s="34"/>
      <c r="D25" s="34"/>
      <c r="E25" s="34"/>
      <c r="F25" s="34"/>
      <c r="G25" s="34"/>
      <c r="H25" s="34"/>
      <c r="I25" s="34"/>
      <c r="J25" s="34"/>
      <c r="K25" s="34"/>
      <c r="L25" s="34"/>
      <c r="M25" s="34"/>
      <c r="N25" s="34"/>
      <c r="O25" s="34"/>
      <c r="P25" s="34"/>
      <c r="Q25" s="34"/>
      <c r="R25" s="34"/>
    </row>
    <row r="26" spans="1:19" ht="25.5" customHeight="1">
      <c r="A26" s="34"/>
      <c r="B26" s="34"/>
      <c r="C26" s="34"/>
      <c r="D26" s="34"/>
      <c r="E26" s="34"/>
      <c r="F26" s="34"/>
      <c r="G26" s="34"/>
      <c r="H26" s="34"/>
      <c r="I26" s="34"/>
      <c r="J26" s="34"/>
      <c r="K26" s="34"/>
      <c r="L26" s="34"/>
      <c r="M26" s="34"/>
      <c r="N26" s="34"/>
      <c r="O26" s="34"/>
      <c r="P26" s="34"/>
      <c r="Q26" s="34"/>
      <c r="R26" s="34"/>
    </row>
    <row r="27" spans="1:19" ht="25.5" customHeight="1">
      <c r="A27" s="34"/>
      <c r="B27" s="34"/>
      <c r="C27" s="34"/>
      <c r="D27" s="34"/>
      <c r="E27" s="34"/>
      <c r="F27" s="34"/>
      <c r="G27" s="34"/>
      <c r="H27" s="34"/>
      <c r="I27" s="34"/>
      <c r="J27" s="34"/>
      <c r="K27" s="34"/>
      <c r="L27" s="34"/>
      <c r="M27" s="34"/>
      <c r="N27" s="34"/>
      <c r="O27" s="34"/>
      <c r="P27" s="34"/>
      <c r="Q27" s="34"/>
      <c r="R27" s="34"/>
      <c r="S27" s="84" t="s">
        <v>33</v>
      </c>
    </row>
    <row r="28" spans="1:19" ht="25.5" customHeight="1">
      <c r="A28" s="34"/>
      <c r="B28" s="34"/>
      <c r="C28" s="34"/>
      <c r="D28" s="34"/>
      <c r="E28" s="34"/>
      <c r="F28" s="34"/>
      <c r="G28" s="34"/>
      <c r="H28" s="34"/>
      <c r="I28" s="34"/>
      <c r="J28" s="34"/>
      <c r="K28" s="34"/>
      <c r="L28" s="34"/>
      <c r="M28" s="34"/>
      <c r="N28" s="34"/>
      <c r="O28" s="34"/>
      <c r="P28" s="34"/>
      <c r="Q28" s="34"/>
      <c r="R28" s="34"/>
    </row>
    <row r="29" spans="1:19" ht="25.5" customHeight="1">
      <c r="A29" s="34"/>
      <c r="B29" s="34"/>
      <c r="C29" s="34"/>
      <c r="D29" s="34"/>
      <c r="E29" s="34"/>
      <c r="F29" s="34"/>
      <c r="G29" s="34"/>
      <c r="H29" s="34"/>
      <c r="I29" s="34"/>
      <c r="J29" s="34"/>
      <c r="K29" s="34"/>
      <c r="L29" s="34"/>
      <c r="M29" s="34"/>
      <c r="N29" s="34"/>
      <c r="O29" s="34"/>
      <c r="P29" s="34"/>
      <c r="Q29" s="34"/>
      <c r="R29" s="34"/>
    </row>
    <row r="30" spans="1:19" ht="25.5" customHeight="1">
      <c r="A30" s="34"/>
      <c r="B30" s="34"/>
      <c r="C30" s="34"/>
      <c r="D30" s="34"/>
      <c r="E30" s="34"/>
      <c r="F30" s="34"/>
      <c r="G30" s="34"/>
      <c r="H30" s="34"/>
      <c r="I30" s="34"/>
      <c r="J30" s="34"/>
      <c r="K30" s="34"/>
      <c r="L30" s="34"/>
      <c r="M30" s="34"/>
      <c r="N30" s="34"/>
      <c r="O30" s="34"/>
      <c r="P30" s="34"/>
      <c r="Q30" s="34"/>
      <c r="R30" s="34"/>
    </row>
    <row r="31" spans="1:19" ht="25.5" customHeight="1">
      <c r="A31" s="34"/>
      <c r="B31" s="34"/>
      <c r="C31" s="34"/>
      <c r="D31" s="34"/>
      <c r="E31" s="34"/>
      <c r="F31" s="34"/>
      <c r="G31" s="34"/>
      <c r="H31" s="34"/>
      <c r="I31" s="34"/>
      <c r="J31" s="34"/>
      <c r="K31" s="34"/>
      <c r="L31" s="34"/>
      <c r="M31" s="34"/>
      <c r="N31" s="34"/>
      <c r="O31" s="34"/>
      <c r="P31" s="34"/>
      <c r="Q31" s="34"/>
      <c r="R31" s="34"/>
    </row>
    <row r="32" spans="1:19" ht="25.5" customHeight="1">
      <c r="A32" s="34"/>
      <c r="B32" s="34"/>
      <c r="C32" s="34"/>
      <c r="D32" s="34"/>
      <c r="E32" s="34"/>
      <c r="F32" s="34"/>
      <c r="G32" s="34"/>
      <c r="H32" s="34"/>
      <c r="I32" s="34"/>
      <c r="J32" s="34"/>
      <c r="K32" s="34"/>
      <c r="L32" s="34"/>
      <c r="M32" s="34"/>
      <c r="N32" s="34"/>
      <c r="O32" s="34"/>
      <c r="P32" s="34"/>
      <c r="Q32" s="34"/>
      <c r="R32" s="34"/>
    </row>
    <row r="33" spans="1:26" ht="25.5" customHeight="1">
      <c r="A33" s="34"/>
      <c r="B33" s="34"/>
      <c r="C33" s="34"/>
      <c r="D33" s="34"/>
      <c r="E33" s="34"/>
      <c r="F33" s="34"/>
      <c r="G33" s="34"/>
      <c r="H33" s="34"/>
      <c r="I33" s="34"/>
      <c r="J33" s="34"/>
      <c r="K33" s="34"/>
      <c r="L33" s="34"/>
      <c r="M33" s="34"/>
      <c r="N33" s="34"/>
      <c r="O33" s="34"/>
      <c r="P33" s="34"/>
      <c r="Q33" s="34"/>
      <c r="R33" s="34"/>
    </row>
    <row r="34" spans="1:26" ht="25.5" customHeight="1">
      <c r="A34" s="34"/>
      <c r="B34" s="34"/>
      <c r="C34" s="34"/>
      <c r="D34" s="34"/>
      <c r="E34" s="34"/>
      <c r="F34" s="34"/>
      <c r="G34" s="34"/>
      <c r="H34" s="34"/>
      <c r="I34" s="34"/>
      <c r="J34" s="34"/>
      <c r="K34" s="34"/>
      <c r="L34" s="34"/>
      <c r="M34" s="34"/>
      <c r="N34" s="34"/>
      <c r="O34" s="34"/>
      <c r="P34" s="34"/>
      <c r="Q34" s="34"/>
      <c r="R34" s="34"/>
    </row>
    <row r="35" spans="1:26">
      <c r="S35" s="104"/>
      <c r="T35" s="104"/>
      <c r="U35" s="104"/>
      <c r="V35" s="104"/>
      <c r="W35" s="104"/>
      <c r="X35" s="104"/>
    </row>
    <row r="36" spans="1:26">
      <c r="S36" s="104"/>
      <c r="T36" s="104"/>
      <c r="U36" s="104"/>
      <c r="V36" s="104"/>
      <c r="W36" s="104"/>
      <c r="X36" s="104"/>
    </row>
    <row r="37" spans="1:26">
      <c r="S37" s="104"/>
      <c r="T37" s="104"/>
      <c r="U37" s="104"/>
      <c r="V37" s="104"/>
      <c r="W37" s="104"/>
      <c r="X37" s="104"/>
    </row>
    <row r="38" spans="1:26">
      <c r="S38" s="104"/>
      <c r="T38" s="104"/>
      <c r="U38" s="104"/>
      <c r="V38" s="104"/>
      <c r="W38" s="104"/>
      <c r="X38" s="104"/>
    </row>
    <row r="39" spans="1:26" ht="51" customHeight="1">
      <c r="S39" s="104"/>
      <c r="T39" s="104"/>
      <c r="U39" s="104"/>
      <c r="V39" s="104"/>
      <c r="W39" s="104"/>
      <c r="X39" s="104"/>
    </row>
    <row r="40" spans="1:26"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04"/>
      <c r="W40" s="104"/>
      <c r="X40" s="104"/>
    </row>
    <row r="41" spans="1:26">
      <c r="S41" s="104"/>
    </row>
    <row r="42" spans="1:26">
      <c r="S42" s="104"/>
    </row>
    <row r="43" spans="1:26">
      <c r="S43" s="104"/>
    </row>
    <row r="44" spans="1:26">
      <c r="S44" s="104"/>
    </row>
    <row r="45" spans="1:26">
      <c r="S45" s="104"/>
    </row>
    <row r="46" spans="1:26">
      <c r="S46" s="104"/>
      <c r="T46" s="104"/>
      <c r="U46" s="104"/>
      <c r="V46" s="104"/>
      <c r="W46" s="104"/>
      <c r="X46" s="104"/>
      <c r="Y46" s="104"/>
      <c r="Z46" s="104"/>
    </row>
    <row r="47" spans="1:26">
      <c r="S47" s="104"/>
      <c r="T47" s="104"/>
      <c r="U47" s="104"/>
      <c r="V47" s="104"/>
      <c r="W47" s="104"/>
      <c r="X47" s="104"/>
      <c r="Y47" s="104"/>
      <c r="Z47" s="104"/>
    </row>
    <row r="48" spans="1:26">
      <c r="S48" s="104"/>
      <c r="T48" s="104"/>
      <c r="U48" s="104"/>
      <c r="V48" s="104"/>
      <c r="W48" s="104"/>
      <c r="X48" s="104"/>
      <c r="Y48" s="104"/>
      <c r="Z48" s="104"/>
    </row>
    <row r="49" spans="2:26">
      <c r="S49" s="104"/>
      <c r="T49" s="104"/>
      <c r="U49" s="104"/>
      <c r="V49" s="104"/>
      <c r="W49" s="104"/>
      <c r="X49" s="104"/>
      <c r="Y49" s="104"/>
      <c r="Z49" s="104"/>
    </row>
    <row r="50" spans="2:26">
      <c r="S50" s="104"/>
      <c r="T50" s="104"/>
      <c r="U50" s="104"/>
      <c r="V50" s="104"/>
      <c r="W50" s="104"/>
      <c r="X50" s="104"/>
      <c r="Y50" s="104"/>
      <c r="Z50" s="104"/>
    </row>
    <row r="51" spans="2:26">
      <c r="S51" s="104"/>
      <c r="T51" s="104"/>
      <c r="U51" s="104"/>
      <c r="V51" s="104"/>
      <c r="W51" s="104"/>
      <c r="X51" s="104"/>
      <c r="Y51" s="104"/>
      <c r="Z51" s="104"/>
    </row>
    <row r="52" spans="2:26">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71" spans="20:20">
      <c r="T71" s="104"/>
    </row>
    <row r="72" spans="20:20">
      <c r="T72" s="104"/>
    </row>
    <row r="73" spans="20:20">
      <c r="T73" s="104"/>
    </row>
    <row r="74" spans="20:20">
      <c r="T74" s="104"/>
    </row>
    <row r="75" spans="20:20">
      <c r="T75" s="104"/>
    </row>
    <row r="76" spans="20:20">
      <c r="T76" s="104"/>
    </row>
    <row r="77" spans="20:20">
      <c r="T77" s="104"/>
    </row>
    <row r="78" spans="20:20">
      <c r="T78" s="104"/>
    </row>
    <row r="88" spans="20:20">
      <c r="T88" s="104"/>
    </row>
    <row r="89" spans="20:20">
      <c r="T89" s="104"/>
    </row>
    <row r="90" spans="20:20">
      <c r="T90" s="104"/>
    </row>
    <row r="91" spans="20:20">
      <c r="T91" s="10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41.8554687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s="1113" customFormat="1" ht="90.75" customHeight="1">
      <c r="A1" s="1928"/>
      <c r="B1" s="1928"/>
      <c r="C1" s="1928"/>
      <c r="D1" s="1928"/>
      <c r="E1" s="1928"/>
      <c r="F1" s="1928"/>
      <c r="G1" s="1928"/>
      <c r="H1" s="1928"/>
      <c r="I1" s="1928"/>
      <c r="J1" s="1928"/>
      <c r="K1" s="1928"/>
      <c r="L1" s="1928"/>
      <c r="M1" s="1928"/>
      <c r="N1" s="1928"/>
      <c r="O1" s="1928"/>
      <c r="P1" s="1928"/>
    </row>
    <row r="2" spans="1:33" ht="357.75" customHeight="1">
      <c r="A2" s="1929" t="s">
        <v>430</v>
      </c>
      <c r="B2" s="1930"/>
      <c r="C2" s="1930"/>
      <c r="D2" s="1930"/>
      <c r="E2" s="1930"/>
      <c r="F2" s="1930"/>
      <c r="G2" s="1930"/>
      <c r="H2" s="1930"/>
      <c r="I2" s="1930"/>
      <c r="J2" s="1930"/>
      <c r="K2" s="1930"/>
      <c r="L2" s="1930"/>
      <c r="M2" s="1930"/>
      <c r="N2" s="1930"/>
      <c r="O2" s="1930"/>
      <c r="P2" s="1930"/>
      <c r="Q2" s="66"/>
      <c r="R2" s="66"/>
      <c r="S2" s="26"/>
      <c r="T2" s="26"/>
      <c r="U2" s="26"/>
      <c r="V2" s="26"/>
    </row>
    <row r="3" spans="1:33" ht="408.75" customHeight="1">
      <c r="A3" s="1931"/>
      <c r="B3" s="1931"/>
      <c r="C3" s="1931"/>
      <c r="D3" s="1931"/>
      <c r="E3" s="1931"/>
      <c r="F3" s="1931"/>
      <c r="G3" s="1931"/>
      <c r="H3" s="1931"/>
      <c r="I3" s="1931"/>
      <c r="J3" s="1931"/>
      <c r="K3" s="1931"/>
      <c r="L3" s="1931"/>
      <c r="M3" s="1931"/>
      <c r="N3" s="1931"/>
      <c r="O3" s="1931"/>
      <c r="P3" s="1931"/>
      <c r="Q3" s="66"/>
      <c r="R3" s="66"/>
      <c r="S3" s="26"/>
      <c r="T3" s="26"/>
      <c r="U3" s="26"/>
      <c r="V3" s="26"/>
    </row>
    <row r="4" spans="1:33" ht="361.5" customHeight="1">
      <c r="A4" s="1931"/>
      <c r="B4" s="1931"/>
      <c r="C4" s="1931"/>
      <c r="D4" s="1931"/>
      <c r="E4" s="1931"/>
      <c r="F4" s="1931"/>
      <c r="G4" s="1931"/>
      <c r="H4" s="1931"/>
      <c r="I4" s="1931"/>
      <c r="J4" s="1931"/>
      <c r="K4" s="1931"/>
      <c r="L4" s="1931"/>
      <c r="M4" s="1931"/>
      <c r="N4" s="1931"/>
      <c r="O4" s="1931"/>
      <c r="P4" s="1931"/>
      <c r="Q4" s="66"/>
      <c r="R4" s="66"/>
      <c r="S4" s="26"/>
      <c r="T4" s="26"/>
      <c r="U4" s="26"/>
      <c r="V4" s="26"/>
    </row>
    <row r="5" spans="1:33" ht="60.75" customHeight="1">
      <c r="A5" s="1932"/>
      <c r="B5" s="1932"/>
      <c r="C5" s="1932"/>
      <c r="D5" s="1932"/>
      <c r="E5" s="1932"/>
      <c r="F5" s="1932"/>
      <c r="G5" s="1932"/>
      <c r="H5" s="1932"/>
      <c r="I5" s="1932"/>
      <c r="J5" s="1932"/>
      <c r="K5" s="1932"/>
      <c r="L5" s="1932"/>
      <c r="M5" s="1932"/>
      <c r="N5" s="1932"/>
      <c r="O5" s="1932"/>
      <c r="P5" s="1932"/>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9"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5.75" customHeight="1">
      <c r="A1" s="1757"/>
      <c r="B1" s="1757"/>
      <c r="C1" s="1757"/>
      <c r="D1" s="1757"/>
      <c r="E1" s="1757"/>
      <c r="F1" s="1757"/>
      <c r="G1" s="1757"/>
      <c r="H1" s="1757"/>
      <c r="I1" s="1757"/>
      <c r="J1" s="1757"/>
      <c r="K1" s="1757"/>
      <c r="L1" s="1757"/>
      <c r="M1" s="1757"/>
      <c r="N1" s="1757"/>
      <c r="O1" s="1757"/>
      <c r="P1" s="1757"/>
    </row>
    <row r="2" spans="1:33" ht="408.75" customHeight="1">
      <c r="A2" s="1933" t="s">
        <v>437</v>
      </c>
      <c r="B2" s="1934"/>
      <c r="C2" s="1934"/>
      <c r="D2" s="1934"/>
      <c r="E2" s="1934"/>
      <c r="F2" s="1934"/>
      <c r="G2" s="1934"/>
      <c r="H2" s="1934"/>
      <c r="I2" s="1934"/>
      <c r="J2" s="1934"/>
      <c r="K2" s="1934"/>
      <c r="L2" s="1934"/>
      <c r="M2" s="1934"/>
      <c r="N2" s="1934"/>
      <c r="O2" s="1934"/>
      <c r="P2" s="1934"/>
      <c r="Q2" s="66"/>
      <c r="R2" s="66"/>
      <c r="S2" s="26"/>
      <c r="T2" s="26"/>
      <c r="U2" s="26"/>
      <c r="V2" s="26"/>
    </row>
    <row r="3" spans="1:33" ht="408.75" customHeight="1">
      <c r="A3" s="1934"/>
      <c r="B3" s="1934"/>
      <c r="C3" s="1934"/>
      <c r="D3" s="1934"/>
      <c r="E3" s="1934"/>
      <c r="F3" s="1934"/>
      <c r="G3" s="1934"/>
      <c r="H3" s="1934"/>
      <c r="I3" s="1934"/>
      <c r="J3" s="1934"/>
      <c r="K3" s="1934"/>
      <c r="L3" s="1934"/>
      <c r="M3" s="1934"/>
      <c r="N3" s="1934"/>
      <c r="O3" s="1934"/>
      <c r="P3" s="1934"/>
      <c r="Q3" s="66"/>
      <c r="R3" s="66"/>
      <c r="S3" s="26"/>
      <c r="T3" s="26"/>
      <c r="U3" s="26"/>
      <c r="V3" s="26"/>
    </row>
    <row r="4" spans="1:33" ht="409.5" customHeight="1">
      <c r="A4" s="1934"/>
      <c r="B4" s="1934"/>
      <c r="C4" s="1934"/>
      <c r="D4" s="1934"/>
      <c r="E4" s="1934"/>
      <c r="F4" s="1934"/>
      <c r="G4" s="1934"/>
      <c r="H4" s="1934"/>
      <c r="I4" s="1934"/>
      <c r="J4" s="1934"/>
      <c r="K4" s="1934"/>
      <c r="L4" s="1934"/>
      <c r="M4" s="1934"/>
      <c r="N4" s="1934"/>
      <c r="O4" s="1934"/>
      <c r="P4" s="1934"/>
      <c r="Q4" s="66"/>
      <c r="R4" s="66"/>
      <c r="S4" s="26"/>
      <c r="T4" s="26"/>
      <c r="U4" s="26"/>
      <c r="V4" s="26"/>
    </row>
    <row r="5" spans="1:33" ht="114.75" customHeight="1">
      <c r="A5" s="1934"/>
      <c r="B5" s="1934"/>
      <c r="C5" s="1934"/>
      <c r="D5" s="1934"/>
      <c r="E5" s="1934"/>
      <c r="F5" s="1934"/>
      <c r="G5" s="1934"/>
      <c r="H5" s="1934"/>
      <c r="I5" s="1934"/>
      <c r="J5" s="1934"/>
      <c r="K5" s="1934"/>
      <c r="L5" s="1934"/>
      <c r="M5" s="1934"/>
      <c r="N5" s="1934"/>
      <c r="O5" s="1934"/>
      <c r="P5" s="1934"/>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1.4257812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90.75" customHeight="1">
      <c r="A1" s="1753"/>
      <c r="B1" s="1753"/>
      <c r="C1" s="1753"/>
      <c r="D1" s="1753"/>
      <c r="E1" s="1753"/>
      <c r="F1" s="1753"/>
      <c r="G1" s="1753"/>
      <c r="H1" s="1753"/>
      <c r="I1" s="1753"/>
      <c r="J1" s="1753"/>
      <c r="K1" s="1753"/>
      <c r="L1" s="1753"/>
      <c r="M1" s="1753"/>
      <c r="N1" s="1753"/>
      <c r="O1" s="1753"/>
      <c r="P1" s="1753"/>
    </row>
    <row r="2" spans="1:33" ht="408.75" customHeight="1">
      <c r="A2" s="1925" t="s">
        <v>685</v>
      </c>
      <c r="B2" s="1926"/>
      <c r="C2" s="1926"/>
      <c r="D2" s="1926"/>
      <c r="E2" s="1926"/>
      <c r="F2" s="1926"/>
      <c r="G2" s="1926"/>
      <c r="H2" s="1926"/>
      <c r="I2" s="1926"/>
      <c r="J2" s="1926"/>
      <c r="K2" s="1926"/>
      <c r="L2" s="1926"/>
      <c r="M2" s="1926"/>
      <c r="N2" s="1926"/>
      <c r="O2" s="1926"/>
      <c r="P2" s="1926"/>
      <c r="Q2" s="66"/>
      <c r="R2" s="66"/>
      <c r="S2" s="26"/>
      <c r="T2" s="26"/>
      <c r="U2" s="26"/>
      <c r="V2" s="26"/>
    </row>
    <row r="3" spans="1:33" ht="408.75" customHeight="1">
      <c r="A3" s="1926"/>
      <c r="B3" s="1926"/>
      <c r="C3" s="1926"/>
      <c r="D3" s="1926"/>
      <c r="E3" s="1926"/>
      <c r="F3" s="1926"/>
      <c r="G3" s="1926"/>
      <c r="H3" s="1926"/>
      <c r="I3" s="1926"/>
      <c r="J3" s="1926"/>
      <c r="K3" s="1926"/>
      <c r="L3" s="1926"/>
      <c r="M3" s="1926"/>
      <c r="N3" s="1926"/>
      <c r="O3" s="1926"/>
      <c r="P3" s="1926"/>
      <c r="Q3" s="66"/>
      <c r="R3" s="66"/>
      <c r="S3" s="26"/>
      <c r="T3" s="26"/>
      <c r="U3" s="26"/>
      <c r="V3" s="26"/>
    </row>
    <row r="4" spans="1:33" ht="409.5" customHeight="1">
      <c r="A4" s="1926"/>
      <c r="B4" s="1926"/>
      <c r="C4" s="1926"/>
      <c r="D4" s="1926"/>
      <c r="E4" s="1926"/>
      <c r="F4" s="1926"/>
      <c r="G4" s="1926"/>
      <c r="H4" s="1926"/>
      <c r="I4" s="1926"/>
      <c r="J4" s="1926"/>
      <c r="K4" s="1926"/>
      <c r="L4" s="1926"/>
      <c r="M4" s="1926"/>
      <c r="N4" s="1926"/>
      <c r="O4" s="1926"/>
      <c r="P4" s="1926"/>
      <c r="Q4" s="66"/>
      <c r="R4" s="66"/>
      <c r="S4" s="26"/>
      <c r="T4" s="26"/>
      <c r="U4" s="26"/>
      <c r="V4" s="26"/>
    </row>
    <row r="5" spans="1:33" ht="386.25" customHeight="1">
      <c r="A5" s="1932"/>
      <c r="B5" s="1932"/>
      <c r="C5" s="1932"/>
      <c r="D5" s="1932"/>
      <c r="E5" s="1932"/>
      <c r="F5" s="1932"/>
      <c r="G5" s="1932"/>
      <c r="H5" s="1932"/>
      <c r="I5" s="1932"/>
      <c r="J5" s="1932"/>
      <c r="K5" s="1932"/>
      <c r="L5" s="1932"/>
      <c r="M5" s="1932"/>
      <c r="N5" s="1932"/>
      <c r="O5" s="1932"/>
      <c r="P5" s="1932"/>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755"/>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showGridLines="0" view="pageBreakPreview" zoomScale="85" zoomScaleNormal="100" zoomScaleSheetLayoutView="85" workbookViewId="0">
      <selection activeCell="O30" sqref="O30"/>
    </sheetView>
  </sheetViews>
  <sheetFormatPr baseColWidth="10" defaultColWidth="11.42578125" defaultRowHeight="15"/>
  <cols>
    <col min="1" max="6" width="11.42578125" style="84"/>
    <col min="7" max="7" width="13.42578125" style="84" customWidth="1"/>
    <col min="8" max="10" width="11.42578125" style="84"/>
    <col min="11" max="11" width="14" style="84" customWidth="1"/>
    <col min="12" max="12" width="13.140625" style="84" customWidth="1"/>
    <col min="13" max="14" width="11.42578125" style="84"/>
    <col min="15" max="15" width="19.7109375" style="84" customWidth="1"/>
    <col min="16" max="16384" width="11.42578125" style="84"/>
  </cols>
  <sheetData/>
  <pageMargins left="0.7" right="0.7" top="0.75" bottom="0.75" header="0.3" footer="0.3"/>
  <pageSetup scale="67" orientation="landscape" r:id="rId1"/>
  <rowBreaks count="1" manualBreakCount="1">
    <brk id="52" max="12" man="1"/>
  </row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showGridLines="0" view="pageBreakPreview" zoomScale="85" zoomScaleNormal="100" zoomScaleSheetLayoutView="85" workbookViewId="0">
      <selection activeCell="M39" sqref="M39"/>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9.7109375" style="84" customWidth="1"/>
    <col min="14" max="16384" width="11.42578125" style="84"/>
  </cols>
  <sheetData/>
  <pageMargins left="0.7" right="0.7" top="0.75" bottom="0.75" header="0.3" footer="0.3"/>
  <pageSetup scale="8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70" zoomScaleNormal="100" zoomScaleSheetLayoutView="70" workbookViewId="0">
      <selection activeCell="P36" sqref="P36"/>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67" orientation="landscape" r:id="rId1"/>
  <rowBreaks count="1" manualBreakCount="1">
    <brk id="53"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O4:O34"/>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4" width="11.42578125" style="84"/>
    <col min="15" max="15" width="25.5703125" style="84" customWidth="1"/>
    <col min="16" max="16384" width="11.42578125" style="84"/>
  </cols>
  <sheetData>
    <row r="4" ht="17.25" customHeight="1"/>
    <row r="20" spans="15:15">
      <c r="O20" s="1250"/>
    </row>
    <row r="29" spans="15:15">
      <c r="O29" s="1173"/>
    </row>
    <row r="30" spans="15:15">
      <c r="O30" s="1173"/>
    </row>
    <row r="34" spans="15:15">
      <c r="O34" s="1173"/>
    </row>
  </sheetData>
  <pageMargins left="0.70866141732283472" right="0.70866141732283472" top="0.74803149606299213" bottom="0.74803149606299213" header="0.31496062992125984" footer="0.31496062992125984"/>
  <pageSetup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54"/>
  <sheetViews>
    <sheetView showGridLines="0" view="pageBreakPreview" zoomScale="55" zoomScaleNormal="100" zoomScaleSheetLayoutView="55" workbookViewId="0">
      <selection activeCell="G15" sqref="G15"/>
    </sheetView>
  </sheetViews>
  <sheetFormatPr baseColWidth="10" defaultColWidth="11.42578125" defaultRowHeight="20.25" customHeight="1"/>
  <cols>
    <col min="1" max="1" width="20" style="261" customWidth="1"/>
    <col min="2" max="2" width="20.28515625" style="84" customWidth="1"/>
    <col min="3" max="3" width="24" style="84" customWidth="1"/>
    <col min="4" max="4" width="25.7109375" style="84" customWidth="1"/>
    <col min="5" max="5" width="21.5703125" style="84" customWidth="1"/>
    <col min="6" max="6" width="25.7109375" style="84" customWidth="1"/>
    <col min="7" max="7" width="69.7109375" style="84" customWidth="1"/>
    <col min="8" max="8" width="15.42578125" style="84" customWidth="1"/>
    <col min="9" max="9" width="29.85546875" style="84" customWidth="1"/>
    <col min="10" max="10" width="16.28515625" style="84" bestFit="1" customWidth="1"/>
    <col min="11" max="16384" width="11.42578125" style="84"/>
  </cols>
  <sheetData>
    <row r="1" spans="1:14" ht="109.5" customHeight="1">
      <c r="A1" s="1753"/>
      <c r="B1" s="1753"/>
      <c r="C1" s="1753"/>
      <c r="D1" s="1753"/>
      <c r="E1" s="1753"/>
      <c r="F1" s="1753"/>
      <c r="G1" s="1753"/>
      <c r="H1" s="1753"/>
      <c r="I1" s="1753"/>
      <c r="J1" s="1753"/>
      <c r="K1" s="1753"/>
      <c r="L1" s="1753"/>
      <c r="M1" s="1753"/>
    </row>
    <row r="2" spans="1:14" s="43" customFormat="1" ht="6.75" customHeight="1">
      <c r="A2" s="345"/>
      <c r="B2" s="345"/>
      <c r="C2" s="345"/>
      <c r="D2" s="345"/>
      <c r="E2" s="345"/>
      <c r="F2" s="345"/>
      <c r="G2" s="345"/>
      <c r="H2" s="345"/>
      <c r="I2" s="345"/>
      <c r="J2" s="345"/>
    </row>
    <row r="3" spans="1:14" ht="63" customHeight="1">
      <c r="A3" s="328" t="s">
        <v>251</v>
      </c>
      <c r="B3" s="326" t="s">
        <v>795</v>
      </c>
      <c r="C3" s="326" t="s">
        <v>568</v>
      </c>
      <c r="D3" s="328" t="s">
        <v>567</v>
      </c>
    </row>
    <row r="4" spans="1:14" ht="20.25" hidden="1" customHeight="1">
      <c r="A4" s="329" t="s">
        <v>234</v>
      </c>
      <c r="B4" s="1152">
        <v>53200</v>
      </c>
      <c r="C4" s="1152">
        <f>+'[2]I.1.1 Cobertura SDSS '!E4</f>
        <v>8742318</v>
      </c>
      <c r="D4" s="1153">
        <f t="shared" ref="D4:D16" si="0">B4/C4</f>
        <v>6.0853425830540596E-3</v>
      </c>
      <c r="E4" s="103"/>
    </row>
    <row r="5" spans="1:14" ht="20.25" hidden="1" customHeight="1">
      <c r="A5" s="329" t="s">
        <v>266</v>
      </c>
      <c r="B5" s="1152">
        <v>64713</v>
      </c>
      <c r="C5" s="1152">
        <f>+'[2]I.1.1 Cobertura SDSS '!E5</f>
        <v>8855026</v>
      </c>
      <c r="D5" s="1153">
        <f t="shared" si="0"/>
        <v>7.3080530762981381E-3</v>
      </c>
      <c r="E5" s="103"/>
    </row>
    <row r="6" spans="1:14" ht="20.25" customHeight="1">
      <c r="A6" s="518" t="s">
        <v>265</v>
      </c>
      <c r="B6" s="1154">
        <f>+'Afil. SFS'!E6</f>
        <v>253374</v>
      </c>
      <c r="C6" s="1155">
        <v>8968144</v>
      </c>
      <c r="D6" s="1156">
        <f t="shared" si="0"/>
        <v>2.8252668556615505E-2</v>
      </c>
      <c r="E6" s="103"/>
    </row>
    <row r="7" spans="1:14" ht="20.25" customHeight="1">
      <c r="A7" s="518" t="s">
        <v>264</v>
      </c>
      <c r="B7" s="1157">
        <f>+'Afil. SFS'!E7</f>
        <v>514040</v>
      </c>
      <c r="C7" s="1158">
        <v>9072308</v>
      </c>
      <c r="D7" s="1159">
        <f t="shared" si="0"/>
        <v>5.666033384228137E-2</v>
      </c>
      <c r="E7" s="1167"/>
      <c r="G7" s="154"/>
    </row>
    <row r="8" spans="1:14" ht="20.25" customHeight="1">
      <c r="A8" s="518" t="s">
        <v>179</v>
      </c>
      <c r="B8" s="1157">
        <f>+'Afil. SFS'!E8</f>
        <v>2559117</v>
      </c>
      <c r="C8" s="1158">
        <v>9175265</v>
      </c>
      <c r="D8" s="1159">
        <f t="shared" si="0"/>
        <v>0.27891477793829389</v>
      </c>
      <c r="E8" s="103"/>
    </row>
    <row r="9" spans="1:14" ht="20.25" customHeight="1">
      <c r="A9" s="518" t="s">
        <v>235</v>
      </c>
      <c r="B9" s="1157">
        <f>+'Afil. SFS'!E9</f>
        <v>2917157</v>
      </c>
      <c r="C9" s="1158">
        <v>9277181</v>
      </c>
      <c r="D9" s="1159">
        <f t="shared" si="0"/>
        <v>0.31444433389841159</v>
      </c>
      <c r="E9" s="103"/>
      <c r="F9" s="1168"/>
    </row>
    <row r="10" spans="1:14" ht="20.25" customHeight="1">
      <c r="A10" s="518" t="s">
        <v>236</v>
      </c>
      <c r="B10" s="1157">
        <f>+'Afil. SFS'!E10</f>
        <v>3514506</v>
      </c>
      <c r="C10" s="1158">
        <v>9378455</v>
      </c>
      <c r="D10" s="1159">
        <f t="shared" si="0"/>
        <v>0.37474253488447723</v>
      </c>
      <c r="E10" s="1165"/>
      <c r="F10" s="103"/>
      <c r="G10" s="104"/>
      <c r="H10" s="104"/>
    </row>
    <row r="11" spans="1:14" ht="20.25" customHeight="1">
      <c r="A11" s="518" t="s">
        <v>197</v>
      </c>
      <c r="B11" s="1157">
        <f>+'Afil. SFS'!E11</f>
        <v>4404974</v>
      </c>
      <c r="C11" s="1158">
        <v>9478612</v>
      </c>
      <c r="D11" s="1159">
        <f t="shared" si="0"/>
        <v>0.46472774705832459</v>
      </c>
      <c r="E11" s="103"/>
      <c r="F11" s="1166"/>
      <c r="G11" s="119"/>
      <c r="H11" s="54"/>
      <c r="N11" s="293"/>
    </row>
    <row r="12" spans="1:14" ht="20.25" customHeight="1">
      <c r="A12" s="518" t="s">
        <v>237</v>
      </c>
      <c r="B12" s="1157">
        <f>+'Afil. SFS'!E12</f>
        <v>4550576</v>
      </c>
      <c r="C12" s="1158">
        <v>9579983</v>
      </c>
      <c r="D12" s="1159">
        <f t="shared" si="0"/>
        <v>0.47500877611160686</v>
      </c>
      <c r="E12" s="103"/>
      <c r="F12" s="103"/>
      <c r="G12" s="104"/>
      <c r="H12" s="104"/>
    </row>
    <row r="13" spans="1:14" ht="20.25" customHeight="1">
      <c r="A13" s="519" t="s">
        <v>499</v>
      </c>
      <c r="B13" s="1157">
        <f>+'Afil. SFS'!E13</f>
        <v>5022465</v>
      </c>
      <c r="C13" s="1160">
        <v>9680534</v>
      </c>
      <c r="D13" s="1161">
        <f t="shared" si="0"/>
        <v>0.51882106916829174</v>
      </c>
      <c r="E13" s="103"/>
      <c r="F13" s="103"/>
      <c r="G13" s="104"/>
      <c r="H13" s="104"/>
    </row>
    <row r="14" spans="1:14" ht="20.25" customHeight="1">
      <c r="A14" s="519" t="s">
        <v>619</v>
      </c>
      <c r="B14" s="1157">
        <f>+'Afil. SFS'!E14</f>
        <v>5638332</v>
      </c>
      <c r="C14" s="1160">
        <v>9780743</v>
      </c>
      <c r="D14" s="1161">
        <f t="shared" si="0"/>
        <v>0.57647276899106747</v>
      </c>
      <c r="E14" s="103"/>
      <c r="F14" s="103"/>
      <c r="G14" s="104"/>
      <c r="H14" s="104"/>
    </row>
    <row r="15" spans="1:14" ht="20.25" customHeight="1">
      <c r="A15" s="519" t="s">
        <v>628</v>
      </c>
      <c r="B15" s="1157">
        <f>+'Afil. SFS'!E15</f>
        <v>6187615</v>
      </c>
      <c r="C15" s="1160">
        <v>9880505</v>
      </c>
      <c r="D15" s="1161">
        <f t="shared" si="0"/>
        <v>0.6262448123856017</v>
      </c>
      <c r="E15" s="103"/>
      <c r="F15" s="103"/>
      <c r="G15" s="104"/>
      <c r="H15" s="104"/>
    </row>
    <row r="16" spans="1:14" ht="22.5" customHeight="1">
      <c r="A16" s="520" t="s">
        <v>629</v>
      </c>
      <c r="B16" s="1162">
        <f>+'Afil. SFS'!E16</f>
        <v>6187785</v>
      </c>
      <c r="C16" s="1163">
        <v>9888817</v>
      </c>
      <c r="D16" s="1164">
        <f t="shared" si="0"/>
        <v>0.62573561630273877</v>
      </c>
      <c r="E16" s="104"/>
      <c r="F16" s="104"/>
      <c r="G16" s="104"/>
      <c r="H16" s="104"/>
      <c r="I16" s="104"/>
      <c r="J16" s="104"/>
    </row>
    <row r="17" spans="1:10" ht="20.25" customHeight="1">
      <c r="A17" s="1754" t="s">
        <v>887</v>
      </c>
      <c r="B17" s="1754"/>
      <c r="C17" s="1754"/>
      <c r="D17" s="1754"/>
      <c r="E17" s="1754"/>
      <c r="F17" s="104"/>
      <c r="G17" s="104"/>
      <c r="H17" s="104"/>
      <c r="I17" s="104"/>
      <c r="J17" s="104"/>
    </row>
    <row r="18" spans="1:10" ht="20.25" customHeight="1">
      <c r="A18" s="216"/>
      <c r="B18" s="17"/>
      <c r="C18" s="104"/>
      <c r="D18" s="104"/>
      <c r="E18" s="104"/>
      <c r="F18" s="104"/>
      <c r="G18" s="104"/>
      <c r="H18" s="104"/>
      <c r="I18" s="104"/>
      <c r="J18" s="104"/>
    </row>
    <row r="20" spans="1:10" ht="20.25" customHeight="1">
      <c r="F20"/>
    </row>
    <row r="45" ht="27.75" customHeight="1"/>
    <row r="46" ht="24" customHeight="1"/>
    <row r="47" ht="80.25" customHeight="1"/>
    <row r="48" ht="25.5" customHeight="1"/>
    <row r="49" spans="1:7" ht="25.5" customHeight="1"/>
    <row r="50" spans="1:7" ht="25.5" customHeight="1"/>
    <row r="51" spans="1:7" ht="27.75" customHeight="1">
      <c r="A51" s="1752"/>
      <c r="B51" s="1752"/>
      <c r="C51" s="1752"/>
      <c r="D51" s="1752"/>
      <c r="E51" s="146"/>
      <c r="F51" s="146"/>
      <c r="G51" s="146"/>
    </row>
    <row r="52" spans="1:7" ht="24" customHeight="1">
      <c r="A52" s="1752"/>
      <c r="B52" s="1752"/>
      <c r="C52" s="1752"/>
      <c r="D52" s="1752"/>
      <c r="E52" s="146"/>
      <c r="F52" s="146"/>
      <c r="G52" s="146"/>
    </row>
    <row r="53" spans="1:7" ht="24" customHeight="1"/>
    <row r="54" spans="1:7" ht="26.25" customHeight="1"/>
  </sheetData>
  <mergeCells count="3">
    <mergeCell ref="A51:D52"/>
    <mergeCell ref="A1:M1"/>
    <mergeCell ref="A17:E17"/>
  </mergeCells>
  <printOptions horizontalCentered="1" verticalCentered="1"/>
  <pageMargins left="0.39370078740157483" right="0.39370078740157483" top="0.39370078740157483" bottom="0.23622047244094491" header="0.23622047244094491" footer="0.31496062992125984"/>
  <pageSetup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7"/>
  <sheetViews>
    <sheetView showGridLines="0" view="pageBreakPreview" zoomScale="70" zoomScaleNormal="100" zoomScaleSheetLayoutView="70" zoomScalePageLayoutView="62" workbookViewId="0">
      <selection activeCell="S14" sqref="S1:AA1048576"/>
    </sheetView>
  </sheetViews>
  <sheetFormatPr baseColWidth="10" defaultColWidth="11.42578125" defaultRowHeight="15"/>
  <cols>
    <col min="1" max="1" width="18.42578125" style="84" customWidth="1"/>
    <col min="2" max="2" width="18" style="84" customWidth="1"/>
    <col min="3" max="3" width="19.140625" style="84" customWidth="1"/>
    <col min="4" max="4" width="16.140625" style="84" customWidth="1"/>
    <col min="5" max="5" width="20.14062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8" width="14.5703125" style="84" customWidth="1"/>
    <col min="19" max="16384" width="11.42578125" style="84"/>
  </cols>
  <sheetData>
    <row r="1" spans="1:18" ht="98.25" customHeight="1">
      <c r="A1" s="1757"/>
      <c r="B1" s="1757"/>
      <c r="C1" s="1757"/>
      <c r="D1" s="1757"/>
      <c r="E1" s="1757"/>
      <c r="F1" s="1757"/>
      <c r="G1" s="1757"/>
      <c r="H1" s="1757"/>
      <c r="I1" s="1757"/>
      <c r="J1" s="1757"/>
      <c r="K1" s="1757"/>
      <c r="L1" s="1757"/>
      <c r="M1" s="1757"/>
      <c r="N1" s="1757"/>
      <c r="O1" s="1757"/>
      <c r="P1" s="1757"/>
      <c r="Q1" s="1757"/>
    </row>
    <row r="2" spans="1:18" ht="11.25" customHeight="1">
      <c r="A2" s="192"/>
      <c r="B2" s="192"/>
      <c r="C2" s="192"/>
      <c r="D2" s="192"/>
      <c r="E2" s="192"/>
      <c r="F2" s="192"/>
      <c r="G2" s="192"/>
      <c r="H2" s="192"/>
      <c r="I2" s="192"/>
      <c r="J2" s="192"/>
      <c r="K2" s="192"/>
      <c r="L2" s="192"/>
      <c r="M2" s="192"/>
      <c r="N2" s="192"/>
      <c r="O2" s="192"/>
      <c r="P2" s="192"/>
    </row>
    <row r="3" spans="1:18" ht="51" customHeight="1">
      <c r="A3" s="344" t="s">
        <v>251</v>
      </c>
      <c r="B3" s="326" t="s">
        <v>228</v>
      </c>
      <c r="C3" s="338" t="s">
        <v>631</v>
      </c>
      <c r="D3" s="326" t="s">
        <v>555</v>
      </c>
      <c r="E3" s="328" t="s">
        <v>586</v>
      </c>
      <c r="F3" s="326" t="s">
        <v>248</v>
      </c>
      <c r="G3" s="326" t="s">
        <v>249</v>
      </c>
      <c r="H3" s="327" t="s">
        <v>422</v>
      </c>
      <c r="I3" s="259"/>
      <c r="J3" s="259"/>
      <c r="K3" s="259"/>
      <c r="L3" s="259"/>
      <c r="M3" s="259"/>
      <c r="N3" s="259"/>
      <c r="O3" s="259"/>
      <c r="P3" s="260" t="s">
        <v>556</v>
      </c>
      <c r="Q3" s="66"/>
      <c r="R3" s="66"/>
    </row>
    <row r="4" spans="1:18" ht="25.5" hidden="1" customHeight="1">
      <c r="A4" s="329" t="s">
        <v>26</v>
      </c>
      <c r="B4" s="333"/>
      <c r="C4" s="334">
        <v>53200</v>
      </c>
      <c r="D4" s="335">
        <v>0</v>
      </c>
      <c r="E4" s="336">
        <f>B4+C4+D4</f>
        <v>53200</v>
      </c>
      <c r="F4" s="330"/>
      <c r="G4" s="331">
        <f t="shared" ref="G4:G12" si="0">C4/E4</f>
        <v>1</v>
      </c>
      <c r="H4" s="332"/>
      <c r="I4" s="254"/>
      <c r="J4" s="254"/>
      <c r="K4" s="254"/>
      <c r="L4" s="257"/>
      <c r="M4" s="255"/>
      <c r="N4" s="255"/>
      <c r="O4" s="256"/>
      <c r="P4" s="258">
        <f t="shared" ref="P4:P12" si="1">L4/E4</f>
        <v>0</v>
      </c>
      <c r="Q4" s="66"/>
      <c r="R4" s="66"/>
    </row>
    <row r="5" spans="1:18" ht="25.5" hidden="1" customHeight="1">
      <c r="A5" s="329" t="s">
        <v>27</v>
      </c>
      <c r="B5" s="334"/>
      <c r="C5" s="334">
        <v>64713</v>
      </c>
      <c r="D5" s="335">
        <v>0</v>
      </c>
      <c r="E5" s="336">
        <f>B5+C5+D5</f>
        <v>64713</v>
      </c>
      <c r="F5" s="330"/>
      <c r="G5" s="331">
        <f t="shared" si="0"/>
        <v>1</v>
      </c>
      <c r="H5" s="332"/>
      <c r="I5" s="254"/>
      <c r="J5" s="254"/>
      <c r="K5" s="254"/>
      <c r="L5" s="257"/>
      <c r="M5" s="255"/>
      <c r="N5" s="255"/>
      <c r="O5" s="256"/>
      <c r="P5" s="258">
        <f t="shared" si="1"/>
        <v>0</v>
      </c>
      <c r="Q5" s="66"/>
      <c r="R5" s="66"/>
    </row>
    <row r="6" spans="1:18" ht="25.5" customHeight="1">
      <c r="A6" s="420" t="s">
        <v>28</v>
      </c>
      <c r="B6" s="1318">
        <v>0</v>
      </c>
      <c r="C6" s="1174">
        <f>+' Afil anual SFS RS '!D6</f>
        <v>253374</v>
      </c>
      <c r="D6" s="1175">
        <v>0</v>
      </c>
      <c r="E6" s="428">
        <f>B6+C6+D6</f>
        <v>253374</v>
      </c>
      <c r="F6" s="1314">
        <v>0</v>
      </c>
      <c r="G6" s="423">
        <f t="shared" si="0"/>
        <v>1</v>
      </c>
      <c r="H6" s="424">
        <v>0</v>
      </c>
      <c r="I6" s="254"/>
      <c r="J6" s="254"/>
      <c r="K6" s="254"/>
      <c r="L6" s="257"/>
      <c r="M6" s="255"/>
      <c r="N6" s="255" t="s">
        <v>182</v>
      </c>
      <c r="O6" s="256"/>
      <c r="P6" s="258">
        <f t="shared" si="1"/>
        <v>0</v>
      </c>
      <c r="Q6" s="66"/>
      <c r="R6" s="66"/>
    </row>
    <row r="7" spans="1:18" ht="25.5" customHeight="1">
      <c r="A7" s="420" t="s">
        <v>29</v>
      </c>
      <c r="B7" s="1313">
        <v>0</v>
      </c>
      <c r="C7" s="421">
        <f>+' Afil anual SFS RS '!D7</f>
        <v>514040</v>
      </c>
      <c r="D7" s="1177">
        <v>0</v>
      </c>
      <c r="E7" s="417">
        <f t="shared" ref="E7:E16" si="2">B7+C7+D7</f>
        <v>514040</v>
      </c>
      <c r="F7" s="1314">
        <v>0</v>
      </c>
      <c r="G7" s="423">
        <f t="shared" si="0"/>
        <v>1</v>
      </c>
      <c r="H7" s="424">
        <v>0</v>
      </c>
      <c r="I7" s="254"/>
      <c r="J7" s="254"/>
      <c r="K7" s="254"/>
      <c r="L7" s="257"/>
      <c r="M7" s="255"/>
      <c r="N7" s="255"/>
      <c r="O7" s="256"/>
      <c r="P7" s="258">
        <f t="shared" si="1"/>
        <v>0</v>
      </c>
      <c r="Q7" s="66"/>
      <c r="R7" s="66"/>
    </row>
    <row r="8" spans="1:18" ht="25.5" customHeight="1">
      <c r="A8" s="420" t="s">
        <v>30</v>
      </c>
      <c r="B8" s="1176">
        <v>1477181</v>
      </c>
      <c r="C8" s="421">
        <f>+' Afil anual SFS RS '!D8</f>
        <v>1081936</v>
      </c>
      <c r="D8" s="1177">
        <v>0</v>
      </c>
      <c r="E8" s="417">
        <f t="shared" si="2"/>
        <v>2559117</v>
      </c>
      <c r="F8" s="423">
        <f t="shared" ref="F8:F16" si="3">B8/E8</f>
        <v>0.57722292493856275</v>
      </c>
      <c r="G8" s="423">
        <f t="shared" si="0"/>
        <v>0.42277707506143719</v>
      </c>
      <c r="H8" s="424">
        <v>0</v>
      </c>
      <c r="I8" s="254"/>
      <c r="J8" s="254"/>
      <c r="K8" s="254"/>
      <c r="L8" s="257"/>
      <c r="M8" s="255"/>
      <c r="N8" s="255"/>
      <c r="O8" s="256"/>
      <c r="P8" s="258">
        <f t="shared" si="1"/>
        <v>0</v>
      </c>
      <c r="Q8" s="66"/>
      <c r="R8" s="66"/>
    </row>
    <row r="9" spans="1:18" ht="25.5" customHeight="1">
      <c r="A9" s="420" t="s">
        <v>31</v>
      </c>
      <c r="B9" s="1176">
        <v>1692259</v>
      </c>
      <c r="C9" s="421">
        <f>+' Afil anual SFS RS '!D9</f>
        <v>1224898</v>
      </c>
      <c r="D9" s="1177">
        <v>0</v>
      </c>
      <c r="E9" s="417">
        <f t="shared" si="2"/>
        <v>2917157</v>
      </c>
      <c r="F9" s="423">
        <f t="shared" si="3"/>
        <v>0.58010556168214467</v>
      </c>
      <c r="G9" s="423">
        <f t="shared" si="0"/>
        <v>0.41989443831785539</v>
      </c>
      <c r="H9" s="424">
        <v>0</v>
      </c>
      <c r="I9" s="254"/>
      <c r="J9" s="254"/>
      <c r="K9" s="254"/>
      <c r="L9" s="257"/>
      <c r="M9" s="255"/>
      <c r="N9" s="255"/>
      <c r="O9" s="256"/>
      <c r="P9" s="258">
        <f t="shared" si="1"/>
        <v>0</v>
      </c>
      <c r="Q9" s="66"/>
      <c r="R9" s="66"/>
    </row>
    <row r="10" spans="1:18" ht="25.5" customHeight="1">
      <c r="A10" s="420" t="s">
        <v>32</v>
      </c>
      <c r="B10" s="1176">
        <v>2088299</v>
      </c>
      <c r="C10" s="421">
        <f>+' Afil anual SFS RS '!D10</f>
        <v>1404225</v>
      </c>
      <c r="D10" s="1178">
        <v>21982</v>
      </c>
      <c r="E10" s="417">
        <f t="shared" si="2"/>
        <v>3514506</v>
      </c>
      <c r="F10" s="423">
        <f t="shared" si="3"/>
        <v>0.59419417693411247</v>
      </c>
      <c r="G10" s="423">
        <f t="shared" si="0"/>
        <v>0.39955117447516092</v>
      </c>
      <c r="H10" s="425">
        <f t="shared" ref="H10:H16" si="4">D10/E10</f>
        <v>6.2546485907265491E-3</v>
      </c>
      <c r="I10" s="254"/>
      <c r="J10" s="254"/>
      <c r="K10" s="254"/>
      <c r="L10" s="257"/>
      <c r="M10" s="255"/>
      <c r="N10" s="255"/>
      <c r="O10" s="255"/>
      <c r="P10" s="258">
        <f t="shared" si="1"/>
        <v>0</v>
      </c>
      <c r="Q10" s="66"/>
      <c r="R10" s="66"/>
    </row>
    <row r="11" spans="1:18" ht="25.5" customHeight="1">
      <c r="A11" s="420" t="s">
        <v>196</v>
      </c>
      <c r="B11" s="1176">
        <v>2364083</v>
      </c>
      <c r="C11" s="421">
        <f>+' Afil anual SFS RS '!D11</f>
        <v>2013786</v>
      </c>
      <c r="D11" s="1178">
        <v>27105</v>
      </c>
      <c r="E11" s="417">
        <f t="shared" si="2"/>
        <v>4404974</v>
      </c>
      <c r="F11" s="423">
        <f t="shared" si="3"/>
        <v>0.53668489303228573</v>
      </c>
      <c r="G11" s="423">
        <f t="shared" si="0"/>
        <v>0.45716183568847396</v>
      </c>
      <c r="H11" s="425">
        <f t="shared" si="4"/>
        <v>6.1532712792402404E-3</v>
      </c>
      <c r="I11" s="254"/>
      <c r="J11" s="254"/>
      <c r="K11" s="254"/>
      <c r="L11" s="257"/>
      <c r="M11" s="255"/>
      <c r="N11" s="255"/>
      <c r="O11" s="255"/>
      <c r="P11" s="258">
        <f t="shared" si="1"/>
        <v>0</v>
      </c>
      <c r="Q11" s="66"/>
      <c r="R11" s="66"/>
    </row>
    <row r="12" spans="1:18" ht="25.5" customHeight="1">
      <c r="A12" s="420" t="s">
        <v>244</v>
      </c>
      <c r="B12" s="1176">
        <v>2517423</v>
      </c>
      <c r="C12" s="421">
        <f>+' Afil anual SFS RS '!D12</f>
        <v>2003427</v>
      </c>
      <c r="D12" s="1178">
        <v>29726</v>
      </c>
      <c r="E12" s="417">
        <f t="shared" si="2"/>
        <v>4550576</v>
      </c>
      <c r="F12" s="423">
        <f t="shared" si="3"/>
        <v>0.55320974751328178</v>
      </c>
      <c r="G12" s="423">
        <f t="shared" si="0"/>
        <v>0.44025789262721904</v>
      </c>
      <c r="H12" s="425">
        <f t="shared" si="4"/>
        <v>6.5323598594991053E-3</v>
      </c>
      <c r="I12" s="254"/>
      <c r="J12" s="254"/>
      <c r="K12" s="1169"/>
      <c r="L12" s="257"/>
      <c r="M12" s="255"/>
      <c r="N12" s="255"/>
      <c r="O12" s="255"/>
      <c r="P12" s="258">
        <f t="shared" si="1"/>
        <v>0</v>
      </c>
      <c r="Q12" s="66"/>
      <c r="R12" s="66"/>
    </row>
    <row r="13" spans="1:18" ht="25.5" customHeight="1">
      <c r="A13" s="420" t="s">
        <v>498</v>
      </c>
      <c r="B13" s="1176">
        <v>2688411</v>
      </c>
      <c r="C13" s="421">
        <f>+' Afil anual SFS RS '!D13</f>
        <v>2303351</v>
      </c>
      <c r="D13" s="1178">
        <v>30703</v>
      </c>
      <c r="E13" s="417">
        <f t="shared" si="2"/>
        <v>5022465</v>
      </c>
      <c r="F13" s="423">
        <f t="shared" si="3"/>
        <v>0.53527719954245578</v>
      </c>
      <c r="G13" s="423">
        <f>C13/E13</f>
        <v>0.45860966676721493</v>
      </c>
      <c r="H13" s="425">
        <f t="shared" si="4"/>
        <v>6.1131336903293499E-3</v>
      </c>
      <c r="I13" s="254"/>
      <c r="J13" s="254"/>
      <c r="K13" s="254"/>
      <c r="L13" s="257"/>
      <c r="M13" s="255"/>
      <c r="N13" s="255"/>
      <c r="O13" s="255"/>
      <c r="P13" s="258"/>
      <c r="Q13" s="66"/>
      <c r="R13" s="66"/>
    </row>
    <row r="14" spans="1:18" ht="25.5" customHeight="1">
      <c r="A14" s="420" t="s">
        <v>589</v>
      </c>
      <c r="B14" s="1176">
        <v>2859306</v>
      </c>
      <c r="C14" s="421">
        <f>+' Afil anual SFS RS '!D14</f>
        <v>2751753</v>
      </c>
      <c r="D14" s="1178">
        <v>27273</v>
      </c>
      <c r="E14" s="417">
        <f t="shared" si="2"/>
        <v>5638332</v>
      </c>
      <c r="F14" s="423">
        <f t="shared" si="3"/>
        <v>0.50711912672045567</v>
      </c>
      <c r="G14" s="423">
        <f>C14/E14</f>
        <v>0.48804380444429307</v>
      </c>
      <c r="H14" s="425">
        <f t="shared" si="4"/>
        <v>4.8370688352512761E-3</v>
      </c>
      <c r="I14" s="254"/>
      <c r="J14" s="254"/>
      <c r="K14" s="254"/>
      <c r="L14" s="257"/>
      <c r="M14" s="255"/>
      <c r="N14" s="255"/>
      <c r="O14" s="255"/>
      <c r="P14" s="258"/>
      <c r="Q14" s="66"/>
      <c r="R14" s="66"/>
    </row>
    <row r="15" spans="1:18" ht="25.5" customHeight="1">
      <c r="A15" s="420" t="s">
        <v>630</v>
      </c>
      <c r="B15" s="1176">
        <v>3141599</v>
      </c>
      <c r="C15" s="421">
        <f>+' Afil anual SFS RS '!D15</f>
        <v>3015646</v>
      </c>
      <c r="D15" s="1178">
        <v>30370</v>
      </c>
      <c r="E15" s="417">
        <f t="shared" si="2"/>
        <v>6187615</v>
      </c>
      <c r="F15" s="423">
        <f t="shared" si="3"/>
        <v>0.50772373523562797</v>
      </c>
      <c r="G15" s="423">
        <f>C15/E15</f>
        <v>0.48736807315904429</v>
      </c>
      <c r="H15" s="425">
        <f t="shared" si="4"/>
        <v>4.9081916053277394E-3</v>
      </c>
      <c r="I15" s="254"/>
      <c r="J15" s="254"/>
      <c r="K15" s="254"/>
      <c r="L15" s="257"/>
      <c r="M15" s="255"/>
      <c r="N15" s="255"/>
      <c r="O15" s="255"/>
      <c r="P15" s="258"/>
      <c r="Q15" s="66"/>
      <c r="R15" s="66"/>
    </row>
    <row r="16" spans="1:18" ht="25.5" customHeight="1">
      <c r="A16" s="422" t="s">
        <v>649</v>
      </c>
      <c r="B16" s="1179">
        <v>3155369</v>
      </c>
      <c r="C16" s="517">
        <f>+' Afil anual SFS RS '!D16</f>
        <v>3001981</v>
      </c>
      <c r="D16" s="1180">
        <v>30435</v>
      </c>
      <c r="E16" s="429">
        <f t="shared" si="2"/>
        <v>6187785</v>
      </c>
      <c r="F16" s="426">
        <f t="shared" si="3"/>
        <v>0.50993513834110271</v>
      </c>
      <c r="G16" s="426">
        <f>C16/E16</f>
        <v>0.4851463003320251</v>
      </c>
      <c r="H16" s="427">
        <f t="shared" si="4"/>
        <v>4.9185613268722169E-3</v>
      </c>
      <c r="I16" s="254"/>
      <c r="J16" s="254"/>
      <c r="K16" s="254"/>
      <c r="L16" s="257"/>
      <c r="M16" s="255"/>
      <c r="N16" s="255"/>
      <c r="O16" s="255"/>
      <c r="P16" s="258">
        <f>L16/E16</f>
        <v>0</v>
      </c>
      <c r="Q16" s="66"/>
      <c r="R16" s="66"/>
    </row>
    <row r="17" spans="1:24" ht="23.25" customHeight="1">
      <c r="A17" s="1756" t="s">
        <v>651</v>
      </c>
      <c r="B17" s="1756"/>
      <c r="C17" s="1756"/>
      <c r="D17" s="1756"/>
      <c r="E17" s="1756"/>
      <c r="F17" s="1756"/>
      <c r="G17" s="1756"/>
      <c r="H17" s="1756"/>
      <c r="I17" s="1756"/>
      <c r="J17" s="1756"/>
      <c r="K17" s="1756"/>
      <c r="L17" s="1756"/>
      <c r="M17" s="1756"/>
      <c r="N17" s="1756"/>
      <c r="O17" s="1756"/>
      <c r="P17" s="1756"/>
      <c r="Q17" s="66"/>
      <c r="R17" s="66"/>
    </row>
    <row r="18" spans="1:24" ht="25.5" customHeight="1">
      <c r="A18" s="34"/>
      <c r="B18" s="34"/>
      <c r="C18" s="34"/>
      <c r="D18" s="34"/>
      <c r="E18" s="34"/>
      <c r="F18" s="34"/>
      <c r="G18" s="34"/>
      <c r="H18" s="34"/>
      <c r="I18" s="34"/>
      <c r="J18" s="34"/>
      <c r="K18" s="34"/>
      <c r="L18" s="34"/>
      <c r="M18" s="34"/>
      <c r="N18" s="34"/>
      <c r="O18" s="34"/>
      <c r="P18" s="34"/>
      <c r="R18" s="66"/>
    </row>
    <row r="19" spans="1:24" ht="25.5" customHeight="1">
      <c r="A19" s="34"/>
      <c r="B19" s="34"/>
      <c r="C19" s="34"/>
      <c r="D19" s="34"/>
      <c r="E19" s="34"/>
      <c r="F19" s="34"/>
      <c r="G19" s="34"/>
      <c r="H19" s="34"/>
      <c r="I19" s="34"/>
      <c r="J19" s="34"/>
      <c r="K19" s="34"/>
      <c r="L19" s="34"/>
      <c r="M19" s="34"/>
      <c r="N19" s="34"/>
      <c r="O19" s="34"/>
      <c r="P19" s="34"/>
      <c r="Q19" s="34"/>
      <c r="R19" s="66"/>
    </row>
    <row r="20" spans="1:24" ht="25.5" customHeight="1">
      <c r="A20" s="34"/>
      <c r="B20" s="34"/>
      <c r="C20" s="34"/>
      <c r="D20" s="34"/>
      <c r="E20" s="34"/>
      <c r="F20" s="34"/>
      <c r="G20" s="34"/>
      <c r="H20" s="34"/>
      <c r="I20" s="34"/>
      <c r="J20" s="34"/>
      <c r="K20" s="34"/>
      <c r="L20" s="34"/>
      <c r="M20" s="34"/>
      <c r="N20" s="34"/>
      <c r="O20" s="34"/>
      <c r="P20" s="34"/>
      <c r="Q20" s="34"/>
      <c r="R20" s="66"/>
      <c r="X20" s="84" t="s">
        <v>33</v>
      </c>
    </row>
    <row r="21" spans="1:24" ht="25.5" customHeight="1">
      <c r="A21" s="34"/>
      <c r="B21" s="34"/>
      <c r="C21" s="34"/>
      <c r="D21" s="34"/>
      <c r="E21" s="34"/>
      <c r="F21" s="34"/>
      <c r="G21" s="34"/>
      <c r="H21" s="34"/>
      <c r="I21" s="34"/>
      <c r="J21" s="34"/>
      <c r="K21" s="34"/>
      <c r="L21" s="34"/>
      <c r="M21" s="34"/>
      <c r="N21" s="34"/>
      <c r="O21" s="34"/>
      <c r="P21" s="34"/>
      <c r="Q21" s="34"/>
      <c r="R21" s="66"/>
    </row>
    <row r="22" spans="1:24" ht="25.5" customHeight="1">
      <c r="A22" s="34"/>
      <c r="B22" s="34"/>
      <c r="C22" s="34"/>
      <c r="D22" s="34"/>
      <c r="E22" s="34"/>
      <c r="F22" s="34"/>
      <c r="G22" s="34"/>
      <c r="H22" s="34"/>
      <c r="I22" s="34"/>
      <c r="J22" s="34"/>
      <c r="K22" s="34"/>
      <c r="L22" s="34"/>
      <c r="M22" s="34"/>
      <c r="N22" s="34"/>
      <c r="O22" s="34"/>
      <c r="P22" s="34"/>
      <c r="Q22" s="34"/>
      <c r="R22" s="66"/>
    </row>
    <row r="23" spans="1:24" ht="25.5" customHeight="1">
      <c r="A23" s="34"/>
      <c r="B23" s="34"/>
      <c r="C23" s="34"/>
      <c r="D23" s="34"/>
      <c r="E23" s="34"/>
      <c r="F23" s="34"/>
      <c r="G23" s="34"/>
      <c r="H23" s="34"/>
      <c r="I23" s="34"/>
      <c r="J23" s="34"/>
      <c r="K23" s="34"/>
      <c r="L23" s="34"/>
      <c r="M23" s="34"/>
      <c r="N23" s="34"/>
      <c r="O23" s="34"/>
      <c r="P23" s="34"/>
      <c r="Q23" s="34"/>
      <c r="R23" s="66"/>
    </row>
    <row r="24" spans="1:24" ht="25.5" customHeight="1">
      <c r="A24" s="34"/>
      <c r="B24" s="34"/>
      <c r="C24" s="34"/>
      <c r="D24" s="34"/>
      <c r="E24" s="34"/>
      <c r="F24" s="34"/>
      <c r="G24" s="34"/>
      <c r="H24" s="34"/>
      <c r="I24" s="34"/>
      <c r="J24" s="34"/>
      <c r="K24" s="34"/>
      <c r="L24" s="34"/>
      <c r="M24" s="34"/>
      <c r="N24" s="34"/>
      <c r="O24" s="34"/>
      <c r="P24" s="34"/>
      <c r="Q24" s="34"/>
      <c r="R24" s="66"/>
    </row>
    <row r="25" spans="1:24" ht="25.5" customHeight="1">
      <c r="A25" s="34"/>
      <c r="B25" s="34"/>
      <c r="C25" s="34"/>
      <c r="D25" s="34"/>
      <c r="E25" s="34"/>
      <c r="F25" s="34"/>
      <c r="G25" s="34"/>
      <c r="H25" s="34"/>
      <c r="I25" s="34"/>
      <c r="J25" s="34"/>
      <c r="K25" s="34"/>
      <c r="L25" s="34"/>
      <c r="M25" s="34"/>
      <c r="N25" s="34"/>
      <c r="O25" s="34"/>
      <c r="P25" s="34"/>
      <c r="Q25" s="34"/>
      <c r="R25" s="66"/>
    </row>
    <row r="26" spans="1:24" ht="25.5" customHeight="1">
      <c r="A26" s="34"/>
      <c r="B26" s="34"/>
      <c r="C26" s="34"/>
      <c r="D26" s="34"/>
      <c r="E26" s="34"/>
      <c r="F26" s="34"/>
      <c r="G26" s="34"/>
      <c r="H26" s="34"/>
      <c r="I26" s="34"/>
      <c r="J26" s="34"/>
      <c r="K26" s="34"/>
      <c r="L26" s="34"/>
      <c r="M26" s="34"/>
      <c r="N26" s="34"/>
      <c r="O26" s="34"/>
      <c r="P26" s="34"/>
      <c r="Q26" s="34"/>
      <c r="R26" s="66"/>
    </row>
    <row r="27" spans="1:24" ht="25.5" customHeight="1">
      <c r="A27" s="34"/>
      <c r="B27" s="34"/>
      <c r="C27" s="34"/>
      <c r="D27" s="34"/>
      <c r="E27" s="34"/>
      <c r="F27" s="34"/>
      <c r="G27" s="34"/>
      <c r="H27" s="34"/>
      <c r="I27" s="34"/>
      <c r="J27" s="34"/>
      <c r="K27" s="34"/>
      <c r="L27" s="34"/>
      <c r="M27" s="34"/>
      <c r="N27" s="34"/>
      <c r="O27" s="34"/>
      <c r="P27" s="34"/>
      <c r="Q27" s="34"/>
      <c r="R27" s="34"/>
    </row>
    <row r="28" spans="1:24" ht="25.5" customHeight="1">
      <c r="A28" s="34"/>
      <c r="B28" s="34"/>
      <c r="C28" s="34"/>
      <c r="D28" s="34"/>
      <c r="E28" s="34"/>
      <c r="F28" s="34"/>
      <c r="G28" s="34"/>
      <c r="H28" s="34"/>
      <c r="I28" s="34"/>
      <c r="J28" s="34"/>
      <c r="K28" s="34"/>
      <c r="L28" s="34"/>
      <c r="M28" s="34"/>
      <c r="N28" s="34"/>
      <c r="O28" s="34"/>
      <c r="P28" s="34"/>
      <c r="Q28" s="34"/>
      <c r="R28" s="34"/>
    </row>
    <row r="29" spans="1:24" ht="25.5" customHeight="1">
      <c r="A29" s="34"/>
      <c r="B29" s="34"/>
      <c r="C29" s="34"/>
      <c r="D29" s="34"/>
      <c r="E29" s="34"/>
      <c r="F29" s="34"/>
      <c r="G29" s="34"/>
      <c r="H29" s="34"/>
      <c r="I29" s="34"/>
      <c r="J29" s="34"/>
      <c r="K29" s="34"/>
      <c r="L29" s="34"/>
      <c r="M29" s="34"/>
      <c r="N29" s="34"/>
      <c r="O29" s="34"/>
      <c r="P29" s="34"/>
      <c r="Q29" s="34"/>
      <c r="R29" s="34"/>
    </row>
    <row r="30" spans="1:24" ht="25.5" customHeight="1">
      <c r="A30" s="34"/>
      <c r="B30" s="34"/>
      <c r="C30" s="34"/>
      <c r="D30" s="34"/>
      <c r="E30" s="34"/>
      <c r="F30" s="34"/>
      <c r="G30" s="34"/>
      <c r="H30" s="34"/>
      <c r="I30" s="34"/>
      <c r="J30" s="34"/>
      <c r="K30" s="34"/>
      <c r="L30" s="34"/>
      <c r="M30" s="34"/>
      <c r="N30" s="34"/>
      <c r="O30" s="34"/>
      <c r="P30" s="34"/>
      <c r="Q30" s="34"/>
      <c r="R30" s="34"/>
    </row>
    <row r="31" spans="1:24" ht="25.5" customHeight="1">
      <c r="A31" s="34"/>
      <c r="B31" s="34"/>
      <c r="C31" s="34"/>
      <c r="D31" s="34"/>
      <c r="E31" s="34"/>
      <c r="F31" s="34"/>
      <c r="G31" s="34"/>
      <c r="H31" s="34"/>
      <c r="I31" s="34"/>
      <c r="J31" s="34"/>
      <c r="K31" s="34"/>
      <c r="L31" s="34"/>
      <c r="M31" s="34"/>
      <c r="N31" s="34"/>
      <c r="O31" s="34"/>
      <c r="P31" s="34"/>
      <c r="Q31" s="34"/>
      <c r="R31" s="34"/>
    </row>
    <row r="32" spans="1:24" ht="25.5" customHeight="1">
      <c r="A32" s="34"/>
      <c r="B32" s="34"/>
      <c r="C32" s="34"/>
      <c r="D32" s="34"/>
      <c r="E32" s="34"/>
      <c r="F32" s="34"/>
      <c r="G32" s="34"/>
      <c r="H32" s="34"/>
      <c r="I32" s="34"/>
      <c r="J32" s="34"/>
      <c r="K32" s="34"/>
      <c r="L32" s="34"/>
      <c r="M32" s="34"/>
      <c r="N32" s="34"/>
      <c r="O32" s="34"/>
      <c r="P32" s="34"/>
      <c r="Q32" s="34"/>
      <c r="R32" s="34"/>
    </row>
    <row r="33" spans="1:19" ht="25.5" customHeight="1">
      <c r="A33" s="34"/>
      <c r="B33" s="34"/>
      <c r="C33" s="34"/>
      <c r="D33" s="34"/>
      <c r="E33" s="34"/>
      <c r="F33" s="34"/>
      <c r="G33" s="34"/>
      <c r="H33" s="34"/>
      <c r="I33" s="34"/>
      <c r="J33" s="34"/>
      <c r="K33" s="34"/>
      <c r="L33" s="34"/>
      <c r="M33" s="34"/>
      <c r="N33" s="34"/>
      <c r="O33" s="34"/>
      <c r="P33" s="34"/>
      <c r="Q33" s="34"/>
      <c r="R33" s="34"/>
    </row>
    <row r="34" spans="1:19" ht="25.5" customHeight="1">
      <c r="A34" s="34"/>
      <c r="B34" s="34"/>
      <c r="C34" s="34"/>
      <c r="D34" s="34"/>
      <c r="E34" s="34"/>
      <c r="F34" s="34"/>
      <c r="G34" s="34"/>
      <c r="H34" s="34"/>
      <c r="I34" s="34"/>
      <c r="J34" s="34"/>
      <c r="K34" s="34"/>
      <c r="L34" s="34"/>
      <c r="M34" s="34"/>
      <c r="N34" s="34"/>
      <c r="O34" s="34"/>
      <c r="P34" s="34"/>
      <c r="Q34" s="34"/>
      <c r="R34" s="34"/>
    </row>
    <row r="35" spans="1:19" ht="25.5" customHeight="1">
      <c r="A35" s="34"/>
      <c r="B35" s="34"/>
      <c r="C35" s="34"/>
      <c r="D35" s="34"/>
      <c r="E35" s="34"/>
      <c r="F35" s="34"/>
      <c r="G35" s="34"/>
      <c r="H35" s="34"/>
      <c r="I35" s="34"/>
      <c r="J35" s="34"/>
      <c r="K35" s="34"/>
      <c r="L35" s="34"/>
      <c r="M35" s="34"/>
      <c r="N35" s="34"/>
      <c r="O35" s="34"/>
      <c r="P35" s="34"/>
      <c r="Q35" s="34"/>
      <c r="R35" s="34"/>
    </row>
    <row r="36" spans="1:19" ht="25.5" customHeight="1">
      <c r="A36" s="34"/>
      <c r="B36" s="34"/>
      <c r="C36" s="34"/>
      <c r="D36" s="34"/>
      <c r="E36" s="34"/>
      <c r="F36" s="34"/>
      <c r="G36" s="34"/>
      <c r="H36" s="34"/>
      <c r="I36" s="34"/>
      <c r="J36" s="34"/>
      <c r="K36" s="34"/>
      <c r="L36" s="34"/>
      <c r="M36" s="34"/>
      <c r="N36" s="34"/>
      <c r="O36" s="34"/>
      <c r="P36" s="34"/>
      <c r="Q36" s="34"/>
      <c r="R36" s="34"/>
    </row>
    <row r="37" spans="1:19" ht="25.5" customHeight="1">
      <c r="A37" s="34"/>
      <c r="B37" s="34"/>
      <c r="C37" s="34"/>
      <c r="D37" s="34"/>
      <c r="E37" s="34"/>
      <c r="F37" s="34"/>
      <c r="G37" s="34"/>
      <c r="H37" s="34"/>
      <c r="I37" s="34"/>
      <c r="J37" s="34"/>
      <c r="K37" s="34"/>
      <c r="L37" s="34"/>
      <c r="M37" s="34"/>
      <c r="N37" s="34"/>
      <c r="O37" s="34"/>
      <c r="P37" s="34"/>
      <c r="Q37" s="34"/>
      <c r="R37" s="34"/>
    </row>
    <row r="38" spans="1:19" ht="25.5" customHeight="1">
      <c r="A38" s="34"/>
      <c r="B38" s="34"/>
      <c r="C38" s="34"/>
      <c r="D38" s="34"/>
      <c r="E38" s="34"/>
      <c r="F38" s="34"/>
      <c r="G38" s="34"/>
      <c r="H38" s="34"/>
      <c r="I38" s="34"/>
      <c r="J38" s="34"/>
      <c r="K38" s="34"/>
      <c r="L38" s="34"/>
      <c r="M38" s="34"/>
      <c r="N38" s="34"/>
      <c r="O38" s="34"/>
      <c r="P38" s="34"/>
      <c r="Q38" s="34"/>
      <c r="R38" s="34"/>
    </row>
    <row r="39" spans="1:19" ht="25.5" customHeight="1">
      <c r="A39" s="34"/>
      <c r="B39" s="34"/>
      <c r="C39" s="34"/>
      <c r="D39" s="34"/>
      <c r="E39" s="34"/>
      <c r="F39" s="34"/>
      <c r="G39" s="34"/>
      <c r="H39" s="34"/>
      <c r="I39" s="34"/>
      <c r="J39" s="34"/>
      <c r="K39" s="34"/>
      <c r="L39" s="34"/>
      <c r="M39" s="34"/>
      <c r="N39" s="34"/>
      <c r="O39" s="34"/>
      <c r="P39" s="34"/>
      <c r="Q39" s="34"/>
      <c r="R39" s="34"/>
    </row>
    <row r="40" spans="1:19">
      <c r="S40" s="104"/>
    </row>
    <row r="41" spans="1:19">
      <c r="S41" s="104"/>
    </row>
    <row r="42" spans="1:19">
      <c r="S42" s="104"/>
    </row>
    <row r="43" spans="1:19">
      <c r="S43" s="104"/>
    </row>
    <row r="44" spans="1:19" ht="51" customHeight="1">
      <c r="S44" s="104"/>
    </row>
    <row r="45" spans="1:19" ht="78" customHeight="1">
      <c r="A45" s="1755"/>
      <c r="B45" s="1755"/>
      <c r="C45" s="1755"/>
      <c r="D45" s="1755"/>
      <c r="E45" s="1755"/>
      <c r="F45" s="1755"/>
      <c r="G45" s="1755"/>
      <c r="H45" s="1755"/>
      <c r="I45" s="1755"/>
      <c r="J45" s="1755"/>
      <c r="K45" s="1755"/>
      <c r="L45" s="1755"/>
      <c r="M45" s="1755"/>
      <c r="N45" s="1755"/>
      <c r="O45" s="1755"/>
      <c r="P45" s="1755"/>
      <c r="Q45" s="1755"/>
      <c r="R45" s="1755"/>
      <c r="S45" s="104"/>
    </row>
    <row r="51" spans="2:21">
      <c r="S51" s="104"/>
      <c r="T51" s="104"/>
      <c r="U51" s="104"/>
    </row>
    <row r="52" spans="2:21">
      <c r="S52" s="104"/>
      <c r="T52" s="104"/>
      <c r="U52" s="104"/>
    </row>
    <row r="53" spans="2:21">
      <c r="S53" s="104"/>
      <c r="T53" s="104"/>
      <c r="U53" s="104"/>
    </row>
    <row r="54" spans="2:21">
      <c r="S54" s="104"/>
      <c r="T54" s="104"/>
      <c r="U54" s="104"/>
    </row>
    <row r="55" spans="2:21">
      <c r="S55" s="104"/>
      <c r="T55" s="104"/>
      <c r="U55" s="104"/>
    </row>
    <row r="56" spans="2:21">
      <c r="S56" s="104"/>
      <c r="T56" s="104"/>
      <c r="U56" s="104"/>
    </row>
    <row r="57" spans="2:21">
      <c r="B57" s="104"/>
      <c r="C57" s="104"/>
      <c r="D57" s="104"/>
      <c r="E57" s="104"/>
      <c r="F57" s="104"/>
      <c r="G57" s="104"/>
      <c r="H57" s="104"/>
      <c r="I57" s="104"/>
      <c r="J57" s="104"/>
      <c r="K57" s="104"/>
      <c r="L57" s="104"/>
      <c r="M57" s="104"/>
      <c r="N57" s="104"/>
      <c r="O57" s="104"/>
      <c r="P57" s="104"/>
      <c r="Q57" s="104"/>
      <c r="R57" s="104"/>
      <c r="S57" s="104"/>
      <c r="T57" s="104"/>
      <c r="U57" s="104"/>
    </row>
  </sheetData>
  <mergeCells count="3">
    <mergeCell ref="A45:R45"/>
    <mergeCell ref="A17:P17"/>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A175"/>
  <sheetViews>
    <sheetView showGridLines="0" view="pageBreakPreview" zoomScale="115" zoomScaleNormal="100" zoomScaleSheetLayoutView="115" workbookViewId="0">
      <pane ySplit="3" topLeftCell="A96" activePane="bottomLeft" state="frozen"/>
      <selection pane="bottomLeft" activeCell="A130" sqref="A130"/>
    </sheetView>
  </sheetViews>
  <sheetFormatPr baseColWidth="10" defaultRowHeight="15"/>
  <cols>
    <col min="1" max="1" width="117" customWidth="1"/>
  </cols>
  <sheetData>
    <row r="5" spans="1:1">
      <c r="A5" s="55" t="s">
        <v>766</v>
      </c>
    </row>
    <row r="6" spans="1:1" s="84" customFormat="1" ht="3" customHeight="1">
      <c r="A6" s="55"/>
    </row>
    <row r="7" spans="1:1" s="84" customFormat="1">
      <c r="A7" s="1248" t="s">
        <v>722</v>
      </c>
    </row>
    <row r="8" spans="1:1">
      <c r="A8" s="1248" t="s">
        <v>723</v>
      </c>
    </row>
    <row r="9" spans="1:1" ht="14.25" customHeight="1">
      <c r="A9" s="1248" t="s">
        <v>724</v>
      </c>
    </row>
    <row r="10" spans="1:1" ht="15" customHeight="1">
      <c r="A10" s="1248" t="s">
        <v>725</v>
      </c>
    </row>
    <row r="11" spans="1:1" ht="6" customHeight="1" collapsed="1"/>
    <row r="12" spans="1:1">
      <c r="A12" s="1244" t="s">
        <v>773</v>
      </c>
    </row>
    <row r="13" spans="1:1">
      <c r="A13" s="1245" t="s">
        <v>726</v>
      </c>
    </row>
    <row r="14" spans="1:1">
      <c r="A14" s="1245" t="s">
        <v>727</v>
      </c>
    </row>
    <row r="15" spans="1:1">
      <c r="A15" s="1245" t="s">
        <v>728</v>
      </c>
    </row>
    <row r="16" spans="1:1">
      <c r="A16" s="1245" t="s">
        <v>729</v>
      </c>
    </row>
    <row r="17" spans="1:1" s="84" customFormat="1" collapsed="1">
      <c r="A17" s="1245" t="s">
        <v>913</v>
      </c>
    </row>
    <row r="18" spans="1:1" s="84" customFormat="1">
      <c r="A18" s="1245"/>
    </row>
    <row r="19" spans="1:1">
      <c r="A19" s="1244" t="s">
        <v>706</v>
      </c>
    </row>
    <row r="20" spans="1:1" s="84" customFormat="1" ht="3.75" customHeight="1">
      <c r="A20" s="1244"/>
    </row>
    <row r="21" spans="1:1">
      <c r="A21" s="1246" t="s">
        <v>705</v>
      </c>
    </row>
    <row r="22" spans="1:1" s="84" customFormat="1" ht="6" customHeight="1">
      <c r="A22" s="1246"/>
    </row>
    <row r="23" spans="1:1">
      <c r="A23" s="1247" t="s">
        <v>708</v>
      </c>
    </row>
    <row r="24" spans="1:1">
      <c r="A24" s="1247" t="s">
        <v>955</v>
      </c>
    </row>
    <row r="25" spans="1:1">
      <c r="A25" s="1247" t="s">
        <v>956</v>
      </c>
    </row>
    <row r="26" spans="1:1">
      <c r="A26" s="1247" t="s">
        <v>957</v>
      </c>
    </row>
    <row r="27" spans="1:1">
      <c r="A27" s="1247" t="s">
        <v>958</v>
      </c>
    </row>
    <row r="28" spans="1:1">
      <c r="A28" s="1247" t="s">
        <v>709</v>
      </c>
    </row>
    <row r="29" spans="1:1" ht="14.25" customHeight="1"/>
    <row r="30" spans="1:1">
      <c r="A30" s="1246" t="s">
        <v>704</v>
      </c>
    </row>
    <row r="31" spans="1:1" ht="3.75" customHeight="1"/>
    <row r="32" spans="1:1">
      <c r="A32" s="1247" t="s">
        <v>710</v>
      </c>
    </row>
    <row r="33" spans="1:1">
      <c r="A33" s="1247" t="s">
        <v>914</v>
      </c>
    </row>
    <row r="34" spans="1:1" s="84" customFormat="1">
      <c r="A34" s="1247" t="s">
        <v>915</v>
      </c>
    </row>
    <row r="35" spans="1:1">
      <c r="A35" s="1247" t="s">
        <v>916</v>
      </c>
    </row>
    <row r="36" spans="1:1">
      <c r="A36" s="1247" t="s">
        <v>917</v>
      </c>
    </row>
    <row r="37" spans="1:1" s="84" customFormat="1">
      <c r="A37" s="1247" t="s">
        <v>918</v>
      </c>
    </row>
    <row r="38" spans="1:1">
      <c r="A38" s="1247"/>
    </row>
    <row r="39" spans="1:1">
      <c r="A39" s="1246" t="s">
        <v>703</v>
      </c>
    </row>
    <row r="40" spans="1:1" ht="6" customHeight="1">
      <c r="A40" s="84"/>
    </row>
    <row r="41" spans="1:1">
      <c r="A41" s="1247" t="s">
        <v>711</v>
      </c>
    </row>
    <row r="42" spans="1:1">
      <c r="A42" s="1247" t="s">
        <v>924</v>
      </c>
    </row>
    <row r="43" spans="1:1" s="84" customFormat="1">
      <c r="A43" s="1247" t="s">
        <v>919</v>
      </c>
    </row>
    <row r="44" spans="1:1" s="84" customFormat="1">
      <c r="A44" s="1247" t="s">
        <v>921</v>
      </c>
    </row>
    <row r="45" spans="1:1">
      <c r="A45" s="1247" t="s">
        <v>922</v>
      </c>
    </row>
    <row r="46" spans="1:1" s="84" customFormat="1">
      <c r="A46" s="1247" t="s">
        <v>920</v>
      </c>
    </row>
    <row r="47" spans="1:1">
      <c r="A47" s="1247" t="s">
        <v>923</v>
      </c>
    </row>
    <row r="49" spans="1:1">
      <c r="A49" s="1246" t="s">
        <v>700</v>
      </c>
    </row>
    <row r="50" spans="1:1" ht="6" customHeight="1"/>
    <row r="51" spans="1:1">
      <c r="A51" s="1247" t="s">
        <v>712</v>
      </c>
    </row>
    <row r="52" spans="1:1">
      <c r="A52" s="1247" t="s">
        <v>713</v>
      </c>
    </row>
    <row r="53" spans="1:1">
      <c r="A53" s="1247" t="s">
        <v>714</v>
      </c>
    </row>
    <row r="54" spans="1:1">
      <c r="A54" s="1247" t="s">
        <v>715</v>
      </c>
    </row>
    <row r="56" spans="1:1">
      <c r="A56" s="1246" t="s">
        <v>702</v>
      </c>
    </row>
    <row r="57" spans="1:1" ht="7.5" customHeight="1">
      <c r="A57" s="84"/>
    </row>
    <row r="58" spans="1:1">
      <c r="A58" s="1247" t="s">
        <v>716</v>
      </c>
    </row>
    <row r="59" spans="1:1">
      <c r="A59" s="1247" t="s">
        <v>717</v>
      </c>
    </row>
    <row r="60" spans="1:1">
      <c r="A60" s="1247" t="s">
        <v>718</v>
      </c>
    </row>
    <row r="61" spans="1:1">
      <c r="A61" s="1247" t="s">
        <v>719</v>
      </c>
    </row>
    <row r="63" spans="1:1">
      <c r="A63" s="1246" t="s">
        <v>701</v>
      </c>
    </row>
    <row r="64" spans="1:1" ht="5.25" customHeight="1">
      <c r="A64" s="84"/>
    </row>
    <row r="65" spans="1:1">
      <c r="A65" s="1247" t="s">
        <v>721</v>
      </c>
    </row>
    <row r="66" spans="1:1">
      <c r="A66" s="1247" t="s">
        <v>720</v>
      </c>
    </row>
    <row r="67" spans="1:1">
      <c r="A67" s="1247" t="s">
        <v>959</v>
      </c>
    </row>
    <row r="68" spans="1:1">
      <c r="A68" s="1247" t="s">
        <v>960</v>
      </c>
    </row>
    <row r="69" spans="1:1">
      <c r="A69" s="1247" t="s">
        <v>961</v>
      </c>
    </row>
    <row r="70" spans="1:1">
      <c r="A70" s="1247" t="s">
        <v>962</v>
      </c>
    </row>
    <row r="71" spans="1:1">
      <c r="A71" s="1247" t="s">
        <v>963</v>
      </c>
    </row>
    <row r="72" spans="1:1">
      <c r="A72" s="1247" t="s">
        <v>964</v>
      </c>
    </row>
    <row r="73" spans="1:1">
      <c r="A73" s="1247" t="s">
        <v>965</v>
      </c>
    </row>
    <row r="74" spans="1:1">
      <c r="A74" s="1247" t="s">
        <v>966</v>
      </c>
    </row>
    <row r="75" spans="1:1">
      <c r="A75" s="1247" t="s">
        <v>967</v>
      </c>
    </row>
    <row r="76" spans="1:1">
      <c r="A76" s="1247" t="s">
        <v>968</v>
      </c>
    </row>
    <row r="77" spans="1:1">
      <c r="A77" s="1247" t="s">
        <v>969</v>
      </c>
    </row>
    <row r="78" spans="1:1">
      <c r="A78" s="1247" t="s">
        <v>970</v>
      </c>
    </row>
    <row r="79" spans="1:1" s="84" customFormat="1">
      <c r="A79" s="1247"/>
    </row>
    <row r="80" spans="1:1">
      <c r="A80" s="1246" t="s">
        <v>707</v>
      </c>
    </row>
    <row r="81" spans="1:1" ht="6" customHeight="1">
      <c r="A81" s="84"/>
    </row>
    <row r="82" spans="1:1">
      <c r="A82" s="1247" t="s">
        <v>877</v>
      </c>
    </row>
    <row r="83" spans="1:1">
      <c r="A83" s="1247" t="s">
        <v>878</v>
      </c>
    </row>
    <row r="84" spans="1:1">
      <c r="A84" s="1247" t="s">
        <v>879</v>
      </c>
    </row>
    <row r="85" spans="1:1">
      <c r="A85" s="1247" t="s">
        <v>880</v>
      </c>
    </row>
    <row r="86" spans="1:1">
      <c r="A86" s="1247" t="s">
        <v>881</v>
      </c>
    </row>
    <row r="87" spans="1:1" ht="14.25" customHeight="1">
      <c r="A87" s="1247"/>
    </row>
    <row r="88" spans="1:1">
      <c r="A88" s="1244" t="s">
        <v>730</v>
      </c>
    </row>
    <row r="89" spans="1:1" s="84" customFormat="1" ht="4.5" customHeight="1">
      <c r="A89" s="1244"/>
    </row>
    <row r="90" spans="1:1">
      <c r="A90" s="1247" t="s">
        <v>925</v>
      </c>
    </row>
    <row r="91" spans="1:1">
      <c r="A91" s="1247" t="s">
        <v>948</v>
      </c>
    </row>
    <row r="92" spans="1:1" s="84" customFormat="1">
      <c r="A92" s="1247" t="s">
        <v>926</v>
      </c>
    </row>
    <row r="93" spans="1:1">
      <c r="A93" s="1247" t="s">
        <v>927</v>
      </c>
    </row>
    <row r="94" spans="1:1">
      <c r="A94" s="1247" t="s">
        <v>928</v>
      </c>
    </row>
    <row r="95" spans="1:1">
      <c r="A95" s="1247" t="s">
        <v>944</v>
      </c>
    </row>
    <row r="96" spans="1:1">
      <c r="A96" s="1247" t="s">
        <v>945</v>
      </c>
    </row>
    <row r="97" spans="1:1">
      <c r="A97" s="1247" t="s">
        <v>946</v>
      </c>
    </row>
    <row r="98" spans="1:1">
      <c r="A98" s="1247" t="s">
        <v>947</v>
      </c>
    </row>
    <row r="99" spans="1:1">
      <c r="A99" s="1247" t="s">
        <v>929</v>
      </c>
    </row>
    <row r="100" spans="1:1" s="84" customFormat="1">
      <c r="A100" s="1247" t="s">
        <v>930</v>
      </c>
    </row>
    <row r="101" spans="1:1">
      <c r="A101" s="1247" t="s">
        <v>931</v>
      </c>
    </row>
    <row r="102" spans="1:1">
      <c r="A102" s="1247" t="s">
        <v>943</v>
      </c>
    </row>
    <row r="103" spans="1:1">
      <c r="A103" s="1247" t="s">
        <v>932</v>
      </c>
    </row>
    <row r="104" spans="1:1" s="84" customFormat="1">
      <c r="A104" s="1247" t="s">
        <v>933</v>
      </c>
    </row>
    <row r="105" spans="1:1">
      <c r="A105" s="1247" t="s">
        <v>934</v>
      </c>
    </row>
    <row r="106" spans="1:1" s="84" customFormat="1">
      <c r="A106" s="1247" t="s">
        <v>942</v>
      </c>
    </row>
    <row r="107" spans="1:1">
      <c r="A107" s="1247" t="s">
        <v>935</v>
      </c>
    </row>
    <row r="108" spans="1:1">
      <c r="A108" s="1247" t="s">
        <v>936</v>
      </c>
    </row>
    <row r="109" spans="1:1" s="84" customFormat="1">
      <c r="A109" s="1247" t="s">
        <v>937</v>
      </c>
    </row>
    <row r="110" spans="1:1">
      <c r="A110" s="1247" t="s">
        <v>938</v>
      </c>
    </row>
    <row r="111" spans="1:1">
      <c r="A111" s="1247" t="s">
        <v>939</v>
      </c>
    </row>
    <row r="112" spans="1:1">
      <c r="A112" s="1247" t="s">
        <v>940</v>
      </c>
    </row>
    <row r="113" spans="1:1">
      <c r="A113" s="1247" t="s">
        <v>941</v>
      </c>
    </row>
    <row r="114" spans="1:1" s="84" customFormat="1">
      <c r="A114" s="1247" t="s">
        <v>971</v>
      </c>
    </row>
    <row r="115" spans="1:1">
      <c r="A115" s="1247" t="s">
        <v>972</v>
      </c>
    </row>
    <row r="116" spans="1:1">
      <c r="A116" s="1247" t="s">
        <v>973</v>
      </c>
    </row>
    <row r="118" spans="1:1">
      <c r="A118" s="1244" t="s">
        <v>731</v>
      </c>
    </row>
    <row r="119" spans="1:1">
      <c r="A119" s="1244"/>
    </row>
    <row r="120" spans="1:1" s="84" customFormat="1" ht="12" customHeight="1">
      <c r="A120" s="1249" t="s">
        <v>732</v>
      </c>
    </row>
    <row r="121" spans="1:1" s="84" customFormat="1">
      <c r="A121" s="1247" t="s">
        <v>733</v>
      </c>
    </row>
    <row r="122" spans="1:1">
      <c r="A122" s="1247" t="s">
        <v>735</v>
      </c>
    </row>
    <row r="123" spans="1:1">
      <c r="A123" s="1247" t="s">
        <v>736</v>
      </c>
    </row>
    <row r="124" spans="1:1">
      <c r="A124" s="1247" t="s">
        <v>737</v>
      </c>
    </row>
    <row r="125" spans="1:1">
      <c r="A125" s="1247"/>
    </row>
    <row r="126" spans="1:1">
      <c r="A126" s="1249" t="s">
        <v>734</v>
      </c>
    </row>
    <row r="127" spans="1:1">
      <c r="A127" s="1247" t="s">
        <v>738</v>
      </c>
    </row>
    <row r="128" spans="1:1">
      <c r="A128" s="1247" t="s">
        <v>739</v>
      </c>
    </row>
    <row r="129" spans="1:1">
      <c r="A129" s="1247"/>
    </row>
    <row r="130" spans="1:1">
      <c r="A130" s="1249" t="s">
        <v>740</v>
      </c>
    </row>
    <row r="131" spans="1:1">
      <c r="A131" s="1247" t="s">
        <v>741</v>
      </c>
    </row>
    <row r="132" spans="1:1">
      <c r="A132" s="1247" t="s">
        <v>742</v>
      </c>
    </row>
    <row r="133" spans="1:1">
      <c r="A133" s="1247" t="s">
        <v>743</v>
      </c>
    </row>
    <row r="135" spans="1:1">
      <c r="A135" s="1249" t="s">
        <v>767</v>
      </c>
    </row>
    <row r="136" spans="1:1" ht="18.75" customHeight="1">
      <c r="A136" s="1247" t="s">
        <v>744</v>
      </c>
    </row>
    <row r="137" spans="1:1">
      <c r="A137" s="1247" t="s">
        <v>745</v>
      </c>
    </row>
    <row r="138" spans="1:1">
      <c r="A138" s="1247" t="s">
        <v>746</v>
      </c>
    </row>
    <row r="139" spans="1:1">
      <c r="A139" s="1247" t="s">
        <v>747</v>
      </c>
    </row>
    <row r="140" spans="1:1">
      <c r="A140" s="1247" t="s">
        <v>748</v>
      </c>
    </row>
    <row r="141" spans="1:1">
      <c r="A141" s="1247" t="s">
        <v>749</v>
      </c>
    </row>
    <row r="142" spans="1:1">
      <c r="A142" s="1247" t="s">
        <v>768</v>
      </c>
    </row>
    <row r="143" spans="1:1">
      <c r="A143" s="1247" t="s">
        <v>750</v>
      </c>
    </row>
    <row r="144" spans="1:1">
      <c r="A144" s="1247" t="s">
        <v>751</v>
      </c>
    </row>
    <row r="145" spans="1:1">
      <c r="A145" s="1247" t="s">
        <v>752</v>
      </c>
    </row>
    <row r="146" spans="1:1">
      <c r="A146" s="1247" t="s">
        <v>769</v>
      </c>
    </row>
    <row r="147" spans="1:1">
      <c r="A147" s="1247" t="s">
        <v>753</v>
      </c>
    </row>
    <row r="148" spans="1:1">
      <c r="A148" s="1247" t="s">
        <v>754</v>
      </c>
    </row>
    <row r="149" spans="1:1">
      <c r="A149" s="1247" t="s">
        <v>770</v>
      </c>
    </row>
    <row r="150" spans="1:1">
      <c r="A150" s="1247" t="s">
        <v>755</v>
      </c>
    </row>
    <row r="151" spans="1:1">
      <c r="A151" s="1247" t="s">
        <v>756</v>
      </c>
    </row>
    <row r="152" spans="1:1">
      <c r="A152" s="1247" t="s">
        <v>757</v>
      </c>
    </row>
    <row r="153" spans="1:1">
      <c r="A153" s="1247" t="s">
        <v>758</v>
      </c>
    </row>
    <row r="154" spans="1:1">
      <c r="A154" s="1247" t="s">
        <v>759</v>
      </c>
    </row>
    <row r="155" spans="1:1">
      <c r="A155" s="1247" t="s">
        <v>760</v>
      </c>
    </row>
    <row r="156" spans="1:1">
      <c r="A156" s="1247" t="s">
        <v>761</v>
      </c>
    </row>
    <row r="157" spans="1:1">
      <c r="A157" s="1247" t="s">
        <v>762</v>
      </c>
    </row>
    <row r="158" spans="1:1">
      <c r="A158" s="1247" t="s">
        <v>771</v>
      </c>
    </row>
    <row r="159" spans="1:1" ht="9.75" customHeight="1">
      <c r="A159" s="1247"/>
    </row>
    <row r="160" spans="1:1">
      <c r="A160" s="1244" t="s">
        <v>772</v>
      </c>
    </row>
    <row r="162" spans="1:1">
      <c r="A162" s="1247" t="s">
        <v>950</v>
      </c>
    </row>
    <row r="163" spans="1:1">
      <c r="A163" s="1247" t="s">
        <v>952</v>
      </c>
    </row>
    <row r="164" spans="1:1" s="84" customFormat="1">
      <c r="A164" s="1247" t="s">
        <v>953</v>
      </c>
    </row>
    <row r="166" spans="1:1">
      <c r="A166" s="1244" t="s">
        <v>763</v>
      </c>
    </row>
    <row r="168" spans="1:1">
      <c r="A168" s="1247" t="s">
        <v>764</v>
      </c>
    </row>
    <row r="169" spans="1:1">
      <c r="A169" s="1247" t="s">
        <v>765</v>
      </c>
    </row>
    <row r="170" spans="1:1">
      <c r="A170" s="1247" t="s">
        <v>954</v>
      </c>
    </row>
    <row r="171" spans="1:1" s="84" customFormat="1">
      <c r="A171" s="1247"/>
    </row>
    <row r="172" spans="1:1">
      <c r="A172" s="1244" t="s">
        <v>951</v>
      </c>
    </row>
    <row r="173" spans="1:1">
      <c r="A173" s="1247"/>
    </row>
    <row r="174" spans="1:1">
      <c r="A174" s="1247"/>
    </row>
    <row r="175" spans="1:1">
      <c r="A175" s="1247"/>
    </row>
  </sheetData>
  <pageMargins left="0.7" right="0.7" top="0.75" bottom="0.75" header="0.3" footer="0.3"/>
  <pageSetup scale="99" fitToHeight="0" orientation="portrait" r:id="rId1"/>
  <rowBreaks count="1" manualBreakCount="1">
    <brk id="4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7"/>
  <sheetViews>
    <sheetView showGridLines="0" view="pageBreakPreview" topLeftCell="G1" zoomScale="55" zoomScaleNormal="100" zoomScaleSheetLayoutView="55" zoomScalePageLayoutView="62" workbookViewId="0">
      <selection activeCell="R25" sqref="R25"/>
    </sheetView>
  </sheetViews>
  <sheetFormatPr baseColWidth="10" defaultColWidth="11.42578125" defaultRowHeight="15"/>
  <cols>
    <col min="1" max="1" width="18.42578125" style="84" customWidth="1"/>
    <col min="2" max="2" width="18" style="84" customWidth="1"/>
    <col min="3" max="3" width="22" style="84" customWidth="1"/>
    <col min="4" max="4" width="16.140625" style="84" customWidth="1"/>
    <col min="5" max="5" width="22.8554687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8" width="14.5703125" style="84" customWidth="1"/>
    <col min="19" max="16384" width="11.42578125" style="84"/>
  </cols>
  <sheetData>
    <row r="1" spans="1:18" ht="87" customHeight="1">
      <c r="A1" s="1758"/>
      <c r="B1" s="1758"/>
      <c r="C1" s="1758"/>
      <c r="D1" s="1758"/>
      <c r="E1" s="1758"/>
      <c r="F1" s="1758"/>
      <c r="G1" s="1758"/>
      <c r="H1" s="1758"/>
      <c r="I1" s="1758"/>
      <c r="J1" s="1758"/>
      <c r="K1" s="1758"/>
      <c r="L1" s="1758"/>
      <c r="M1" s="1758"/>
      <c r="N1" s="1758"/>
      <c r="O1" s="1758"/>
      <c r="P1" s="1758"/>
      <c r="Q1" s="1758"/>
    </row>
    <row r="2" spans="1:18" ht="19.5" customHeight="1">
      <c r="A2" s="192"/>
      <c r="B2" s="192"/>
      <c r="C2" s="192"/>
      <c r="D2" s="192"/>
      <c r="E2" s="192"/>
      <c r="F2" s="192"/>
      <c r="G2" s="192"/>
      <c r="H2" s="192"/>
      <c r="I2" s="192"/>
      <c r="J2" s="192"/>
      <c r="K2" s="192"/>
      <c r="L2" s="192"/>
      <c r="M2" s="192"/>
      <c r="N2" s="192"/>
      <c r="O2" s="192"/>
      <c r="P2" s="192"/>
    </row>
    <row r="3" spans="1:18" ht="69" customHeight="1">
      <c r="A3" s="430" t="s">
        <v>251</v>
      </c>
      <c r="B3" s="326" t="s">
        <v>582</v>
      </c>
      <c r="C3" s="326" t="s">
        <v>583</v>
      </c>
      <c r="D3" s="326" t="s">
        <v>584</v>
      </c>
      <c r="E3" s="326" t="s">
        <v>585</v>
      </c>
      <c r="F3" s="326" t="s">
        <v>248</v>
      </c>
      <c r="G3" s="326" t="s">
        <v>249</v>
      </c>
      <c r="H3" s="327" t="s">
        <v>422</v>
      </c>
      <c r="I3" s="259"/>
      <c r="J3" s="259"/>
      <c r="K3" s="259"/>
      <c r="L3" s="259"/>
      <c r="M3" s="259"/>
      <c r="N3" s="259"/>
      <c r="O3" s="259"/>
      <c r="P3" s="260" t="s">
        <v>556</v>
      </c>
      <c r="Q3" s="66"/>
      <c r="R3" s="66"/>
    </row>
    <row r="4" spans="1:18" ht="25.5" hidden="1" customHeight="1">
      <c r="A4" s="329" t="s">
        <v>26</v>
      </c>
      <c r="B4" s="254"/>
      <c r="C4" s="254">
        <v>44000</v>
      </c>
      <c r="D4" s="343"/>
      <c r="E4" s="346">
        <f>B4+C4+D4</f>
        <v>44000</v>
      </c>
      <c r="F4" s="339"/>
      <c r="G4" s="340">
        <f t="shared" ref="G4:G12" si="0">C4/E4</f>
        <v>1</v>
      </c>
      <c r="H4" s="341"/>
      <c r="I4" s="254"/>
      <c r="J4" s="254"/>
      <c r="K4" s="254"/>
      <c r="L4" s="257"/>
      <c r="M4" s="255"/>
      <c r="N4" s="255"/>
      <c r="O4" s="256"/>
      <c r="P4" s="258">
        <f t="shared" ref="P4:P11" si="1">L4/E4</f>
        <v>0</v>
      </c>
      <c r="Q4" s="66"/>
      <c r="R4" s="66"/>
    </row>
    <row r="5" spans="1:18" ht="25.5" hidden="1" customHeight="1">
      <c r="A5" s="329" t="s">
        <v>27</v>
      </c>
      <c r="B5" s="254"/>
      <c r="C5" s="254">
        <v>65017</v>
      </c>
      <c r="D5" s="343"/>
      <c r="E5" s="347">
        <f>B5+C5+D5</f>
        <v>65017</v>
      </c>
      <c r="F5" s="339"/>
      <c r="G5" s="340">
        <f t="shared" si="0"/>
        <v>1</v>
      </c>
      <c r="H5" s="341"/>
      <c r="I5" s="254"/>
      <c r="J5" s="254"/>
      <c r="K5" s="254"/>
      <c r="L5" s="257"/>
      <c r="M5" s="255"/>
      <c r="N5" s="255"/>
      <c r="O5" s="256"/>
      <c r="P5" s="258">
        <f t="shared" si="1"/>
        <v>0</v>
      </c>
      <c r="Q5" s="66"/>
      <c r="R5" s="66"/>
    </row>
    <row r="6" spans="1:18" ht="25.5" customHeight="1">
      <c r="A6" s="329" t="s">
        <v>28</v>
      </c>
      <c r="B6" s="254"/>
      <c r="C6" s="254">
        <v>266531</v>
      </c>
      <c r="D6" s="343">
        <v>0</v>
      </c>
      <c r="E6" s="347">
        <f>B6+C6+D6</f>
        <v>266531</v>
      </c>
      <c r="F6" s="339"/>
      <c r="G6" s="340">
        <f t="shared" si="0"/>
        <v>1</v>
      </c>
      <c r="H6" s="341"/>
      <c r="I6" s="254"/>
      <c r="J6" s="254"/>
      <c r="K6" s="254"/>
      <c r="L6" s="257"/>
      <c r="M6" s="255"/>
      <c r="N6" s="255" t="s">
        <v>182</v>
      </c>
      <c r="O6" s="256"/>
      <c r="P6" s="258">
        <f t="shared" si="1"/>
        <v>0</v>
      </c>
      <c r="Q6" s="66"/>
      <c r="R6" s="66"/>
    </row>
    <row r="7" spans="1:18" ht="25.5" customHeight="1">
      <c r="A7" s="329" t="s">
        <v>29</v>
      </c>
      <c r="B7" s="254"/>
      <c r="C7" s="254">
        <v>513416</v>
      </c>
      <c r="D7" s="343">
        <v>0</v>
      </c>
      <c r="E7" s="347">
        <f>B7+C7+D7</f>
        <v>513416</v>
      </c>
      <c r="F7" s="339"/>
      <c r="G7" s="340">
        <f t="shared" si="0"/>
        <v>1</v>
      </c>
      <c r="H7" s="341"/>
      <c r="I7" s="254"/>
      <c r="J7" s="254"/>
      <c r="K7" s="254"/>
      <c r="L7" s="257"/>
      <c r="M7" s="255"/>
      <c r="N7" s="255"/>
      <c r="O7" s="256"/>
      <c r="P7" s="258">
        <f t="shared" si="1"/>
        <v>0</v>
      </c>
      <c r="Q7" s="66"/>
      <c r="R7" s="66"/>
    </row>
    <row r="8" spans="1:18" ht="25.5" customHeight="1">
      <c r="A8" s="329" t="s">
        <v>30</v>
      </c>
      <c r="B8" s="254">
        <v>1599467</v>
      </c>
      <c r="C8" s="254">
        <v>1081936</v>
      </c>
      <c r="D8" s="343">
        <v>0</v>
      </c>
      <c r="E8" s="347">
        <f t="shared" ref="E8:E15" si="2">B8+C8+D8</f>
        <v>2681403</v>
      </c>
      <c r="F8" s="340">
        <f t="shared" ref="F8:F16" si="3">B8/E8</f>
        <v>0.59650377060068926</v>
      </c>
      <c r="G8" s="340">
        <f t="shared" si="0"/>
        <v>0.40349622939931074</v>
      </c>
      <c r="H8" s="341"/>
      <c r="I8" s="254"/>
      <c r="J8" s="254"/>
      <c r="K8" s="254"/>
      <c r="L8" s="257"/>
      <c r="M8" s="255"/>
      <c r="N8" s="255"/>
      <c r="O8" s="256"/>
      <c r="P8" s="258">
        <f t="shared" si="1"/>
        <v>0</v>
      </c>
      <c r="Q8" s="66"/>
      <c r="R8" s="66"/>
    </row>
    <row r="9" spans="1:18" ht="25.5" customHeight="1">
      <c r="A9" s="329" t="s">
        <v>31</v>
      </c>
      <c r="B9" s="254">
        <v>1729671</v>
      </c>
      <c r="C9" s="254">
        <v>1224643</v>
      </c>
      <c r="D9" s="343">
        <v>0</v>
      </c>
      <c r="E9" s="347">
        <f t="shared" si="2"/>
        <v>2954314</v>
      </c>
      <c r="F9" s="340">
        <f t="shared" si="3"/>
        <v>0.5854729727442648</v>
      </c>
      <c r="G9" s="340">
        <f t="shared" si="0"/>
        <v>0.41452702725573515</v>
      </c>
      <c r="H9" s="341"/>
      <c r="I9" s="254"/>
      <c r="J9" s="254"/>
      <c r="K9" s="254"/>
      <c r="L9" s="257"/>
      <c r="M9" s="255"/>
      <c r="N9" s="255"/>
      <c r="O9" s="256"/>
      <c r="P9" s="258">
        <f t="shared" si="1"/>
        <v>0</v>
      </c>
      <c r="Q9" s="66"/>
      <c r="R9" s="66"/>
    </row>
    <row r="10" spans="1:18" ht="25.5" customHeight="1">
      <c r="A10" s="329" t="s">
        <v>32</v>
      </c>
      <c r="B10" s="254">
        <v>2096232</v>
      </c>
      <c r="C10" s="254">
        <v>1346166</v>
      </c>
      <c r="D10" s="343">
        <v>18375</v>
      </c>
      <c r="E10" s="347">
        <f t="shared" si="2"/>
        <v>3460773</v>
      </c>
      <c r="F10" s="340">
        <f t="shared" si="3"/>
        <v>0.60571207646384206</v>
      </c>
      <c r="G10" s="340">
        <f t="shared" si="0"/>
        <v>0.3889784160937455</v>
      </c>
      <c r="H10" s="432">
        <f t="shared" ref="H10:H16" si="4">D10/E10</f>
        <v>5.309507442412432E-3</v>
      </c>
      <c r="I10" s="254"/>
      <c r="J10" s="254"/>
      <c r="K10" s="254"/>
      <c r="L10" s="257"/>
      <c r="M10" s="255"/>
      <c r="N10" s="255"/>
      <c r="O10" s="256"/>
      <c r="P10" s="258">
        <f t="shared" si="1"/>
        <v>0</v>
      </c>
      <c r="Q10" s="66"/>
      <c r="R10" s="66"/>
    </row>
    <row r="11" spans="1:18" ht="25.5" customHeight="1">
      <c r="A11" s="329" t="s">
        <v>196</v>
      </c>
      <c r="B11" s="254">
        <v>2417992</v>
      </c>
      <c r="C11" s="254">
        <v>1847833</v>
      </c>
      <c r="D11" s="343">
        <v>27177</v>
      </c>
      <c r="E11" s="347">
        <f t="shared" si="2"/>
        <v>4293002</v>
      </c>
      <c r="F11" s="340">
        <f t="shared" si="3"/>
        <v>0.56324036187264759</v>
      </c>
      <c r="G11" s="340">
        <f t="shared" si="0"/>
        <v>0.43042910299133336</v>
      </c>
      <c r="H11" s="432">
        <f t="shared" si="4"/>
        <v>6.3305351360190372E-3</v>
      </c>
      <c r="I11" s="254"/>
      <c r="J11" s="254"/>
      <c r="K11" s="254"/>
      <c r="L11" s="257"/>
      <c r="M11" s="255"/>
      <c r="N11" s="255"/>
      <c r="O11" s="256"/>
      <c r="P11" s="258">
        <f t="shared" si="1"/>
        <v>0</v>
      </c>
      <c r="Q11" s="66"/>
      <c r="R11" s="66"/>
    </row>
    <row r="12" spans="1:18" ht="25.5" customHeight="1">
      <c r="A12" s="329" t="s">
        <v>244</v>
      </c>
      <c r="B12" s="254">
        <v>2586943</v>
      </c>
      <c r="C12" s="254">
        <v>1996335</v>
      </c>
      <c r="D12" s="343">
        <v>29648</v>
      </c>
      <c r="E12" s="347">
        <f t="shared" si="2"/>
        <v>4612926</v>
      </c>
      <c r="F12" s="340">
        <f t="shared" si="3"/>
        <v>0.56080305645484019</v>
      </c>
      <c r="G12" s="340">
        <f t="shared" si="0"/>
        <v>0.43276978646525005</v>
      </c>
      <c r="H12" s="432">
        <f t="shared" si="4"/>
        <v>6.4271570799098012E-3</v>
      </c>
      <c r="I12" s="254"/>
      <c r="J12" s="254"/>
      <c r="K12" s="254"/>
      <c r="L12" s="257"/>
      <c r="M12" s="255"/>
      <c r="N12" s="255"/>
      <c r="O12" s="255"/>
      <c r="P12" s="258">
        <f>L12/E12</f>
        <v>0</v>
      </c>
      <c r="Q12" s="66"/>
      <c r="R12" s="66"/>
    </row>
    <row r="13" spans="1:18" ht="25.5" customHeight="1">
      <c r="A13" s="329" t="s">
        <v>498</v>
      </c>
      <c r="B13" s="254">
        <v>2747735</v>
      </c>
      <c r="C13" s="254">
        <v>2294356</v>
      </c>
      <c r="D13" s="343">
        <v>30884</v>
      </c>
      <c r="E13" s="347">
        <f t="shared" si="2"/>
        <v>5072975</v>
      </c>
      <c r="F13" s="340">
        <f t="shared" si="3"/>
        <v>0.54164173882189448</v>
      </c>
      <c r="G13" s="340">
        <f>C13/E13</f>
        <v>0.45227031475613422</v>
      </c>
      <c r="H13" s="432">
        <f t="shared" si="4"/>
        <v>6.0879464219713289E-3</v>
      </c>
      <c r="I13" s="254"/>
      <c r="J13" s="254"/>
      <c r="K13" s="254"/>
      <c r="L13" s="257"/>
      <c r="M13" s="255"/>
      <c r="N13" s="255"/>
      <c r="O13" s="255"/>
      <c r="P13" s="258">
        <f>L13/E13</f>
        <v>0</v>
      </c>
      <c r="Q13" s="66"/>
      <c r="R13" s="66"/>
    </row>
    <row r="14" spans="1:18" ht="25.5" customHeight="1">
      <c r="A14" s="329" t="s">
        <v>589</v>
      </c>
      <c r="B14" s="254">
        <v>2965326</v>
      </c>
      <c r="C14" s="254">
        <v>2646899</v>
      </c>
      <c r="D14" s="343">
        <v>29217</v>
      </c>
      <c r="E14" s="347">
        <f t="shared" si="2"/>
        <v>5641442</v>
      </c>
      <c r="F14" s="340">
        <f t="shared" si="3"/>
        <v>0.52563263080609535</v>
      </c>
      <c r="G14" s="340">
        <f>C14/E14</f>
        <v>0.46918837417809134</v>
      </c>
      <c r="H14" s="432">
        <f t="shared" si="4"/>
        <v>5.1789950158133329E-3</v>
      </c>
      <c r="I14" s="254"/>
      <c r="J14" s="254"/>
      <c r="K14" s="254"/>
      <c r="L14" s="257"/>
      <c r="M14" s="255"/>
      <c r="N14" s="255"/>
      <c r="O14" s="255"/>
      <c r="P14" s="258"/>
      <c r="Q14" s="66"/>
      <c r="R14" s="66"/>
    </row>
    <row r="15" spans="1:18" ht="25.5" customHeight="1">
      <c r="A15" s="329" t="s">
        <v>630</v>
      </c>
      <c r="B15" s="254">
        <v>3224947</v>
      </c>
      <c r="C15" s="254">
        <v>3015646</v>
      </c>
      <c r="D15" s="343">
        <v>30470</v>
      </c>
      <c r="E15" s="347">
        <f t="shared" si="2"/>
        <v>6271063</v>
      </c>
      <c r="F15" s="340">
        <f t="shared" si="3"/>
        <v>0.5142584279571103</v>
      </c>
      <c r="G15" s="340">
        <f>C15/E15</f>
        <v>0.48088274667309194</v>
      </c>
      <c r="H15" s="432">
        <f t="shared" si="4"/>
        <v>4.8588253697977521E-3</v>
      </c>
      <c r="I15" s="254"/>
      <c r="J15" s="254"/>
      <c r="K15" s="254"/>
      <c r="L15" s="257"/>
      <c r="M15" s="255"/>
      <c r="N15" s="255"/>
      <c r="O15" s="255"/>
      <c r="P15" s="258"/>
      <c r="Q15" s="66"/>
      <c r="R15" s="66"/>
    </row>
    <row r="16" spans="1:18" ht="25.5" customHeight="1">
      <c r="A16" s="418" t="s">
        <v>632</v>
      </c>
      <c r="B16" s="419">
        <v>3237880</v>
      </c>
      <c r="C16" s="419">
        <v>3015646</v>
      </c>
      <c r="D16" s="431">
        <v>30485</v>
      </c>
      <c r="E16" s="348">
        <f>B16+C16+D16</f>
        <v>6284011</v>
      </c>
      <c r="F16" s="342">
        <f t="shared" si="3"/>
        <v>0.51525689563560595</v>
      </c>
      <c r="G16" s="342">
        <f>C16/E16</f>
        <v>0.47989190343556049</v>
      </c>
      <c r="H16" s="433">
        <f t="shared" si="4"/>
        <v>4.8512009288335109E-3</v>
      </c>
      <c r="I16" s="254"/>
      <c r="J16" s="254"/>
      <c r="K16" s="254"/>
      <c r="L16" s="257"/>
      <c r="M16" s="255"/>
      <c r="N16" s="255"/>
      <c r="O16" s="255"/>
      <c r="P16" s="258"/>
      <c r="Q16" s="66"/>
      <c r="R16" s="66"/>
    </row>
    <row r="17" spans="1:24" ht="23.25" customHeight="1">
      <c r="A17" s="1759" t="s">
        <v>849</v>
      </c>
      <c r="B17" s="1759"/>
      <c r="C17" s="1759"/>
      <c r="D17" s="1759"/>
      <c r="E17" s="1759"/>
      <c r="F17" s="1759"/>
      <c r="G17" s="1759"/>
      <c r="H17" s="1759"/>
      <c r="I17" s="1759"/>
      <c r="J17" s="1759"/>
      <c r="K17" s="1759"/>
      <c r="L17" s="1759"/>
      <c r="M17" s="1759"/>
      <c r="N17" s="1759"/>
      <c r="O17" s="1759"/>
      <c r="P17" s="1759"/>
      <c r="Q17" s="66"/>
      <c r="R17" s="66"/>
    </row>
    <row r="18" spans="1:24" ht="25.5" customHeight="1">
      <c r="A18" s="34"/>
      <c r="B18" s="34"/>
      <c r="C18" s="34"/>
      <c r="D18" s="34"/>
      <c r="E18" s="34"/>
      <c r="F18" s="34"/>
      <c r="G18" s="34"/>
      <c r="H18" s="34"/>
      <c r="I18" s="34"/>
      <c r="J18" s="34"/>
      <c r="K18" s="34"/>
      <c r="L18" s="34"/>
      <c r="M18" s="34"/>
      <c r="N18" s="34"/>
      <c r="O18" s="34"/>
      <c r="P18" s="34"/>
      <c r="R18" s="66"/>
    </row>
    <row r="19" spans="1:24" ht="25.5" customHeight="1">
      <c r="A19" s="34"/>
      <c r="B19" s="34"/>
      <c r="C19" s="34"/>
      <c r="D19" s="34"/>
      <c r="E19" s="34"/>
      <c r="F19" s="34"/>
      <c r="G19" s="34"/>
      <c r="H19" s="34"/>
      <c r="I19" s="34"/>
      <c r="J19" s="34"/>
      <c r="K19" s="34"/>
      <c r="L19" s="34"/>
      <c r="M19" s="34"/>
      <c r="N19" s="34"/>
      <c r="O19" s="34"/>
      <c r="P19" s="34"/>
      <c r="Q19" s="34"/>
      <c r="R19" s="66"/>
    </row>
    <row r="20" spans="1:24" ht="25.5" customHeight="1">
      <c r="A20" s="34"/>
      <c r="B20" s="34"/>
      <c r="C20" s="34"/>
      <c r="D20" s="34"/>
      <c r="E20" s="34"/>
      <c r="F20" s="34"/>
      <c r="G20" s="34"/>
      <c r="H20" s="34"/>
      <c r="I20" s="34"/>
      <c r="J20" s="34"/>
      <c r="K20" s="34"/>
      <c r="L20" s="34"/>
      <c r="M20" s="34"/>
      <c r="N20" s="34"/>
      <c r="O20" s="34"/>
      <c r="P20" s="34"/>
      <c r="Q20" s="34"/>
      <c r="R20" s="66"/>
      <c r="X20" s="84" t="s">
        <v>33</v>
      </c>
    </row>
    <row r="21" spans="1:24" ht="25.5" customHeight="1">
      <c r="A21" s="34"/>
      <c r="B21" s="34"/>
      <c r="C21" s="34"/>
      <c r="D21" s="34"/>
      <c r="E21" s="34"/>
      <c r="F21" s="34"/>
      <c r="G21" s="34"/>
      <c r="H21" s="34"/>
      <c r="I21" s="34"/>
      <c r="J21" s="34"/>
      <c r="K21" s="34"/>
      <c r="L21" s="34"/>
      <c r="M21" s="34"/>
      <c r="N21" s="34"/>
      <c r="O21" s="34"/>
      <c r="P21" s="34"/>
      <c r="Q21" s="34"/>
      <c r="R21" s="66"/>
    </row>
    <row r="22" spans="1:24" ht="25.5" customHeight="1">
      <c r="A22" s="34"/>
      <c r="B22" s="34"/>
      <c r="C22" s="34"/>
      <c r="D22" s="34"/>
      <c r="E22" s="34"/>
      <c r="F22" s="34"/>
      <c r="G22" s="34"/>
      <c r="H22" s="34"/>
      <c r="I22" s="34"/>
      <c r="J22" s="34"/>
      <c r="K22" s="34"/>
      <c r="L22" s="34"/>
      <c r="M22" s="34"/>
      <c r="N22" s="34"/>
      <c r="O22" s="34"/>
      <c r="P22" s="34"/>
      <c r="Q22" s="34"/>
      <c r="R22" s="66"/>
    </row>
    <row r="23" spans="1:24" ht="25.5" customHeight="1">
      <c r="A23" s="34"/>
      <c r="B23" s="34"/>
      <c r="C23" s="34"/>
      <c r="D23" s="34"/>
      <c r="E23" s="34"/>
      <c r="F23" s="34"/>
      <c r="G23" s="34"/>
      <c r="H23" s="34"/>
      <c r="I23" s="34"/>
      <c r="J23" s="34"/>
      <c r="K23" s="34"/>
      <c r="L23" s="34"/>
      <c r="M23" s="34"/>
      <c r="N23" s="34"/>
      <c r="O23" s="34"/>
      <c r="P23" s="34"/>
      <c r="Q23" s="34"/>
      <c r="R23" s="66"/>
    </row>
    <row r="24" spans="1:24" ht="25.5" customHeight="1">
      <c r="A24" s="34"/>
      <c r="B24" s="34"/>
      <c r="C24" s="34"/>
      <c r="D24" s="34"/>
      <c r="E24" s="34"/>
      <c r="F24" s="34"/>
      <c r="G24" s="34"/>
      <c r="H24" s="34"/>
      <c r="I24" s="34"/>
      <c r="J24" s="34"/>
      <c r="K24" s="34"/>
      <c r="L24" s="34"/>
      <c r="M24" s="34"/>
      <c r="N24" s="34"/>
      <c r="O24" s="34"/>
      <c r="P24" s="34"/>
      <c r="Q24" s="34"/>
      <c r="R24" s="66"/>
    </row>
    <row r="25" spans="1:24" ht="25.5" customHeight="1">
      <c r="A25" s="34"/>
      <c r="B25" s="34"/>
      <c r="C25" s="34"/>
      <c r="D25" s="34"/>
      <c r="E25" s="34"/>
      <c r="F25" s="34"/>
      <c r="G25" s="34"/>
      <c r="H25" s="34"/>
      <c r="I25" s="34"/>
      <c r="J25" s="34"/>
      <c r="K25" s="34"/>
      <c r="L25" s="34"/>
      <c r="M25" s="34"/>
      <c r="N25" s="34"/>
      <c r="O25" s="34"/>
      <c r="P25" s="34"/>
      <c r="Q25" s="34"/>
      <c r="R25" s="66"/>
    </row>
    <row r="26" spans="1:24" ht="25.5" customHeight="1">
      <c r="A26" s="34"/>
      <c r="B26" s="34"/>
      <c r="C26" s="34"/>
      <c r="D26" s="34"/>
      <c r="E26" s="34"/>
      <c r="F26" s="34"/>
      <c r="G26" s="34"/>
      <c r="H26" s="34"/>
      <c r="I26" s="34"/>
      <c r="J26" s="34"/>
      <c r="K26" s="34"/>
      <c r="L26" s="34"/>
      <c r="M26" s="34"/>
      <c r="N26" s="34"/>
      <c r="O26" s="34"/>
      <c r="P26" s="34"/>
      <c r="Q26" s="34"/>
      <c r="R26" s="66"/>
    </row>
    <row r="27" spans="1:24" ht="25.5" customHeight="1">
      <c r="A27" s="34"/>
      <c r="B27" s="34"/>
      <c r="C27" s="34"/>
      <c r="D27" s="34"/>
      <c r="E27" s="34"/>
      <c r="F27" s="34"/>
      <c r="G27" s="34"/>
      <c r="H27" s="34"/>
      <c r="I27" s="34"/>
      <c r="J27" s="34"/>
      <c r="K27" s="34"/>
      <c r="L27" s="34"/>
      <c r="M27" s="34"/>
      <c r="N27" s="34"/>
      <c r="O27" s="34"/>
      <c r="P27" s="34"/>
      <c r="Q27" s="34"/>
      <c r="R27" s="34"/>
    </row>
    <row r="28" spans="1:24" ht="25.5" customHeight="1">
      <c r="A28" s="34"/>
      <c r="B28" s="34"/>
      <c r="C28" s="34"/>
      <c r="D28" s="34"/>
      <c r="E28" s="34"/>
      <c r="F28" s="34"/>
      <c r="G28" s="34"/>
      <c r="H28" s="34"/>
      <c r="I28" s="34"/>
      <c r="J28" s="34"/>
      <c r="K28" s="34"/>
      <c r="L28" s="34"/>
      <c r="M28" s="34"/>
      <c r="N28" s="34"/>
      <c r="O28" s="34"/>
      <c r="P28" s="34"/>
      <c r="Q28" s="34"/>
      <c r="R28" s="34"/>
    </row>
    <row r="29" spans="1:24" ht="25.5" customHeight="1">
      <c r="A29" s="34"/>
      <c r="B29" s="34"/>
      <c r="C29" s="34"/>
      <c r="D29" s="34"/>
      <c r="E29" s="34"/>
      <c r="F29" s="34"/>
      <c r="G29" s="34"/>
      <c r="H29" s="34"/>
      <c r="I29" s="34"/>
      <c r="J29" s="34"/>
      <c r="K29" s="34"/>
      <c r="L29" s="34"/>
      <c r="M29" s="34"/>
      <c r="N29" s="34"/>
      <c r="O29" s="34"/>
      <c r="P29" s="34"/>
      <c r="Q29" s="34"/>
      <c r="R29" s="34"/>
    </row>
    <row r="30" spans="1:24" ht="25.5" customHeight="1">
      <c r="A30" s="34"/>
      <c r="B30" s="34"/>
      <c r="C30" s="34"/>
      <c r="D30" s="34"/>
      <c r="E30" s="34"/>
      <c r="F30" s="34"/>
      <c r="G30" s="34"/>
      <c r="H30" s="34"/>
      <c r="I30" s="34"/>
      <c r="J30" s="34"/>
      <c r="K30" s="34"/>
      <c r="L30" s="34"/>
      <c r="M30" s="34"/>
      <c r="N30" s="34"/>
      <c r="O30" s="34"/>
      <c r="P30" s="34"/>
      <c r="Q30" s="34"/>
      <c r="R30" s="34"/>
    </row>
    <row r="31" spans="1:24" ht="25.5" customHeight="1">
      <c r="A31" s="34"/>
      <c r="B31" s="34"/>
      <c r="C31" s="34"/>
      <c r="D31" s="34"/>
      <c r="E31" s="34"/>
      <c r="F31" s="34"/>
      <c r="G31" s="34"/>
      <c r="H31" s="34"/>
      <c r="I31" s="34"/>
      <c r="J31" s="34"/>
      <c r="K31" s="34"/>
      <c r="L31" s="34"/>
      <c r="M31" s="34"/>
      <c r="N31" s="34"/>
      <c r="O31" s="34"/>
      <c r="P31" s="34"/>
      <c r="Q31" s="34"/>
      <c r="R31" s="34"/>
    </row>
    <row r="32" spans="1:24" ht="25.5" customHeight="1">
      <c r="A32" s="34"/>
      <c r="B32" s="34"/>
      <c r="C32" s="34"/>
      <c r="D32" s="34"/>
      <c r="E32" s="34"/>
      <c r="F32" s="34"/>
      <c r="G32" s="34"/>
      <c r="H32" s="34"/>
      <c r="I32" s="34"/>
      <c r="J32" s="34"/>
      <c r="K32" s="34"/>
      <c r="L32" s="34"/>
      <c r="M32" s="34"/>
      <c r="N32" s="34"/>
      <c r="O32" s="34"/>
      <c r="P32" s="34"/>
      <c r="Q32" s="34"/>
      <c r="R32" s="34"/>
    </row>
    <row r="33" spans="1:19" ht="25.5" customHeight="1">
      <c r="A33" s="34"/>
      <c r="B33" s="34"/>
      <c r="C33" s="34"/>
      <c r="D33" s="34"/>
      <c r="E33" s="34"/>
      <c r="F33" s="34"/>
      <c r="G33" s="34"/>
      <c r="H33" s="34"/>
      <c r="I33" s="34"/>
      <c r="J33" s="34"/>
      <c r="K33" s="34"/>
      <c r="L33" s="34"/>
      <c r="M33" s="34"/>
      <c r="N33" s="34"/>
      <c r="O33" s="34"/>
      <c r="P33" s="34"/>
      <c r="Q33" s="34"/>
      <c r="R33" s="34"/>
    </row>
    <row r="34" spans="1:19" ht="25.5" customHeight="1">
      <c r="A34" s="34"/>
      <c r="B34" s="34"/>
      <c r="C34" s="34"/>
      <c r="D34" s="34"/>
      <c r="E34" s="34"/>
      <c r="F34" s="34"/>
      <c r="G34" s="34"/>
      <c r="H34" s="34"/>
      <c r="I34" s="34"/>
      <c r="J34" s="34"/>
      <c r="K34" s="34"/>
      <c r="L34" s="34"/>
      <c r="M34" s="34"/>
      <c r="N34" s="34"/>
      <c r="O34" s="34"/>
      <c r="P34" s="34"/>
      <c r="Q34" s="34"/>
      <c r="R34" s="34"/>
    </row>
    <row r="35" spans="1:19" ht="25.5" customHeight="1">
      <c r="A35" s="34"/>
      <c r="B35" s="34"/>
      <c r="C35" s="34"/>
      <c r="D35" s="34"/>
      <c r="E35" s="34"/>
      <c r="F35" s="34"/>
      <c r="G35" s="34"/>
      <c r="H35" s="34"/>
      <c r="I35" s="34"/>
      <c r="J35" s="34"/>
      <c r="K35" s="34"/>
      <c r="L35" s="34"/>
      <c r="M35" s="34"/>
      <c r="N35" s="34"/>
      <c r="O35" s="34"/>
      <c r="P35" s="34"/>
      <c r="Q35" s="34"/>
      <c r="R35" s="34"/>
    </row>
    <row r="36" spans="1:19" ht="25.5" customHeight="1">
      <c r="A36" s="34"/>
      <c r="B36" s="34"/>
      <c r="C36" s="34"/>
      <c r="D36" s="34"/>
      <c r="E36" s="34"/>
      <c r="F36" s="34"/>
      <c r="G36" s="34"/>
      <c r="H36" s="34"/>
      <c r="I36" s="34"/>
      <c r="J36" s="34"/>
      <c r="K36" s="34"/>
      <c r="L36" s="34"/>
      <c r="M36" s="34"/>
      <c r="N36" s="34"/>
      <c r="O36" s="34"/>
      <c r="P36" s="34"/>
      <c r="Q36" s="34"/>
      <c r="R36" s="34"/>
    </row>
    <row r="37" spans="1:19" ht="25.5" customHeight="1">
      <c r="A37" s="34"/>
      <c r="B37" s="34"/>
      <c r="C37" s="34"/>
      <c r="D37" s="34"/>
      <c r="E37" s="34"/>
      <c r="F37" s="34"/>
      <c r="G37" s="34"/>
      <c r="H37" s="34"/>
      <c r="I37" s="34"/>
      <c r="J37" s="34"/>
      <c r="K37" s="34"/>
      <c r="L37" s="34"/>
      <c r="M37" s="34"/>
      <c r="N37" s="34"/>
      <c r="O37" s="34"/>
      <c r="P37" s="34"/>
      <c r="Q37" s="34"/>
      <c r="R37" s="34"/>
    </row>
    <row r="38" spans="1:19" ht="25.5" customHeight="1">
      <c r="A38" s="34"/>
      <c r="B38" s="34"/>
      <c r="C38" s="34"/>
      <c r="D38" s="34"/>
      <c r="E38" s="34"/>
      <c r="F38" s="34"/>
      <c r="G38" s="34"/>
      <c r="H38" s="34"/>
      <c r="I38" s="34"/>
      <c r="J38" s="34"/>
      <c r="K38" s="34"/>
      <c r="L38" s="34"/>
      <c r="M38" s="34"/>
      <c r="N38" s="34"/>
      <c r="O38" s="34"/>
      <c r="P38" s="34"/>
      <c r="Q38" s="34"/>
      <c r="R38" s="34"/>
    </row>
    <row r="39" spans="1:19" ht="25.5" customHeight="1">
      <c r="A39" s="34"/>
      <c r="B39" s="34"/>
      <c r="C39" s="34"/>
      <c r="D39" s="34"/>
      <c r="E39" s="34"/>
      <c r="F39" s="34"/>
      <c r="G39" s="34"/>
      <c r="H39" s="34"/>
      <c r="I39" s="34"/>
      <c r="J39" s="34"/>
      <c r="K39" s="34"/>
      <c r="L39" s="34"/>
      <c r="M39" s="34"/>
      <c r="N39" s="34"/>
      <c r="O39" s="34"/>
      <c r="P39" s="34"/>
      <c r="Q39" s="34"/>
      <c r="R39" s="34"/>
    </row>
    <row r="40" spans="1:19">
      <c r="S40" s="104"/>
    </row>
    <row r="41" spans="1:19">
      <c r="S41" s="104"/>
    </row>
    <row r="42" spans="1:19">
      <c r="S42" s="104"/>
    </row>
    <row r="43" spans="1:19">
      <c r="S43" s="104"/>
    </row>
    <row r="44" spans="1:19" ht="51" customHeight="1">
      <c r="S44" s="104"/>
    </row>
    <row r="45" spans="1:19" ht="78" customHeight="1">
      <c r="A45" s="405"/>
      <c r="B45" s="405"/>
      <c r="C45" s="405"/>
      <c r="D45" s="405"/>
      <c r="E45" s="405"/>
      <c r="F45" s="405"/>
      <c r="G45" s="405"/>
      <c r="H45" s="405"/>
      <c r="I45" s="405"/>
      <c r="J45" s="405"/>
      <c r="K45" s="405"/>
      <c r="L45" s="405"/>
      <c r="M45" s="405"/>
      <c r="N45" s="405"/>
      <c r="O45" s="405"/>
      <c r="P45" s="405"/>
      <c r="Q45" s="405"/>
      <c r="R45" s="405"/>
      <c r="S45" s="104"/>
    </row>
    <row r="51" spans="2:21">
      <c r="S51" s="104"/>
      <c r="T51" s="104"/>
      <c r="U51" s="104"/>
    </row>
    <row r="52" spans="2:21">
      <c r="S52" s="104"/>
      <c r="T52" s="104"/>
      <c r="U52" s="104"/>
    </row>
    <row r="53" spans="2:21">
      <c r="S53" s="104"/>
      <c r="T53" s="104"/>
      <c r="U53" s="104"/>
    </row>
    <row r="54" spans="2:21">
      <c r="S54" s="104"/>
      <c r="T54" s="104"/>
      <c r="U54" s="104"/>
    </row>
    <row r="55" spans="2:21">
      <c r="S55" s="104"/>
      <c r="T55" s="104"/>
      <c r="U55" s="104"/>
    </row>
    <row r="56" spans="2:21">
      <c r="S56" s="104"/>
      <c r="T56" s="104"/>
      <c r="U56" s="104"/>
    </row>
    <row r="57" spans="2:21">
      <c r="B57" s="104"/>
      <c r="C57" s="104"/>
      <c r="D57" s="104"/>
      <c r="E57" s="104"/>
      <c r="F57" s="104"/>
      <c r="G57" s="104"/>
      <c r="H57" s="104"/>
      <c r="I57" s="104"/>
      <c r="J57" s="104"/>
      <c r="K57" s="104"/>
      <c r="L57" s="104"/>
      <c r="M57" s="104"/>
      <c r="N57" s="104"/>
      <c r="O57" s="104"/>
      <c r="P57" s="104"/>
      <c r="Q57" s="104"/>
      <c r="R57" s="104"/>
      <c r="S57" s="104"/>
      <c r="T57" s="104"/>
      <c r="U57" s="10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57"/>
  <sheetViews>
    <sheetView showGridLines="0" view="pageBreakPreview" topLeftCell="A2" zoomScale="55" zoomScaleNormal="100" zoomScaleSheetLayoutView="55" zoomScalePageLayoutView="62" workbookViewId="0">
      <selection activeCell="Q2" sqref="Q1:AE1048576"/>
    </sheetView>
  </sheetViews>
  <sheetFormatPr baseColWidth="10" defaultColWidth="11.42578125" defaultRowHeight="15"/>
  <cols>
    <col min="1" max="5" width="18.42578125" style="84" customWidth="1"/>
    <col min="6" max="6" width="18" style="84" customWidth="1"/>
    <col min="7" max="7" width="22" style="84" customWidth="1"/>
    <col min="8" max="8" width="17.42578125" style="84" customWidth="1"/>
    <col min="9" max="9" width="16.5703125" style="84" customWidth="1"/>
    <col min="10" max="10" width="16.28515625" style="84" customWidth="1"/>
    <col min="11" max="11" width="13.85546875" style="84" customWidth="1"/>
    <col min="12" max="12" width="12.7109375" style="84" customWidth="1"/>
    <col min="13" max="13" width="19" style="84" customWidth="1"/>
    <col min="14" max="14" width="16.140625" style="84" customWidth="1"/>
    <col min="15" max="15" width="17.7109375" style="84" customWidth="1"/>
    <col min="16" max="16" width="15.28515625" style="84" customWidth="1"/>
    <col min="17" max="16384" width="11.42578125" style="84"/>
  </cols>
  <sheetData>
    <row r="1" spans="1:16" ht="87" customHeight="1">
      <c r="A1" s="1758"/>
      <c r="B1" s="1758"/>
      <c r="C1" s="1758"/>
      <c r="D1" s="1758"/>
      <c r="E1" s="1758"/>
      <c r="F1" s="1758"/>
      <c r="G1" s="1758"/>
      <c r="H1" s="1758"/>
      <c r="I1" s="1758"/>
      <c r="J1" s="1758"/>
      <c r="K1" s="1758"/>
      <c r="L1" s="1758"/>
      <c r="M1" s="1758"/>
      <c r="N1" s="1758"/>
      <c r="O1" s="1758"/>
      <c r="P1" s="1758"/>
    </row>
    <row r="2" spans="1:16" ht="19.5" customHeight="1">
      <c r="A2" s="1320"/>
      <c r="B2" s="1322"/>
      <c r="C2" s="1322"/>
      <c r="D2" s="1322"/>
      <c r="E2" s="1322"/>
      <c r="F2" s="1320"/>
      <c r="G2" s="1320"/>
      <c r="H2" s="1322" t="s">
        <v>817</v>
      </c>
      <c r="I2" s="1320"/>
      <c r="J2" s="1320"/>
      <c r="K2" s="1320"/>
      <c r="L2" s="1320"/>
      <c r="M2" s="1320"/>
      <c r="N2" s="1320"/>
      <c r="O2" s="1320"/>
      <c r="P2" s="1320"/>
    </row>
    <row r="3" spans="1:16" ht="8.25" customHeight="1">
      <c r="A3" s="1403"/>
      <c r="B3" s="1403"/>
      <c r="C3" s="1403"/>
      <c r="D3" s="1403"/>
      <c r="E3" s="1403"/>
      <c r="F3" s="1403"/>
      <c r="G3" s="1403"/>
      <c r="H3" s="1403"/>
      <c r="I3" s="1403"/>
      <c r="J3" s="1403"/>
      <c r="K3" s="1403"/>
      <c r="L3" s="1403"/>
      <c r="M3" s="1403"/>
      <c r="N3" s="1403"/>
      <c r="O3" s="1403"/>
      <c r="P3" s="1403"/>
    </row>
    <row r="4" spans="1:16" ht="26.25" customHeight="1">
      <c r="A4" s="1322"/>
      <c r="B4" s="1761" t="s">
        <v>815</v>
      </c>
      <c r="C4" s="1762"/>
      <c r="D4" s="1762" t="s">
        <v>816</v>
      </c>
      <c r="E4" s="1763"/>
      <c r="F4" s="1764" t="s">
        <v>818</v>
      </c>
      <c r="G4" s="1764"/>
      <c r="H4" s="1764"/>
      <c r="I4" s="1764"/>
      <c r="J4" s="1765"/>
      <c r="K4" s="1322"/>
      <c r="L4" s="1322"/>
      <c r="M4" s="1322"/>
      <c r="N4" s="1322"/>
      <c r="O4" s="1322"/>
      <c r="P4" s="1322"/>
    </row>
    <row r="5" spans="1:16" ht="26.25" customHeight="1">
      <c r="A5" s="430" t="s">
        <v>251</v>
      </c>
      <c r="B5" s="1697" t="s">
        <v>130</v>
      </c>
      <c r="C5" s="1698" t="s">
        <v>77</v>
      </c>
      <c r="D5" s="1697" t="s">
        <v>130</v>
      </c>
      <c r="E5" s="1698" t="s">
        <v>77</v>
      </c>
      <c r="F5" s="1336" t="s">
        <v>130</v>
      </c>
      <c r="G5" s="326" t="s">
        <v>77</v>
      </c>
      <c r="H5" s="326" t="s">
        <v>23</v>
      </c>
      <c r="I5" s="326" t="s">
        <v>812</v>
      </c>
      <c r="J5" s="327" t="s">
        <v>814</v>
      </c>
    </row>
    <row r="6" spans="1:16" ht="25.5" hidden="1" customHeight="1">
      <c r="A6" s="329" t="s">
        <v>26</v>
      </c>
      <c r="B6" s="1337"/>
      <c r="C6" s="1337"/>
      <c r="D6" s="1337"/>
      <c r="E6" s="1337"/>
      <c r="F6" s="254"/>
      <c r="G6" s="254">
        <v>44000</v>
      </c>
      <c r="I6" s="343"/>
      <c r="J6" s="346">
        <f>F6+G6+I6</f>
        <v>44000</v>
      </c>
    </row>
    <row r="7" spans="1:16" ht="25.5" hidden="1" customHeight="1">
      <c r="A7" s="329" t="s">
        <v>27</v>
      </c>
      <c r="B7" s="1337"/>
      <c r="C7" s="1337"/>
      <c r="D7" s="1337"/>
      <c r="E7" s="1337"/>
      <c r="F7" s="254"/>
      <c r="G7" s="254">
        <v>65017</v>
      </c>
      <c r="I7" s="343"/>
      <c r="J7" s="347">
        <f>F7+G7+I7</f>
        <v>65017</v>
      </c>
    </row>
    <row r="8" spans="1:16" ht="25.5" customHeight="1">
      <c r="A8" s="1338" t="s">
        <v>30</v>
      </c>
      <c r="B8" s="1339">
        <v>479821</v>
      </c>
      <c r="C8" s="1327">
        <v>602115</v>
      </c>
      <c r="D8" s="1327">
        <v>792515</v>
      </c>
      <c r="E8" s="1340">
        <v>684666</v>
      </c>
      <c r="F8" s="1327">
        <v>1272336</v>
      </c>
      <c r="G8" s="1327">
        <v>1286781</v>
      </c>
      <c r="H8" s="1330">
        <f>F8+G8</f>
        <v>2559117</v>
      </c>
      <c r="I8" s="1328">
        <f>F8/H8</f>
        <v>0.49717773747741895</v>
      </c>
      <c r="J8" s="1333">
        <f>G8/H8</f>
        <v>0.502822262522581</v>
      </c>
    </row>
    <row r="9" spans="1:16" ht="25.5" customHeight="1">
      <c r="A9" s="518" t="s">
        <v>31</v>
      </c>
      <c r="B9" s="1341">
        <v>545438</v>
      </c>
      <c r="C9" s="254">
        <v>679205</v>
      </c>
      <c r="D9" s="254">
        <v>890402</v>
      </c>
      <c r="E9" s="343">
        <v>801857</v>
      </c>
      <c r="F9" s="254">
        <v>1435840</v>
      </c>
      <c r="G9" s="254">
        <v>1481062</v>
      </c>
      <c r="H9" s="1331">
        <f t="shared" ref="H9:H15" si="0">F9+G9</f>
        <v>2916902</v>
      </c>
      <c r="I9" s="1326">
        <f t="shared" ref="I9:I16" si="1">F9/H9</f>
        <v>0.49224828259571285</v>
      </c>
      <c r="J9" s="1334">
        <f t="shared" ref="J9:J16" si="2">G9/H9</f>
        <v>0.50775171740428715</v>
      </c>
    </row>
    <row r="10" spans="1:16" ht="25.5" customHeight="1">
      <c r="A10" s="518" t="s">
        <v>32</v>
      </c>
      <c r="B10" s="1341">
        <v>615631</v>
      </c>
      <c r="C10" s="254">
        <v>788594</v>
      </c>
      <c r="D10" s="254">
        <v>1078877</v>
      </c>
      <c r="E10" s="343">
        <v>1009422</v>
      </c>
      <c r="F10" s="254">
        <v>1694508</v>
      </c>
      <c r="G10" s="254">
        <v>1798016</v>
      </c>
      <c r="H10" s="1331">
        <f t="shared" si="0"/>
        <v>3492524</v>
      </c>
      <c r="I10" s="1326">
        <f t="shared" si="1"/>
        <v>0.48518149052089549</v>
      </c>
      <c r="J10" s="1334">
        <f t="shared" si="2"/>
        <v>0.51481850947910446</v>
      </c>
    </row>
    <row r="11" spans="1:16" ht="25.5" customHeight="1">
      <c r="A11" s="518" t="s">
        <v>196</v>
      </c>
      <c r="B11" s="1341">
        <v>904636</v>
      </c>
      <c r="C11" s="254">
        <v>1109150</v>
      </c>
      <c r="D11" s="254">
        <v>1210182</v>
      </c>
      <c r="E11" s="343">
        <v>1153901</v>
      </c>
      <c r="F11" s="254">
        <v>2114818</v>
      </c>
      <c r="G11" s="254">
        <v>2263051</v>
      </c>
      <c r="H11" s="1331">
        <f t="shared" si="0"/>
        <v>4377869</v>
      </c>
      <c r="I11" s="1326">
        <f t="shared" si="1"/>
        <v>0.48307018780141664</v>
      </c>
      <c r="J11" s="1334">
        <f t="shared" si="2"/>
        <v>0.51692981219858336</v>
      </c>
    </row>
    <row r="12" spans="1:16" ht="25.5" customHeight="1">
      <c r="A12" s="518" t="s">
        <v>244</v>
      </c>
      <c r="B12" s="1341">
        <v>899174</v>
      </c>
      <c r="C12" s="254">
        <v>1104253</v>
      </c>
      <c r="D12" s="254">
        <v>1279458</v>
      </c>
      <c r="E12" s="343">
        <v>1237965</v>
      </c>
      <c r="F12" s="254">
        <v>2178632</v>
      </c>
      <c r="G12" s="254">
        <v>2342218</v>
      </c>
      <c r="H12" s="1331">
        <f t="shared" si="0"/>
        <v>4520850</v>
      </c>
      <c r="I12" s="1326">
        <f t="shared" si="1"/>
        <v>0.48190760587057746</v>
      </c>
      <c r="J12" s="1334">
        <f t="shared" si="2"/>
        <v>0.51809239412942254</v>
      </c>
    </row>
    <row r="13" spans="1:16" ht="25.5" customHeight="1">
      <c r="A13" s="518" t="s">
        <v>498</v>
      </c>
      <c r="B13" s="1341">
        <v>1031326</v>
      </c>
      <c r="C13" s="254">
        <v>1272025</v>
      </c>
      <c r="D13" s="254">
        <v>1360788</v>
      </c>
      <c r="E13" s="343">
        <v>1327623</v>
      </c>
      <c r="F13" s="254">
        <v>2392114</v>
      </c>
      <c r="G13" s="254">
        <v>2599648</v>
      </c>
      <c r="H13" s="1331">
        <f t="shared" si="0"/>
        <v>4991762</v>
      </c>
      <c r="I13" s="1326">
        <f t="shared" si="1"/>
        <v>0.47921235026830206</v>
      </c>
      <c r="J13" s="1334">
        <f t="shared" si="2"/>
        <v>0.520787649731698</v>
      </c>
    </row>
    <row r="14" spans="1:16" ht="25.5" customHeight="1">
      <c r="A14" s="518" t="s">
        <v>589</v>
      </c>
      <c r="B14" s="1341">
        <v>1243431</v>
      </c>
      <c r="C14" s="254">
        <v>1508322</v>
      </c>
      <c r="D14" s="254">
        <v>1462398</v>
      </c>
      <c r="E14" s="343">
        <v>1438578</v>
      </c>
      <c r="F14" s="254">
        <v>2705829</v>
      </c>
      <c r="G14" s="254">
        <v>2946900</v>
      </c>
      <c r="H14" s="1331">
        <f t="shared" si="0"/>
        <v>5652729</v>
      </c>
      <c r="I14" s="1326">
        <f t="shared" si="1"/>
        <v>0.47867658258515489</v>
      </c>
      <c r="J14" s="1334">
        <f t="shared" si="2"/>
        <v>0.52132341741484511</v>
      </c>
    </row>
    <row r="15" spans="1:16" ht="25.5" customHeight="1">
      <c r="A15" s="518" t="s">
        <v>630</v>
      </c>
      <c r="B15" s="1341">
        <v>1400518</v>
      </c>
      <c r="C15" s="254">
        <v>1615128</v>
      </c>
      <c r="D15" s="254">
        <v>1578325</v>
      </c>
      <c r="E15" s="343">
        <v>1563274</v>
      </c>
      <c r="F15" s="254">
        <v>2978843</v>
      </c>
      <c r="G15" s="254">
        <v>3178402</v>
      </c>
      <c r="H15" s="1331">
        <f t="shared" si="0"/>
        <v>6157245</v>
      </c>
      <c r="I15" s="1326">
        <f t="shared" si="1"/>
        <v>0.48379478159469047</v>
      </c>
      <c r="J15" s="1334">
        <f t="shared" si="2"/>
        <v>0.51620521840530953</v>
      </c>
    </row>
    <row r="16" spans="1:16" ht="25.5" customHeight="1">
      <c r="A16" s="520" t="s">
        <v>632</v>
      </c>
      <c r="B16" s="1342">
        <v>1393730</v>
      </c>
      <c r="C16" s="1343">
        <v>1607251</v>
      </c>
      <c r="D16" s="1343">
        <v>1584517</v>
      </c>
      <c r="E16" s="1344">
        <v>1570852</v>
      </c>
      <c r="F16" s="419">
        <v>2978247</v>
      </c>
      <c r="G16" s="419">
        <v>3178103</v>
      </c>
      <c r="H16" s="1332">
        <f>F16+G16</f>
        <v>6156350</v>
      </c>
      <c r="I16" s="1329">
        <f t="shared" si="1"/>
        <v>0.48376830427119966</v>
      </c>
      <c r="J16" s="1335">
        <f t="shared" si="2"/>
        <v>0.51623169572880034</v>
      </c>
    </row>
    <row r="17" spans="1:22" ht="39.75" customHeight="1">
      <c r="A17" s="1760" t="s">
        <v>901</v>
      </c>
      <c r="B17" s="1760"/>
      <c r="C17" s="1760"/>
      <c r="D17" s="1760"/>
      <c r="E17" s="1760"/>
      <c r="F17" s="1760"/>
      <c r="G17" s="1760"/>
      <c r="H17" s="1760"/>
      <c r="I17" s="1760"/>
      <c r="J17" s="1760"/>
      <c r="K17" s="1323"/>
      <c r="L17" s="1323"/>
      <c r="M17" s="1323"/>
      <c r="N17" s="1323"/>
      <c r="O17" s="1323"/>
      <c r="P17" s="1323"/>
    </row>
    <row r="18" spans="1:22" ht="25.5" customHeight="1">
      <c r="A18" s="34"/>
      <c r="B18" s="34"/>
      <c r="C18" s="34"/>
      <c r="D18" s="34"/>
      <c r="E18" s="34"/>
      <c r="F18" s="34"/>
      <c r="G18" s="34"/>
      <c r="H18" s="34"/>
      <c r="I18" s="34"/>
      <c r="J18" s="34"/>
      <c r="K18" s="34"/>
      <c r="L18" s="34"/>
      <c r="M18" s="34"/>
      <c r="N18" s="34"/>
      <c r="O18" s="34"/>
      <c r="P18" s="34"/>
    </row>
    <row r="19" spans="1:22" ht="25.5" customHeight="1">
      <c r="A19" s="34"/>
      <c r="B19" s="34"/>
      <c r="C19" s="34"/>
      <c r="D19" s="34"/>
      <c r="E19" s="34"/>
      <c r="F19" s="34"/>
      <c r="G19" s="34"/>
      <c r="H19" s="34"/>
      <c r="I19" s="34"/>
      <c r="J19" s="34"/>
      <c r="K19" s="34"/>
      <c r="L19" s="34"/>
      <c r="M19" s="34"/>
      <c r="N19" s="34"/>
      <c r="O19" s="34"/>
      <c r="P19" s="34"/>
    </row>
    <row r="20" spans="1:22" ht="25.5" customHeight="1">
      <c r="A20" s="34"/>
      <c r="B20" s="34"/>
      <c r="C20" s="34"/>
      <c r="D20" s="34"/>
      <c r="E20" s="34"/>
      <c r="F20" s="34"/>
      <c r="G20" s="34"/>
      <c r="H20" s="34"/>
      <c r="I20" s="34"/>
      <c r="J20" s="34"/>
      <c r="K20" s="34"/>
      <c r="L20" s="34"/>
      <c r="M20" s="34"/>
      <c r="N20" s="34"/>
      <c r="O20" s="34"/>
      <c r="P20" s="34"/>
      <c r="V20" s="84" t="s">
        <v>33</v>
      </c>
    </row>
    <row r="21" spans="1:22" ht="25.5" customHeight="1">
      <c r="A21" s="34"/>
      <c r="B21" s="34"/>
      <c r="C21" s="34"/>
      <c r="D21" s="34"/>
      <c r="E21" s="34"/>
      <c r="F21" s="34"/>
      <c r="G21" s="34"/>
      <c r="H21" s="34"/>
      <c r="I21" s="34"/>
      <c r="J21" s="34"/>
      <c r="K21" s="34"/>
      <c r="L21" s="34"/>
      <c r="M21" s="34"/>
      <c r="N21" s="34"/>
      <c r="O21" s="34"/>
      <c r="P21" s="34"/>
    </row>
    <row r="22" spans="1:22" ht="25.5" customHeight="1">
      <c r="A22" s="34"/>
      <c r="B22" s="34"/>
      <c r="C22" s="34"/>
      <c r="D22" s="34"/>
      <c r="E22" s="34"/>
      <c r="F22" s="34"/>
      <c r="G22" s="34"/>
      <c r="H22" s="34"/>
      <c r="I22" s="34"/>
      <c r="J22" s="34"/>
      <c r="K22" s="34"/>
      <c r="L22" s="34"/>
      <c r="M22" s="34"/>
      <c r="N22" s="34"/>
      <c r="O22" s="34"/>
      <c r="P22" s="34"/>
    </row>
    <row r="23" spans="1:22" ht="25.5" customHeight="1">
      <c r="A23" s="34"/>
      <c r="B23" s="34"/>
      <c r="C23" s="34"/>
      <c r="D23" s="34"/>
      <c r="E23" s="34"/>
      <c r="F23" s="34"/>
      <c r="G23" s="34"/>
      <c r="H23" s="34"/>
      <c r="I23" s="34"/>
      <c r="J23" s="34"/>
      <c r="K23" s="34"/>
      <c r="L23" s="34"/>
      <c r="M23" s="34"/>
      <c r="N23" s="34"/>
      <c r="O23" s="34"/>
      <c r="P23" s="34"/>
    </row>
    <row r="24" spans="1:22" ht="25.5" customHeight="1">
      <c r="A24" s="34"/>
      <c r="B24" s="34"/>
      <c r="C24" s="34"/>
      <c r="D24" s="34"/>
      <c r="E24" s="34"/>
      <c r="F24" s="34"/>
      <c r="G24" s="34"/>
      <c r="H24" s="34"/>
      <c r="I24" s="34"/>
      <c r="J24" s="34"/>
      <c r="K24" s="34"/>
      <c r="L24" s="34"/>
      <c r="M24" s="34"/>
      <c r="N24" s="34"/>
      <c r="O24" s="34"/>
      <c r="P24" s="34"/>
    </row>
    <row r="25" spans="1:22" ht="25.5" customHeight="1">
      <c r="A25" s="34"/>
      <c r="B25" s="34"/>
      <c r="C25" s="34"/>
      <c r="D25" s="34"/>
      <c r="E25" s="34"/>
      <c r="F25" s="34"/>
      <c r="G25" s="34"/>
      <c r="H25" s="34"/>
      <c r="I25" s="34"/>
      <c r="J25" s="34"/>
      <c r="K25" s="34"/>
      <c r="L25" s="34"/>
      <c r="M25" s="34"/>
      <c r="N25" s="34"/>
      <c r="O25" s="34"/>
      <c r="P25" s="34"/>
    </row>
    <row r="26" spans="1:22" ht="25.5" customHeight="1">
      <c r="A26" s="34"/>
      <c r="B26" s="34"/>
      <c r="C26" s="34"/>
      <c r="D26" s="34"/>
      <c r="E26" s="34"/>
      <c r="F26" s="34"/>
      <c r="G26" s="34"/>
      <c r="H26" s="34"/>
      <c r="I26" s="34"/>
      <c r="J26" s="34"/>
      <c r="K26" s="34"/>
      <c r="L26" s="34"/>
      <c r="M26" s="34"/>
      <c r="N26" s="34"/>
      <c r="O26" s="34"/>
      <c r="P26" s="34"/>
    </row>
    <row r="27" spans="1:22" ht="25.5" customHeight="1">
      <c r="A27" s="34"/>
      <c r="B27" s="34"/>
      <c r="C27" s="34"/>
      <c r="D27" s="34"/>
      <c r="E27" s="34"/>
      <c r="F27" s="34"/>
      <c r="G27" s="34"/>
      <c r="H27" s="34"/>
      <c r="I27" s="34"/>
      <c r="J27" s="34"/>
      <c r="K27" s="34"/>
      <c r="L27" s="34"/>
      <c r="M27" s="34"/>
      <c r="N27" s="34"/>
      <c r="O27" s="34"/>
      <c r="P27" s="34"/>
    </row>
    <row r="28" spans="1:22" ht="25.5" customHeight="1">
      <c r="A28" s="34"/>
      <c r="B28" s="34"/>
      <c r="C28" s="34"/>
      <c r="D28" s="34"/>
      <c r="E28" s="34"/>
      <c r="F28" s="34"/>
      <c r="G28" s="34"/>
      <c r="H28" s="34"/>
      <c r="I28" s="34"/>
      <c r="J28" s="34"/>
      <c r="K28" s="34"/>
      <c r="L28" s="34"/>
      <c r="M28" s="34"/>
      <c r="N28" s="34"/>
      <c r="O28" s="34"/>
      <c r="P28" s="34"/>
    </row>
    <row r="29" spans="1:22" ht="25.5" customHeight="1">
      <c r="A29" s="34"/>
      <c r="B29" s="34"/>
      <c r="C29" s="34"/>
      <c r="D29" s="34"/>
      <c r="E29" s="34"/>
      <c r="F29" s="34"/>
      <c r="G29" s="34"/>
      <c r="H29" s="34"/>
      <c r="I29" s="34"/>
      <c r="J29" s="34"/>
      <c r="K29" s="34"/>
      <c r="L29" s="34"/>
      <c r="M29" s="34"/>
      <c r="N29" s="34"/>
      <c r="O29" s="34"/>
      <c r="P29" s="34"/>
    </row>
    <row r="30" spans="1:22" ht="25.5" customHeight="1">
      <c r="A30" s="34"/>
      <c r="B30" s="34"/>
      <c r="C30" s="34"/>
      <c r="D30" s="34"/>
      <c r="E30" s="34"/>
      <c r="F30" s="34"/>
      <c r="G30" s="34"/>
      <c r="H30" s="34"/>
      <c r="I30" s="34"/>
      <c r="J30" s="34"/>
      <c r="K30" s="34"/>
      <c r="L30" s="34"/>
      <c r="M30" s="34"/>
      <c r="N30" s="34"/>
      <c r="O30" s="34"/>
      <c r="P30" s="34"/>
    </row>
    <row r="31" spans="1:22" ht="25.5" customHeight="1">
      <c r="A31" s="34"/>
      <c r="B31" s="34"/>
      <c r="C31" s="34"/>
      <c r="D31" s="34"/>
      <c r="E31" s="34"/>
      <c r="F31" s="34"/>
      <c r="G31" s="34"/>
      <c r="H31" s="34"/>
      <c r="I31" s="34"/>
      <c r="J31" s="34"/>
      <c r="K31" s="34"/>
      <c r="L31" s="34"/>
      <c r="M31" s="34"/>
      <c r="N31" s="34"/>
      <c r="O31" s="34"/>
      <c r="P31" s="34"/>
    </row>
    <row r="32" spans="1:22" ht="25.5" customHeight="1">
      <c r="A32" s="34"/>
      <c r="B32" s="34"/>
      <c r="C32" s="34"/>
      <c r="D32" s="34"/>
      <c r="E32" s="34"/>
      <c r="F32" s="34"/>
      <c r="G32" s="34"/>
      <c r="H32" s="34"/>
      <c r="I32" s="34"/>
      <c r="J32" s="34"/>
      <c r="K32" s="34"/>
      <c r="L32" s="34"/>
      <c r="M32" s="34"/>
      <c r="N32" s="34"/>
      <c r="O32" s="34"/>
      <c r="P32" s="34"/>
    </row>
    <row r="33" spans="1:17" ht="25.5" customHeight="1">
      <c r="A33" s="34"/>
      <c r="B33" s="34"/>
      <c r="C33" s="34"/>
      <c r="D33" s="34"/>
      <c r="E33" s="34"/>
      <c r="F33" s="34"/>
      <c r="G33" s="34"/>
      <c r="H33" s="34"/>
      <c r="I33" s="34"/>
      <c r="J33" s="34"/>
      <c r="K33" s="34"/>
      <c r="L33" s="34"/>
      <c r="M33" s="34"/>
      <c r="N33" s="34"/>
      <c r="O33" s="34"/>
      <c r="P33" s="34"/>
    </row>
    <row r="34" spans="1:17" ht="25.5" customHeight="1">
      <c r="A34" s="34"/>
      <c r="B34" s="34"/>
      <c r="C34" s="34"/>
      <c r="D34" s="34"/>
      <c r="E34" s="34"/>
      <c r="F34" s="34"/>
      <c r="G34" s="34"/>
      <c r="H34" s="34"/>
      <c r="I34" s="34"/>
      <c r="J34" s="34"/>
      <c r="K34" s="34"/>
      <c r="L34" s="34"/>
      <c r="M34" s="34"/>
      <c r="N34" s="34"/>
      <c r="O34" s="34"/>
      <c r="P34" s="34"/>
    </row>
    <row r="35" spans="1:17" ht="25.5" customHeight="1">
      <c r="A35" s="34"/>
      <c r="B35" s="34"/>
      <c r="C35" s="34"/>
      <c r="D35" s="34"/>
      <c r="E35" s="34"/>
      <c r="F35" s="34"/>
      <c r="G35" s="34"/>
      <c r="H35" s="34"/>
      <c r="I35" s="34"/>
      <c r="J35" s="34"/>
      <c r="K35" s="34"/>
      <c r="L35" s="34"/>
      <c r="M35" s="34"/>
      <c r="N35" s="34"/>
      <c r="O35" s="34"/>
      <c r="P35" s="34"/>
    </row>
    <row r="36" spans="1:17" ht="25.5" customHeight="1">
      <c r="A36" s="34"/>
      <c r="B36" s="34"/>
      <c r="C36" s="34"/>
      <c r="D36" s="34"/>
      <c r="E36" s="34"/>
      <c r="F36" s="34"/>
      <c r="G36" s="34"/>
      <c r="H36" s="34"/>
      <c r="I36" s="34"/>
      <c r="J36" s="34"/>
      <c r="K36" s="34"/>
      <c r="L36" s="34"/>
      <c r="M36" s="34"/>
      <c r="N36" s="34"/>
      <c r="O36" s="34"/>
      <c r="P36" s="34"/>
    </row>
    <row r="37" spans="1:17" ht="25.5" customHeight="1">
      <c r="A37" s="34"/>
      <c r="B37" s="34"/>
      <c r="C37" s="34"/>
      <c r="D37" s="34"/>
      <c r="E37" s="34"/>
      <c r="F37" s="34"/>
      <c r="G37" s="34"/>
      <c r="H37" s="34"/>
      <c r="I37" s="34"/>
      <c r="J37" s="34"/>
      <c r="K37" s="34"/>
      <c r="L37" s="34"/>
      <c r="M37" s="34"/>
      <c r="N37" s="34"/>
      <c r="O37" s="34"/>
      <c r="P37" s="34"/>
    </row>
    <row r="38" spans="1:17" ht="25.5" customHeight="1">
      <c r="A38" s="34"/>
      <c r="B38" s="34"/>
      <c r="C38" s="34"/>
      <c r="D38" s="34"/>
      <c r="E38" s="34"/>
      <c r="F38" s="34"/>
      <c r="G38" s="34"/>
      <c r="H38" s="34"/>
      <c r="I38" s="34"/>
      <c r="J38" s="34"/>
      <c r="K38" s="34"/>
      <c r="L38" s="34"/>
      <c r="M38" s="34"/>
      <c r="N38" s="34"/>
      <c r="O38" s="34"/>
      <c r="P38" s="34"/>
    </row>
    <row r="39" spans="1:17" ht="25.5" customHeight="1">
      <c r="A39" s="34"/>
      <c r="B39" s="34"/>
      <c r="C39" s="34"/>
      <c r="D39" s="34"/>
      <c r="E39" s="34"/>
      <c r="F39" s="34"/>
      <c r="G39" s="34"/>
      <c r="H39" s="34"/>
      <c r="I39" s="34"/>
      <c r="J39" s="34"/>
      <c r="K39" s="34"/>
      <c r="L39" s="34"/>
      <c r="M39" s="34"/>
      <c r="N39" s="34"/>
      <c r="O39" s="34"/>
      <c r="P39" s="34"/>
    </row>
    <row r="40" spans="1:17">
      <c r="Q40" s="104"/>
    </row>
    <row r="41" spans="1:17">
      <c r="Q41" s="104"/>
    </row>
    <row r="42" spans="1:17">
      <c r="Q42" s="104"/>
    </row>
    <row r="43" spans="1:17">
      <c r="Q43" s="104"/>
    </row>
    <row r="44" spans="1:17" ht="51" customHeight="1">
      <c r="Q44" s="104"/>
    </row>
    <row r="45" spans="1:17" ht="78" customHeight="1">
      <c r="A45" s="1319"/>
      <c r="B45" s="1321"/>
      <c r="C45" s="1321"/>
      <c r="D45" s="1321"/>
      <c r="E45" s="1321"/>
      <c r="F45" s="1319"/>
      <c r="G45" s="1319"/>
      <c r="H45" s="1319"/>
      <c r="I45" s="1319"/>
      <c r="J45" s="1319"/>
      <c r="K45" s="1319"/>
      <c r="L45" s="1319"/>
      <c r="M45" s="1319"/>
      <c r="N45" s="1319"/>
      <c r="O45" s="1319"/>
      <c r="P45" s="1319"/>
      <c r="Q45" s="104"/>
    </row>
    <row r="51" spans="6:19">
      <c r="Q51" s="104"/>
      <c r="R51" s="104"/>
      <c r="S51" s="104"/>
    </row>
    <row r="52" spans="6:19">
      <c r="Q52" s="104"/>
      <c r="R52" s="104"/>
      <c r="S52" s="104"/>
    </row>
    <row r="53" spans="6:19">
      <c r="Q53" s="104"/>
      <c r="R53" s="104"/>
      <c r="S53" s="104"/>
    </row>
    <row r="54" spans="6:19">
      <c r="Q54" s="104"/>
      <c r="R54" s="104"/>
      <c r="S54" s="104"/>
    </row>
    <row r="55" spans="6:19">
      <c r="Q55" s="104"/>
      <c r="R55" s="104"/>
      <c r="S55" s="104"/>
    </row>
    <row r="56" spans="6:19">
      <c r="Q56" s="104"/>
      <c r="R56" s="104"/>
      <c r="S56" s="104"/>
    </row>
    <row r="57" spans="6:19">
      <c r="F57" s="104"/>
      <c r="G57" s="104"/>
      <c r="H57" s="104"/>
      <c r="I57" s="104"/>
      <c r="J57" s="104"/>
      <c r="K57" s="104"/>
      <c r="L57" s="104"/>
      <c r="M57" s="104"/>
      <c r="N57" s="104"/>
      <c r="O57" s="104"/>
      <c r="P57" s="104"/>
      <c r="Q57" s="104"/>
      <c r="R57" s="104"/>
      <c r="S57" s="104"/>
    </row>
  </sheetData>
  <mergeCells count="5">
    <mergeCell ref="A1:P1"/>
    <mergeCell ref="A17:J17"/>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6"/>
  <sheetViews>
    <sheetView showGridLines="0" view="pageBreakPreview" zoomScale="55" zoomScaleNormal="40" zoomScaleSheetLayoutView="55" workbookViewId="0">
      <pane ySplit="1" topLeftCell="A2" activePane="bottomLeft" state="frozen"/>
      <selection activeCell="M22" sqref="M22"/>
      <selection pane="bottomLeft" activeCell="I18" sqref="I18"/>
    </sheetView>
  </sheetViews>
  <sheetFormatPr baseColWidth="10" defaultColWidth="11.5703125" defaultRowHeight="15"/>
  <cols>
    <col min="1" max="1" width="22.28515625" style="84" customWidth="1"/>
    <col min="2" max="2" width="20.85546875" style="84" customWidth="1"/>
    <col min="3" max="3" width="19.42578125" style="84" customWidth="1"/>
    <col min="4" max="4" width="20" style="84" customWidth="1"/>
    <col min="5" max="5" width="15.28515625" style="84" bestFit="1" customWidth="1"/>
    <col min="6" max="6" width="17.42578125" style="84" bestFit="1" customWidth="1"/>
    <col min="7" max="7" width="13.85546875" style="84" customWidth="1"/>
    <col min="8" max="8" width="18.85546875" style="84" bestFit="1" customWidth="1"/>
    <col min="9" max="9" width="13.85546875" style="84" customWidth="1"/>
    <col min="10" max="10" width="14.140625" style="84" customWidth="1"/>
    <col min="11" max="11" width="12.140625" style="84" customWidth="1"/>
    <col min="12" max="12" width="39.28515625" style="84" customWidth="1"/>
    <col min="13" max="13" width="15.42578125" style="84" bestFit="1" customWidth="1"/>
    <col min="14" max="15" width="11.5703125" style="84"/>
    <col min="16" max="16" width="17.5703125" style="84" customWidth="1"/>
    <col min="17" max="17" width="11.5703125" style="84"/>
    <col min="18" max="18" width="14.42578125" style="84" customWidth="1"/>
    <col min="19" max="20" width="14.7109375" style="1731" bestFit="1" customWidth="1"/>
    <col min="21" max="21" width="13.7109375" style="1731" bestFit="1" customWidth="1"/>
    <col min="22" max="22" width="11.5703125" style="1731"/>
    <col min="23" max="16384" width="11.5703125" style="84"/>
  </cols>
  <sheetData>
    <row r="1" spans="1:21" ht="123" customHeight="1">
      <c r="A1" s="1766"/>
      <c r="B1" s="1766"/>
      <c r="C1" s="1766"/>
      <c r="D1" s="1766"/>
      <c r="E1" s="1766"/>
      <c r="F1" s="1766"/>
      <c r="G1" s="1766"/>
      <c r="H1" s="1766"/>
      <c r="I1" s="1766"/>
      <c r="J1" s="1766"/>
      <c r="K1" s="1766"/>
      <c r="L1" s="1766"/>
      <c r="M1" s="1766"/>
      <c r="N1" s="1766"/>
      <c r="O1" s="1766"/>
      <c r="P1" s="1766"/>
    </row>
    <row r="2" spans="1:21" ht="33" customHeight="1">
      <c r="A2" s="1767" t="s">
        <v>24</v>
      </c>
      <c r="B2" s="1767"/>
      <c r="C2" s="1767"/>
      <c r="D2" s="1767"/>
      <c r="E2" s="102"/>
      <c r="F2" s="71"/>
      <c r="G2" s="71"/>
      <c r="H2" s="71"/>
      <c r="I2" s="71"/>
      <c r="J2" s="71"/>
      <c r="K2" s="71"/>
      <c r="L2" s="71"/>
      <c r="M2" s="71"/>
      <c r="N2" s="71"/>
      <c r="O2" s="71"/>
    </row>
    <row r="3" spans="1:21" ht="42.75" customHeight="1">
      <c r="A3" s="351" t="s">
        <v>25</v>
      </c>
      <c r="B3" s="349" t="s">
        <v>35</v>
      </c>
      <c r="C3" s="349" t="s">
        <v>34</v>
      </c>
      <c r="D3" s="350" t="s">
        <v>569</v>
      </c>
      <c r="F3" s="71"/>
      <c r="G3" s="112"/>
      <c r="H3" s="71"/>
      <c r="I3" s="434"/>
      <c r="J3" s="71"/>
      <c r="K3" s="71"/>
      <c r="L3" s="71"/>
      <c r="M3" s="71"/>
      <c r="N3" s="71"/>
      <c r="O3" s="71"/>
    </row>
    <row r="4" spans="1:21" ht="18.75" hidden="1">
      <c r="A4" s="1312" t="s">
        <v>26</v>
      </c>
      <c r="B4" s="437">
        <v>8742318</v>
      </c>
      <c r="C4" s="438">
        <v>53200</v>
      </c>
      <c r="D4" s="442">
        <f>+C4/B4</f>
        <v>6.0853425830540596E-3</v>
      </c>
      <c r="F4" s="71"/>
      <c r="G4" s="112"/>
      <c r="H4" s="71"/>
      <c r="I4" s="434"/>
      <c r="J4" s="71"/>
      <c r="K4" s="71"/>
      <c r="L4" s="71"/>
      <c r="M4" s="71"/>
      <c r="N4" s="71"/>
      <c r="O4" s="71"/>
    </row>
    <row r="5" spans="1:21" ht="18.75" hidden="1">
      <c r="A5" s="1317" t="s">
        <v>27</v>
      </c>
      <c r="B5" s="439">
        <v>8855026</v>
      </c>
      <c r="C5" s="262">
        <v>64713</v>
      </c>
      <c r="D5" s="443">
        <f t="shared" ref="D5:D18" si="0">+C5/B5</f>
        <v>7.3080530762981381E-3</v>
      </c>
      <c r="F5" s="111"/>
      <c r="G5" s="112"/>
      <c r="H5" s="71"/>
      <c r="I5" s="434"/>
      <c r="J5" s="71"/>
      <c r="K5" s="71"/>
      <c r="L5" s="71"/>
      <c r="M5" s="71"/>
      <c r="N5" s="71"/>
      <c r="O5" s="71"/>
    </row>
    <row r="6" spans="1:21" ht="18.75">
      <c r="A6" s="1317" t="s">
        <v>28</v>
      </c>
      <c r="B6" s="439">
        <v>8968144</v>
      </c>
      <c r="C6" s="262">
        <v>1687712</v>
      </c>
      <c r="D6" s="1170">
        <f t="shared" si="0"/>
        <v>0.18818966332387169</v>
      </c>
      <c r="F6" s="111"/>
      <c r="G6" s="112"/>
      <c r="H6" s="71"/>
      <c r="I6" s="434"/>
      <c r="J6" s="71"/>
      <c r="K6" s="71"/>
      <c r="L6" s="71"/>
      <c r="M6" s="71"/>
      <c r="N6" s="71"/>
      <c r="O6" s="71"/>
    </row>
    <row r="7" spans="1:21" ht="18.75">
      <c r="A7" s="1317" t="s">
        <v>29</v>
      </c>
      <c r="B7" s="439">
        <v>9072308</v>
      </c>
      <c r="C7" s="262">
        <v>2102527</v>
      </c>
      <c r="D7" s="1170">
        <f t="shared" si="0"/>
        <v>0.23175216273521579</v>
      </c>
      <c r="F7" s="111"/>
      <c r="G7" s="112"/>
      <c r="H7" s="71"/>
      <c r="I7" s="434"/>
      <c r="J7" s="71"/>
      <c r="K7" s="71"/>
      <c r="L7" s="71"/>
      <c r="M7" s="71"/>
      <c r="N7" s="71"/>
      <c r="O7" s="71"/>
      <c r="U7" s="1732">
        <f t="shared" ref="U7:U12" si="1">592018*E15+637321</f>
        <v>637321</v>
      </c>
    </row>
    <row r="8" spans="1:21" ht="18.75">
      <c r="A8" s="1317" t="s">
        <v>30</v>
      </c>
      <c r="B8" s="439">
        <v>9175265</v>
      </c>
      <c r="C8" s="262">
        <v>2449608</v>
      </c>
      <c r="D8" s="1170">
        <f t="shared" si="0"/>
        <v>0.26697953683081632</v>
      </c>
      <c r="G8" s="112"/>
      <c r="H8" s="71"/>
      <c r="I8" s="434"/>
      <c r="J8" s="71"/>
      <c r="K8" s="71"/>
      <c r="L8" s="71"/>
      <c r="M8" s="71"/>
      <c r="N8" s="71"/>
      <c r="O8" s="71"/>
      <c r="U8" s="1732">
        <f t="shared" si="1"/>
        <v>637321</v>
      </c>
    </row>
    <row r="9" spans="1:21" ht="18.75">
      <c r="A9" s="1317" t="s">
        <v>31</v>
      </c>
      <c r="B9" s="439">
        <v>9277181</v>
      </c>
      <c r="C9" s="262">
        <v>2934940</v>
      </c>
      <c r="D9" s="1170">
        <f t="shared" si="0"/>
        <v>0.31636118773580035</v>
      </c>
      <c r="F9" s="111"/>
      <c r="G9" s="112"/>
      <c r="H9" s="71"/>
      <c r="I9" s="434"/>
      <c r="J9" s="71"/>
      <c r="K9" s="71"/>
      <c r="L9" s="71"/>
      <c r="M9" s="71"/>
      <c r="N9" s="71"/>
      <c r="O9" s="71"/>
      <c r="U9" s="1732">
        <f t="shared" si="1"/>
        <v>637321</v>
      </c>
    </row>
    <row r="10" spans="1:21" ht="18.75">
      <c r="A10" s="1317" t="s">
        <v>32</v>
      </c>
      <c r="B10" s="439">
        <v>9378455</v>
      </c>
      <c r="C10" s="262">
        <v>3521433</v>
      </c>
      <c r="D10" s="1170">
        <f t="shared" si="0"/>
        <v>0.3754811426828833</v>
      </c>
      <c r="F10" s="111"/>
      <c r="G10" s="112"/>
      <c r="H10" s="71"/>
      <c r="I10" s="434"/>
      <c r="J10" s="71"/>
      <c r="K10" s="71"/>
      <c r="L10" s="71"/>
      <c r="M10" s="71"/>
      <c r="N10" s="71"/>
      <c r="O10" s="71"/>
      <c r="U10" s="1732">
        <f t="shared" si="1"/>
        <v>637321</v>
      </c>
    </row>
    <row r="11" spans="1:21" ht="18.75">
      <c r="A11" s="1317" t="s">
        <v>196</v>
      </c>
      <c r="B11" s="439">
        <v>9478612</v>
      </c>
      <c r="C11" s="262">
        <v>4414548</v>
      </c>
      <c r="D11" s="1170">
        <f t="shared" si="0"/>
        <v>0.46573781055707314</v>
      </c>
      <c r="F11" s="111"/>
      <c r="G11" s="112"/>
      <c r="H11" s="71"/>
      <c r="I11" s="434"/>
      <c r="J11" s="71"/>
      <c r="K11" s="71"/>
      <c r="L11" s="71"/>
      <c r="M11" s="71"/>
      <c r="N11" s="71"/>
      <c r="O11" s="71"/>
      <c r="U11" s="1732">
        <f t="shared" si="1"/>
        <v>637321</v>
      </c>
    </row>
    <row r="12" spans="1:21" ht="18.75">
      <c r="A12" s="1317" t="s">
        <v>244</v>
      </c>
      <c r="B12" s="439">
        <v>9579983</v>
      </c>
      <c r="C12" s="262">
        <v>4564572</v>
      </c>
      <c r="D12" s="1170">
        <f t="shared" si="0"/>
        <v>0.47646973903815903</v>
      </c>
      <c r="F12" s="135"/>
      <c r="G12" s="112"/>
      <c r="H12" s="71"/>
      <c r="I12" s="434"/>
      <c r="J12" s="72"/>
      <c r="K12" s="72"/>
      <c r="L12" s="72"/>
      <c r="M12" s="72"/>
      <c r="N12" s="72"/>
      <c r="O12" s="72"/>
      <c r="U12" s="1732">
        <f t="shared" si="1"/>
        <v>637321</v>
      </c>
    </row>
    <row r="13" spans="1:21" ht="18.75">
      <c r="A13" s="1317" t="s">
        <v>36</v>
      </c>
      <c r="B13" s="439">
        <v>9680534</v>
      </c>
      <c r="C13" s="262">
        <v>5054406</v>
      </c>
      <c r="D13" s="1170">
        <f t="shared" si="0"/>
        <v>0.52212057723261962</v>
      </c>
      <c r="F13" s="72"/>
      <c r="G13" s="112"/>
      <c r="H13" s="71"/>
      <c r="I13" s="434"/>
      <c r="J13" s="72"/>
      <c r="K13" s="72"/>
      <c r="L13" s="72"/>
      <c r="M13" s="72"/>
      <c r="N13" s="72"/>
      <c r="O13" s="72"/>
    </row>
    <row r="14" spans="1:21" ht="18.75">
      <c r="A14" s="1317" t="s">
        <v>37</v>
      </c>
      <c r="B14" s="439">
        <v>9780743</v>
      </c>
      <c r="C14" s="262">
        <v>5638332</v>
      </c>
      <c r="D14" s="1170">
        <f t="shared" si="0"/>
        <v>0.57647276899106747</v>
      </c>
      <c r="F14" s="72"/>
      <c r="G14" s="112"/>
      <c r="H14" s="71"/>
      <c r="I14" s="434"/>
      <c r="J14" s="72"/>
      <c r="K14" s="72"/>
      <c r="L14" s="72"/>
      <c r="M14" s="72"/>
      <c r="N14" s="72"/>
      <c r="O14" s="72"/>
    </row>
    <row r="15" spans="1:21" ht="18.75">
      <c r="A15" s="1315" t="s">
        <v>38</v>
      </c>
      <c r="B15" s="439">
        <v>9880505</v>
      </c>
      <c r="C15" s="262">
        <v>6187615</v>
      </c>
      <c r="D15" s="1170">
        <f t="shared" si="0"/>
        <v>0.6262448123856017</v>
      </c>
      <c r="G15" s="112"/>
      <c r="H15" s="71"/>
      <c r="I15" s="434"/>
      <c r="J15" s="72"/>
      <c r="K15" s="72"/>
      <c r="L15" s="72"/>
      <c r="M15" s="72"/>
      <c r="N15" s="72"/>
      <c r="O15" s="72"/>
    </row>
    <row r="16" spans="1:21" ht="18.75">
      <c r="A16" s="1315" t="s">
        <v>39</v>
      </c>
      <c r="B16" s="440">
        <v>9980243</v>
      </c>
      <c r="C16" s="521">
        <f t="shared" ref="C16:C22" si="2">+$U$7+C15</f>
        <v>6824936</v>
      </c>
      <c r="D16" s="1171">
        <f t="shared" si="0"/>
        <v>0.683844671918309</v>
      </c>
      <c r="G16" s="112"/>
      <c r="H16" s="71"/>
      <c r="I16" s="434"/>
      <c r="J16" s="72"/>
      <c r="K16" s="72"/>
      <c r="L16" s="72"/>
      <c r="M16" s="72"/>
      <c r="N16" s="72"/>
      <c r="O16" s="72"/>
    </row>
    <row r="17" spans="1:20" ht="18.75">
      <c r="A17" s="1315" t="s">
        <v>40</v>
      </c>
      <c r="B17" s="440">
        <v>10075780</v>
      </c>
      <c r="C17" s="521">
        <f t="shared" si="2"/>
        <v>7462257</v>
      </c>
      <c r="D17" s="1171">
        <f t="shared" si="0"/>
        <v>0.74061333216882463</v>
      </c>
      <c r="G17" s="72"/>
      <c r="H17" s="71"/>
      <c r="I17" s="434"/>
      <c r="J17" s="72"/>
      <c r="K17" s="72"/>
      <c r="L17" s="72"/>
      <c r="M17" s="72"/>
      <c r="N17" s="72"/>
      <c r="O17" s="72"/>
    </row>
    <row r="18" spans="1:20" ht="18.75">
      <c r="A18" s="1315" t="s">
        <v>41</v>
      </c>
      <c r="B18" s="440">
        <v>10170498</v>
      </c>
      <c r="C18" s="521">
        <f t="shared" si="2"/>
        <v>8099578</v>
      </c>
      <c r="D18" s="1171">
        <f t="shared" si="0"/>
        <v>0.79637968563584594</v>
      </c>
      <c r="G18" s="72"/>
      <c r="H18" s="71"/>
      <c r="I18" s="434"/>
      <c r="J18" s="72"/>
      <c r="K18" s="72"/>
      <c r="L18" s="72"/>
      <c r="M18" s="72"/>
      <c r="N18" s="72"/>
      <c r="O18" s="72"/>
    </row>
    <row r="19" spans="1:20" ht="18.75">
      <c r="A19" s="1315" t="s">
        <v>42</v>
      </c>
      <c r="B19" s="440">
        <v>10264384</v>
      </c>
      <c r="C19" s="521">
        <f t="shared" si="2"/>
        <v>8736899</v>
      </c>
      <c r="D19" s="1171">
        <f>+C19/B19</f>
        <v>0.8511859065288282</v>
      </c>
      <c r="G19" s="72"/>
      <c r="H19" s="71"/>
      <c r="I19" s="434"/>
      <c r="J19" s="72"/>
      <c r="K19" s="72"/>
      <c r="L19" s="72"/>
      <c r="M19" s="72"/>
      <c r="N19" s="72"/>
      <c r="O19" s="72"/>
      <c r="S19" s="1731">
        <v>2000</v>
      </c>
      <c r="T19" s="1731">
        <v>8397802</v>
      </c>
    </row>
    <row r="20" spans="1:20" ht="18.75">
      <c r="A20" s="1315" t="s">
        <v>245</v>
      </c>
      <c r="B20" s="440">
        <v>10357021</v>
      </c>
      <c r="C20" s="521">
        <f t="shared" si="2"/>
        <v>9374220</v>
      </c>
      <c r="D20" s="1171">
        <f>+C20/B20</f>
        <v>0.90510775250914333</v>
      </c>
      <c r="G20" s="72"/>
      <c r="H20" s="72"/>
      <c r="I20" s="72"/>
      <c r="J20" s="72"/>
      <c r="K20" s="72"/>
      <c r="L20" s="102"/>
      <c r="S20" s="1731">
        <v>2001</v>
      </c>
      <c r="T20" s="1731">
        <v>8514058</v>
      </c>
    </row>
    <row r="21" spans="1:20" ht="18.75">
      <c r="A21" s="1315" t="s">
        <v>246</v>
      </c>
      <c r="B21" s="440">
        <v>10448497</v>
      </c>
      <c r="C21" s="521">
        <f t="shared" si="2"/>
        <v>10011541</v>
      </c>
      <c r="D21" s="1171">
        <f>+C21/B21</f>
        <v>0.95818001383356854</v>
      </c>
      <c r="F21" s="72"/>
      <c r="G21" s="72"/>
      <c r="H21" s="436"/>
      <c r="I21" s="435"/>
      <c r="J21" s="72"/>
      <c r="K21" s="72"/>
      <c r="L21" s="102"/>
      <c r="S21" s="1731">
        <v>2002</v>
      </c>
      <c r="T21" s="1731">
        <v>8628649</v>
      </c>
    </row>
    <row r="22" spans="1:20" ht="17.25" customHeight="1">
      <c r="A22" s="1316" t="s">
        <v>247</v>
      </c>
      <c r="B22" s="441">
        <v>10624364</v>
      </c>
      <c r="C22" s="522">
        <f t="shared" si="2"/>
        <v>10648862</v>
      </c>
      <c r="D22" s="1172">
        <f>+C22/B22</f>
        <v>1.0023058321420464</v>
      </c>
      <c r="E22" s="1"/>
      <c r="F22" s="1"/>
      <c r="G22" s="1"/>
      <c r="H22" s="1"/>
      <c r="I22" s="1"/>
      <c r="J22" s="1"/>
      <c r="K22" s="1"/>
      <c r="S22" s="1731">
        <v>2003</v>
      </c>
      <c r="T22" s="1731">
        <v>8742318</v>
      </c>
    </row>
    <row r="23" spans="1:20">
      <c r="B23" s="1"/>
      <c r="C23" s="1"/>
      <c r="D23" s="1"/>
      <c r="E23" s="1"/>
      <c r="F23" s="1"/>
      <c r="G23" s="1"/>
      <c r="H23" s="1"/>
      <c r="I23" s="1"/>
      <c r="J23" s="1"/>
      <c r="K23" s="1"/>
      <c r="S23" s="1731">
        <v>2004</v>
      </c>
      <c r="T23" s="1731">
        <v>8855026</v>
      </c>
    </row>
    <row r="24" spans="1:20">
      <c r="B24" s="1"/>
      <c r="C24" s="1"/>
      <c r="D24" s="1"/>
      <c r="E24" s="1"/>
      <c r="F24" s="1"/>
      <c r="G24" s="1"/>
      <c r="H24" s="1"/>
      <c r="I24" s="1"/>
      <c r="J24" s="1"/>
      <c r="K24" s="1"/>
      <c r="S24" s="1731">
        <v>2005</v>
      </c>
      <c r="T24" s="1731">
        <v>8968144</v>
      </c>
    </row>
    <row r="25" spans="1:20">
      <c r="B25" s="1"/>
      <c r="C25" s="1"/>
      <c r="D25" s="1"/>
      <c r="E25" s="1"/>
      <c r="F25" s="1"/>
      <c r="G25" s="1"/>
      <c r="H25" s="1"/>
      <c r="I25" s="1"/>
      <c r="J25" s="1"/>
      <c r="K25" s="1"/>
      <c r="S25" s="1731">
        <v>2006</v>
      </c>
      <c r="T25" s="1731">
        <v>9072308</v>
      </c>
    </row>
    <row r="26" spans="1:20">
      <c r="B26" s="263">
        <v>1.0980000000000001</v>
      </c>
      <c r="C26" s="1"/>
      <c r="D26" s="1"/>
      <c r="E26" s="1"/>
      <c r="F26" s="1"/>
      <c r="G26" s="1"/>
      <c r="H26" s="1"/>
      <c r="I26" s="1"/>
      <c r="J26" s="1"/>
      <c r="K26" s="1"/>
      <c r="S26" s="1731">
        <v>2007</v>
      </c>
      <c r="T26" s="1731">
        <v>9175265</v>
      </c>
    </row>
    <row r="27" spans="1:20">
      <c r="B27" s="1"/>
      <c r="C27" s="1"/>
      <c r="D27" s="1"/>
      <c r="E27" s="1"/>
      <c r="F27" s="1"/>
      <c r="G27" s="1"/>
      <c r="H27" s="1"/>
      <c r="I27" s="1"/>
      <c r="J27" s="1"/>
      <c r="K27" s="1"/>
      <c r="S27" s="1731">
        <v>2008</v>
      </c>
      <c r="T27" s="1731">
        <v>9277181</v>
      </c>
    </row>
    <row r="28" spans="1:20">
      <c r="B28" s="1"/>
      <c r="C28" s="1"/>
      <c r="D28" s="1"/>
      <c r="E28" s="1"/>
      <c r="F28" s="1"/>
      <c r="G28" s="1"/>
      <c r="H28" s="1"/>
      <c r="I28" s="1"/>
      <c r="J28" s="1"/>
      <c r="K28" s="1"/>
      <c r="S28" s="1731">
        <v>2009</v>
      </c>
      <c r="T28" s="1731">
        <v>9378455</v>
      </c>
    </row>
    <row r="29" spans="1:20">
      <c r="B29" s="1"/>
      <c r="C29" s="1"/>
      <c r="D29" s="1"/>
      <c r="E29" s="1"/>
      <c r="F29" s="1"/>
      <c r="G29" s="1"/>
      <c r="H29" s="1"/>
      <c r="I29" s="1"/>
      <c r="J29" s="1"/>
      <c r="K29" s="1"/>
      <c r="S29" s="1731">
        <v>2010</v>
      </c>
      <c r="T29" s="1731">
        <v>9478612</v>
      </c>
    </row>
    <row r="30" spans="1:20">
      <c r="B30" s="1"/>
      <c r="C30" s="1"/>
      <c r="D30" s="1"/>
      <c r="E30" s="1"/>
      <c r="F30" s="1"/>
      <c r="G30" s="1"/>
      <c r="H30" s="1"/>
      <c r="I30" s="1"/>
      <c r="J30" s="1"/>
      <c r="K30" s="1"/>
      <c r="S30" s="1731">
        <v>2011</v>
      </c>
      <c r="T30" s="1731">
        <v>9579983</v>
      </c>
    </row>
    <row r="31" spans="1:20">
      <c r="B31" s="1"/>
      <c r="C31" s="1"/>
      <c r="D31" s="1"/>
      <c r="E31" s="1"/>
      <c r="F31" s="1"/>
      <c r="G31" s="1"/>
      <c r="H31" s="1"/>
      <c r="I31" s="1"/>
      <c r="J31" s="1"/>
      <c r="K31" s="1"/>
      <c r="S31" s="1731">
        <v>2012</v>
      </c>
      <c r="T31" s="1731">
        <v>9680534</v>
      </c>
    </row>
    <row r="32" spans="1:20">
      <c r="B32" s="1"/>
      <c r="C32" s="1"/>
      <c r="D32" s="1"/>
      <c r="E32" s="1"/>
      <c r="F32" s="1"/>
      <c r="G32" s="1"/>
      <c r="H32" s="1"/>
      <c r="I32" s="1"/>
      <c r="J32" s="1"/>
      <c r="K32" s="1"/>
      <c r="S32" s="1731">
        <v>2013</v>
      </c>
      <c r="T32" s="1731">
        <v>9780743</v>
      </c>
    </row>
    <row r="33" spans="2:20">
      <c r="B33" s="1"/>
      <c r="C33" s="1"/>
      <c r="D33" s="1"/>
      <c r="E33" s="1"/>
      <c r="F33" s="1"/>
      <c r="G33" s="1"/>
      <c r="H33" s="1"/>
      <c r="I33" s="1"/>
      <c r="J33" s="1"/>
      <c r="K33" s="1"/>
      <c r="S33" s="1731">
        <v>2014</v>
      </c>
      <c r="T33" s="1731">
        <v>9880505</v>
      </c>
    </row>
    <row r="34" spans="2:20">
      <c r="B34" s="1"/>
      <c r="C34" s="1"/>
      <c r="D34" s="1"/>
      <c r="E34" s="1"/>
      <c r="F34" s="1"/>
      <c r="G34" s="1"/>
      <c r="H34" s="1"/>
      <c r="I34" s="1"/>
      <c r="J34" s="1"/>
      <c r="K34" s="1"/>
      <c r="S34" s="1731">
        <v>2015</v>
      </c>
      <c r="T34" s="1731">
        <v>9980243</v>
      </c>
    </row>
    <row r="35" spans="2:20">
      <c r="B35" s="1"/>
      <c r="C35" s="1"/>
      <c r="D35" s="1"/>
      <c r="E35" s="1"/>
      <c r="F35" s="1"/>
      <c r="G35" s="1"/>
      <c r="H35" s="1"/>
      <c r="I35" s="1"/>
      <c r="J35" s="1"/>
      <c r="K35" s="1"/>
      <c r="S35" s="1731">
        <v>2016</v>
      </c>
      <c r="T35" s="1731">
        <v>10075780</v>
      </c>
    </row>
    <row r="36" spans="2:20">
      <c r="B36" s="1"/>
      <c r="C36" s="1"/>
      <c r="D36" s="1"/>
      <c r="E36" s="1"/>
      <c r="F36" s="1"/>
      <c r="G36" s="1"/>
      <c r="H36" s="1"/>
      <c r="I36" s="1"/>
      <c r="J36" s="1"/>
      <c r="K36" s="1"/>
      <c r="S36" s="1731">
        <v>2017</v>
      </c>
      <c r="T36" s="1731">
        <v>10170498</v>
      </c>
    </row>
    <row r="37" spans="2:20">
      <c r="B37" s="1"/>
      <c r="C37" s="1"/>
      <c r="D37" s="1"/>
      <c r="E37" s="1"/>
      <c r="F37" s="1"/>
      <c r="G37" s="1"/>
      <c r="H37" s="1"/>
      <c r="I37" s="1"/>
      <c r="J37" s="1"/>
      <c r="K37" s="1"/>
      <c r="S37" s="1731">
        <v>2018</v>
      </c>
      <c r="T37" s="1731">
        <v>10264384</v>
      </c>
    </row>
    <row r="38" spans="2:20">
      <c r="B38" s="1"/>
      <c r="C38" s="1"/>
      <c r="D38" s="1"/>
      <c r="E38" s="1"/>
      <c r="F38" s="1"/>
      <c r="G38" s="1"/>
      <c r="H38" s="1"/>
      <c r="I38" s="1"/>
      <c r="J38" s="1"/>
      <c r="K38" s="1"/>
      <c r="S38" s="1731">
        <v>2019</v>
      </c>
      <c r="T38" s="1731">
        <v>10357021</v>
      </c>
    </row>
    <row r="39" spans="2:20">
      <c r="B39" s="1"/>
      <c r="C39" s="1"/>
      <c r="D39" s="1"/>
      <c r="E39" s="1"/>
      <c r="F39" s="1"/>
      <c r="G39" s="1"/>
      <c r="H39" s="1"/>
      <c r="I39" s="1"/>
      <c r="J39" s="1"/>
      <c r="K39" s="1"/>
      <c r="S39" s="1731">
        <v>2020</v>
      </c>
      <c r="T39" s="1731">
        <v>10448497</v>
      </c>
    </row>
    <row r="40" spans="2:20">
      <c r="B40" s="1"/>
      <c r="C40" s="1"/>
      <c r="D40" s="1"/>
      <c r="E40" s="1"/>
      <c r="F40" s="1"/>
      <c r="G40" s="1"/>
      <c r="H40" s="1"/>
      <c r="I40" s="1"/>
      <c r="J40" s="1"/>
      <c r="K40" s="1"/>
      <c r="S40" s="1731">
        <v>2022</v>
      </c>
      <c r="T40" s="1731">
        <v>10624364</v>
      </c>
    </row>
    <row r="41" spans="2:20">
      <c r="B41" s="1"/>
      <c r="C41" s="1"/>
      <c r="D41" s="1"/>
      <c r="E41" s="1"/>
      <c r="F41" s="1"/>
      <c r="G41" s="1"/>
      <c r="H41" s="1"/>
      <c r="I41" s="1"/>
      <c r="J41" s="1"/>
      <c r="K41" s="1"/>
      <c r="S41" s="1731">
        <v>2026</v>
      </c>
      <c r="T41" s="1731">
        <v>10956777</v>
      </c>
    </row>
    <row r="42" spans="2:20">
      <c r="B42" s="1"/>
      <c r="C42" s="1"/>
      <c r="D42" s="1"/>
      <c r="E42" s="1"/>
      <c r="F42" s="1"/>
      <c r="G42" s="1"/>
      <c r="H42" s="1"/>
      <c r="I42" s="1"/>
      <c r="J42" s="1"/>
      <c r="K42" s="1"/>
      <c r="S42" s="1731">
        <v>2027</v>
      </c>
      <c r="T42" s="1731">
        <v>11033664</v>
      </c>
    </row>
    <row r="43" spans="2:20">
      <c r="B43" s="1"/>
      <c r="C43" s="1"/>
      <c r="D43" s="1"/>
      <c r="E43" s="1"/>
      <c r="F43" s="1"/>
      <c r="G43" s="1"/>
      <c r="H43" s="1"/>
      <c r="I43" s="1"/>
      <c r="J43" s="1"/>
      <c r="K43" s="1"/>
      <c r="S43" s="1731">
        <v>2028</v>
      </c>
      <c r="T43" s="1731">
        <v>11108916</v>
      </c>
    </row>
    <row r="44" spans="2:20">
      <c r="B44" s="1"/>
      <c r="C44" s="1"/>
      <c r="D44" s="1"/>
      <c r="E44" s="1"/>
      <c r="F44" s="1"/>
      <c r="G44" s="1"/>
      <c r="H44" s="1"/>
      <c r="I44" s="1"/>
      <c r="J44" s="1"/>
      <c r="K44" s="1"/>
      <c r="S44" s="1731">
        <v>2029</v>
      </c>
      <c r="T44" s="1731">
        <v>11182202</v>
      </c>
    </row>
    <row r="45" spans="2:20">
      <c r="B45" s="1"/>
      <c r="C45" s="1"/>
      <c r="D45" s="1"/>
      <c r="E45" s="1"/>
      <c r="F45" s="1"/>
      <c r="G45" s="1"/>
      <c r="H45" s="1"/>
      <c r="I45" s="1"/>
      <c r="J45" s="1"/>
      <c r="K45" s="1"/>
      <c r="S45" s="1731">
        <v>2030</v>
      </c>
      <c r="T45" s="1731">
        <v>11253284</v>
      </c>
    </row>
    <row r="46" spans="2:20">
      <c r="B46" s="1"/>
      <c r="C46" s="1"/>
      <c r="D46" s="1"/>
      <c r="E46" s="1"/>
      <c r="F46" s="1"/>
      <c r="G46" s="1"/>
      <c r="H46" s="1"/>
      <c r="I46" s="1"/>
      <c r="J46" s="1"/>
      <c r="K46" s="1"/>
    </row>
    <row r="47" spans="2:20">
      <c r="B47" s="1"/>
      <c r="C47" s="1"/>
      <c r="D47" s="1"/>
      <c r="E47" s="1"/>
      <c r="F47" s="1"/>
      <c r="G47" s="1"/>
      <c r="H47" s="1"/>
      <c r="I47" s="1"/>
      <c r="J47" s="1"/>
      <c r="K47" s="1"/>
    </row>
    <row r="48" spans="2:20">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row>
    <row r="56" spans="2:11" ht="36.75" customHeight="1"/>
  </sheetData>
  <mergeCells count="2">
    <mergeCell ref="A1:P1"/>
    <mergeCell ref="A2:D2"/>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70" zoomScaleNormal="100" zoomScaleSheetLayoutView="70" workbookViewId="0">
      <selection activeCell="O25" sqref="O25"/>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2:R57"/>
  <sheetViews>
    <sheetView showGridLines="0" view="pageBreakPreview" zoomScale="85" zoomScaleNormal="100" zoomScaleSheetLayoutView="85" workbookViewId="0">
      <selection activeCell="M16" sqref="M16"/>
    </sheetView>
  </sheetViews>
  <sheetFormatPr baseColWidth="10" defaultColWidth="11.42578125" defaultRowHeight="15"/>
  <cols>
    <col min="1" max="6" width="11.42578125" style="84"/>
    <col min="7" max="7" width="13.42578125" style="84" customWidth="1"/>
    <col min="8" max="8" width="11.42578125" style="84"/>
    <col min="9" max="9" width="18.7109375" style="84" customWidth="1"/>
    <col min="10" max="10" width="20.140625" style="84" customWidth="1"/>
    <col min="11" max="11" width="22.28515625" style="84" customWidth="1"/>
    <col min="12" max="12" width="31.28515625" style="84" customWidth="1"/>
    <col min="13" max="13" width="20.85546875" style="84" customWidth="1"/>
    <col min="14" max="14" width="5.5703125" style="84" customWidth="1"/>
    <col min="15" max="15" width="16" style="84" customWidth="1"/>
    <col min="16" max="16" width="17.85546875" style="84" bestFit="1" customWidth="1"/>
    <col min="17" max="16384" width="11.42578125" style="84"/>
  </cols>
  <sheetData>
    <row r="2" spans="15:18">
      <c r="O2" s="185"/>
    </row>
    <row r="6" spans="15:18" ht="6" customHeight="1">
      <c r="O6" s="1173"/>
    </row>
    <row r="15" spans="15:18">
      <c r="Q15" s="293"/>
    </row>
    <row r="16" spans="15:18">
      <c r="Q16" s="293"/>
      <c r="R16" s="705"/>
    </row>
    <row r="17" spans="15:17">
      <c r="Q17" s="293"/>
    </row>
    <row r="21" spans="15:17">
      <c r="O21" s="185"/>
    </row>
    <row r="22" spans="15:17">
      <c r="Q22" s="185"/>
    </row>
    <row r="23" spans="15:17">
      <c r="Q23" s="185"/>
    </row>
    <row r="24" spans="15:17">
      <c r="Q24" s="185"/>
    </row>
    <row r="25" spans="15:17">
      <c r="Q25" s="185"/>
    </row>
    <row r="27" spans="15:17">
      <c r="P27" s="706"/>
    </row>
    <row r="30" spans="15:17">
      <c r="P30" s="185"/>
    </row>
    <row r="31" spans="15:17">
      <c r="P31" s="185"/>
    </row>
    <row r="32" spans="15:17">
      <c r="P32" s="185"/>
    </row>
    <row r="34" spans="12:16">
      <c r="O34" s="1173"/>
    </row>
    <row r="35" spans="12:16">
      <c r="O35" s="1173"/>
    </row>
    <row r="38" spans="12:16">
      <c r="P38" s="185"/>
    </row>
    <row r="39" spans="12:16">
      <c r="P39" s="185"/>
    </row>
    <row r="40" spans="12:16">
      <c r="P40" s="185"/>
    </row>
    <row r="42" spans="12:16">
      <c r="O42" s="1173"/>
    </row>
    <row r="43" spans="12:16">
      <c r="O43" s="1173"/>
    </row>
    <row r="47" spans="12:16">
      <c r="L47" s="84" t="s">
        <v>616</v>
      </c>
    </row>
    <row r="51" spans="15:16">
      <c r="P51" s="1173"/>
    </row>
    <row r="52" spans="15:16">
      <c r="P52" s="1173"/>
    </row>
    <row r="55" spans="15:16">
      <c r="O55" s="1173" t="e">
        <f>+O50/O51</f>
        <v>#DIV/0!</v>
      </c>
    </row>
    <row r="57" spans="15:16">
      <c r="P57" s="84" t="e">
        <f>+O55*O51</f>
        <v>#DIV/0!</v>
      </c>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93"/>
  <sheetViews>
    <sheetView showGridLines="0" view="pageBreakPreview" zoomScale="55" zoomScaleNormal="100" zoomScaleSheetLayoutView="55" zoomScalePageLayoutView="62" workbookViewId="0">
      <pane xSplit="19" topLeftCell="T1" activePane="topRight" state="frozenSplit"/>
      <selection pane="topRight" activeCell="K6" sqref="K6"/>
    </sheetView>
  </sheetViews>
  <sheetFormatPr baseColWidth="10" defaultColWidth="11.42578125" defaultRowHeight="15"/>
  <cols>
    <col min="1" max="1" width="16.7109375" style="84" customWidth="1"/>
    <col min="2" max="2" width="17.85546875" style="84" customWidth="1"/>
    <col min="3" max="3" width="21.7109375" style="84" customWidth="1"/>
    <col min="4" max="4" width="17.7109375" style="84" customWidth="1"/>
    <col min="5" max="5" width="21.5703125" style="84" customWidth="1"/>
    <col min="6" max="6" width="18.28515625" style="84" customWidth="1"/>
    <col min="7" max="8" width="22.140625" style="84" customWidth="1"/>
    <col min="9" max="9" width="21.7109375" style="84" customWidth="1"/>
    <col min="10" max="10" width="23.5703125" style="84" customWidth="1"/>
    <col min="11" max="11" width="19.28515625" style="84" customWidth="1"/>
    <col min="12" max="12" width="24.85546875" style="84" customWidth="1"/>
    <col min="13" max="13" width="17.28515625" style="84" customWidth="1"/>
    <col min="14" max="14" width="17" style="84" customWidth="1"/>
    <col min="15" max="15" width="12.5703125" style="84" customWidth="1"/>
    <col min="16" max="16" width="13.28515625" style="84" customWidth="1"/>
    <col min="17" max="17" width="20" style="84" customWidth="1"/>
    <col min="18" max="18" width="14.42578125" style="84" customWidth="1"/>
    <col min="19" max="19" width="25.2851562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22" ht="97.5" customHeight="1">
      <c r="A1" s="1768"/>
      <c r="B1" s="1768"/>
      <c r="C1" s="1768"/>
      <c r="D1" s="1768"/>
      <c r="E1" s="1768"/>
      <c r="F1" s="1768"/>
      <c r="G1" s="1768"/>
      <c r="H1" s="1768"/>
      <c r="I1" s="1768"/>
      <c r="J1" s="1768"/>
      <c r="K1" s="1768"/>
      <c r="L1" s="1768"/>
      <c r="M1" s="1768"/>
      <c r="N1" s="1768"/>
      <c r="O1" s="1768"/>
      <c r="P1" s="1768"/>
      <c r="Q1" s="1768"/>
      <c r="R1" s="1768"/>
    </row>
    <row r="2" spans="1:22" s="44" customFormat="1" ht="12" customHeight="1">
      <c r="A2" s="193"/>
      <c r="B2" s="193"/>
      <c r="C2" s="193"/>
      <c r="D2" s="193"/>
      <c r="E2" s="193"/>
      <c r="F2" s="193"/>
      <c r="G2" s="193"/>
      <c r="H2" s="193"/>
      <c r="I2" s="193"/>
      <c r="J2" s="1089"/>
      <c r="K2" s="1089"/>
      <c r="L2" s="1089"/>
      <c r="M2" s="1089"/>
      <c r="N2" s="1089"/>
      <c r="O2" s="1089"/>
      <c r="P2" s="1089"/>
      <c r="Q2" s="1089"/>
      <c r="R2" s="1089"/>
    </row>
    <row r="3" spans="1:22" ht="78" customHeight="1">
      <c r="A3" s="458" t="s">
        <v>251</v>
      </c>
      <c r="B3" s="459" t="s">
        <v>577</v>
      </c>
      <c r="C3" s="459" t="s">
        <v>634</v>
      </c>
      <c r="D3" s="459" t="s">
        <v>578</v>
      </c>
      <c r="E3" s="459" t="s">
        <v>579</v>
      </c>
      <c r="F3" s="459" t="s">
        <v>580</v>
      </c>
      <c r="G3" s="459" t="s">
        <v>693</v>
      </c>
      <c r="H3" s="459" t="s">
        <v>694</v>
      </c>
      <c r="I3" s="461" t="s">
        <v>587</v>
      </c>
      <c r="J3" s="66"/>
      <c r="K3" s="66"/>
      <c r="L3" s="66"/>
      <c r="M3" s="66"/>
      <c r="N3" s="66"/>
      <c r="O3" s="66"/>
      <c r="P3" s="66"/>
      <c r="Q3" s="66"/>
      <c r="R3" s="66"/>
      <c r="S3" s="26"/>
      <c r="T3" s="26"/>
      <c r="U3" s="26"/>
      <c r="V3" s="26"/>
    </row>
    <row r="4" spans="1:22" ht="18.75">
      <c r="A4" s="462" t="s">
        <v>502</v>
      </c>
      <c r="B4" s="1120">
        <v>919911</v>
      </c>
      <c r="C4" s="1121">
        <f t="shared" ref="C4:C9" si="0">D4+E4</f>
        <v>557270</v>
      </c>
      <c r="D4" s="1120">
        <v>553015</v>
      </c>
      <c r="E4" s="1120">
        <v>4255</v>
      </c>
      <c r="F4" s="1121">
        <f t="shared" ref="F4:F11" si="1">+B4+D4+E4</f>
        <v>1477181</v>
      </c>
      <c r="G4" s="1122">
        <f t="shared" ref="G4:G9" si="2">B4/F4</f>
        <v>0.62274765245423547</v>
      </c>
      <c r="H4" s="1122">
        <f t="shared" ref="H4:H9" si="3">C4/F4</f>
        <v>0.37725234754576453</v>
      </c>
      <c r="I4" s="1251">
        <f>+C4/B4</f>
        <v>0.60578686416403327</v>
      </c>
      <c r="J4" s="66"/>
      <c r="K4" s="1385"/>
      <c r="L4" s="66"/>
      <c r="M4" s="66"/>
      <c r="N4" s="66"/>
      <c r="O4" s="66"/>
      <c r="P4" s="66"/>
      <c r="Q4" s="66"/>
      <c r="R4" s="66"/>
      <c r="T4" s="26"/>
      <c r="U4" s="26"/>
      <c r="V4" s="26"/>
    </row>
    <row r="5" spans="1:22" ht="18.75">
      <c r="A5" s="462" t="s">
        <v>503</v>
      </c>
      <c r="B5" s="1120">
        <v>966146</v>
      </c>
      <c r="C5" s="1121">
        <f t="shared" si="0"/>
        <v>726113</v>
      </c>
      <c r="D5" s="1120">
        <v>707328</v>
      </c>
      <c r="E5" s="1120">
        <v>18785</v>
      </c>
      <c r="F5" s="1121">
        <f t="shared" si="1"/>
        <v>1692259</v>
      </c>
      <c r="G5" s="1122">
        <f t="shared" si="2"/>
        <v>0.57092088149627218</v>
      </c>
      <c r="H5" s="1122">
        <f t="shared" si="3"/>
        <v>0.42907911850372787</v>
      </c>
      <c r="I5" s="1251">
        <f t="shared" ref="I5:I11" si="4">+C5/B5</f>
        <v>0.75155618301995764</v>
      </c>
      <c r="J5" s="66"/>
      <c r="K5" s="1386"/>
      <c r="L5" s="66"/>
      <c r="M5" s="66"/>
      <c r="N5" s="66"/>
      <c r="O5" s="66"/>
      <c r="P5" s="66"/>
      <c r="Q5" s="66"/>
      <c r="R5" s="66"/>
      <c r="S5" s="147"/>
      <c r="T5" s="26"/>
      <c r="U5" s="26"/>
      <c r="V5" s="26"/>
    </row>
    <row r="6" spans="1:22" ht="21" customHeight="1">
      <c r="A6" s="462" t="s">
        <v>200</v>
      </c>
      <c r="B6" s="1120">
        <v>1079602</v>
      </c>
      <c r="C6" s="1121">
        <f t="shared" si="0"/>
        <v>1008697</v>
      </c>
      <c r="D6" s="1120">
        <v>962409</v>
      </c>
      <c r="E6" s="1120">
        <v>46288</v>
      </c>
      <c r="F6" s="1121">
        <f t="shared" si="1"/>
        <v>2088299</v>
      </c>
      <c r="G6" s="1122">
        <f t="shared" si="2"/>
        <v>0.51697673561113611</v>
      </c>
      <c r="H6" s="1122">
        <f t="shared" si="3"/>
        <v>0.48302326438886384</v>
      </c>
      <c r="I6" s="1251">
        <f t="shared" si="4"/>
        <v>0.93432301903849757</v>
      </c>
      <c r="J6" s="1119"/>
      <c r="K6" s="1387"/>
      <c r="L6" s="1135"/>
      <c r="M6" s="34"/>
      <c r="N6" s="34"/>
      <c r="O6" s="34"/>
      <c r="P6" s="34"/>
      <c r="Q6" s="34"/>
      <c r="R6" s="34"/>
      <c r="S6" s="147"/>
      <c r="T6" s="26"/>
      <c r="U6" s="26"/>
      <c r="V6" s="26"/>
    </row>
    <row r="7" spans="1:22" ht="15.75" customHeight="1">
      <c r="A7" s="462" t="s">
        <v>201</v>
      </c>
      <c r="B7" s="1120">
        <v>1152861</v>
      </c>
      <c r="C7" s="1121">
        <f t="shared" si="0"/>
        <v>1211222</v>
      </c>
      <c r="D7" s="1120">
        <v>1140803</v>
      </c>
      <c r="E7" s="1120">
        <v>70419</v>
      </c>
      <c r="F7" s="1121">
        <f t="shared" si="1"/>
        <v>2364083</v>
      </c>
      <c r="G7" s="1122">
        <f t="shared" si="2"/>
        <v>0.487656736248262</v>
      </c>
      <c r="H7" s="1122">
        <f t="shared" si="3"/>
        <v>0.512343263751738</v>
      </c>
      <c r="I7" s="1251">
        <f t="shared" si="4"/>
        <v>1.0506227550415879</v>
      </c>
      <c r="J7" s="1119"/>
      <c r="K7" s="1384"/>
      <c r="L7" s="1136"/>
      <c r="M7" s="1137"/>
      <c r="N7" s="34"/>
      <c r="O7" s="1134"/>
      <c r="P7" s="34"/>
      <c r="Q7" s="34"/>
      <c r="R7" s="34"/>
      <c r="S7" s="147"/>
      <c r="T7" s="26"/>
      <c r="U7" s="26"/>
      <c r="V7" s="26"/>
    </row>
    <row r="8" spans="1:22" ht="18" customHeight="1">
      <c r="A8" s="462" t="s">
        <v>504</v>
      </c>
      <c r="B8" s="1120">
        <v>1188345</v>
      </c>
      <c r="C8" s="1121">
        <f t="shared" si="0"/>
        <v>1329078</v>
      </c>
      <c r="D8" s="1120">
        <v>1234019</v>
      </c>
      <c r="E8" s="1120">
        <v>95059</v>
      </c>
      <c r="F8" s="1121">
        <f t="shared" si="1"/>
        <v>2517423</v>
      </c>
      <c r="G8" s="1122">
        <f t="shared" si="2"/>
        <v>0.47204820167290124</v>
      </c>
      <c r="H8" s="1122">
        <f t="shared" si="3"/>
        <v>0.52795179832709882</v>
      </c>
      <c r="I8" s="1251">
        <f t="shared" si="4"/>
        <v>1.1184277293210305</v>
      </c>
      <c r="J8" s="1119"/>
      <c r="K8" s="1134"/>
      <c r="L8" s="1120"/>
      <c r="M8" s="1134"/>
      <c r="N8" s="34"/>
      <c r="O8" s="1134"/>
      <c r="P8" s="34"/>
      <c r="Q8" s="34"/>
      <c r="R8" s="34"/>
      <c r="S8" s="147"/>
      <c r="T8" s="26"/>
      <c r="U8" s="26"/>
      <c r="V8" s="26"/>
    </row>
    <row r="9" spans="1:22" ht="18.75">
      <c r="A9" s="462" t="s">
        <v>505</v>
      </c>
      <c r="B9" s="1120">
        <v>1242830</v>
      </c>
      <c r="C9" s="1121">
        <f t="shared" si="0"/>
        <v>1445581</v>
      </c>
      <c r="D9" s="1120">
        <v>1332478</v>
      </c>
      <c r="E9" s="1120">
        <v>113103</v>
      </c>
      <c r="F9" s="1121">
        <f t="shared" si="1"/>
        <v>2688411</v>
      </c>
      <c r="G9" s="1122">
        <f t="shared" si="2"/>
        <v>0.46229166596922866</v>
      </c>
      <c r="H9" s="1122">
        <f t="shared" si="3"/>
        <v>0.53770833403077134</v>
      </c>
      <c r="I9" s="1251">
        <f t="shared" si="4"/>
        <v>1.1631365512580161</v>
      </c>
      <c r="J9" s="34"/>
      <c r="K9" s="1134"/>
      <c r="L9" s="1133"/>
      <c r="M9" s="1133"/>
      <c r="N9" s="34"/>
      <c r="O9" s="1134"/>
      <c r="P9" s="34"/>
      <c r="Q9" s="34"/>
      <c r="R9" s="34"/>
      <c r="S9" s="147"/>
      <c r="T9" s="26"/>
      <c r="U9" s="26"/>
      <c r="V9" s="26"/>
    </row>
    <row r="10" spans="1:22" ht="18.75">
      <c r="A10" s="462" t="s">
        <v>581</v>
      </c>
      <c r="B10" s="1120">
        <v>1297821</v>
      </c>
      <c r="C10" s="1121">
        <f>D10+E10</f>
        <v>1561485</v>
      </c>
      <c r="D10" s="1120">
        <v>1429474</v>
      </c>
      <c r="E10" s="1120">
        <v>132011</v>
      </c>
      <c r="F10" s="1121">
        <f t="shared" si="1"/>
        <v>2859306</v>
      </c>
      <c r="G10" s="1122">
        <f>B10/F10</f>
        <v>0.45389370707437399</v>
      </c>
      <c r="H10" s="1122">
        <f>C10/F10</f>
        <v>0.54610629292562596</v>
      </c>
      <c r="I10" s="1251">
        <f t="shared" si="4"/>
        <v>1.203158987256332</v>
      </c>
      <c r="J10" s="34"/>
      <c r="K10" s="1134"/>
      <c r="L10" s="1134"/>
      <c r="M10" s="34"/>
      <c r="N10" s="34"/>
      <c r="O10" s="1134"/>
      <c r="P10" s="34"/>
      <c r="Q10" s="34"/>
      <c r="R10" s="34"/>
      <c r="S10" s="147"/>
      <c r="T10" s="26"/>
      <c r="U10" s="26"/>
      <c r="V10" s="26"/>
    </row>
    <row r="11" spans="1:22" ht="18.75">
      <c r="A11" s="462" t="s">
        <v>633</v>
      </c>
      <c r="B11" s="1120">
        <v>1422986</v>
      </c>
      <c r="C11" s="1121">
        <f>D11+E11</f>
        <v>1718613</v>
      </c>
      <c r="D11" s="1120">
        <v>1568541</v>
      </c>
      <c r="E11" s="1120">
        <v>150072</v>
      </c>
      <c r="F11" s="1121">
        <f t="shared" si="1"/>
        <v>3141599</v>
      </c>
      <c r="G11" s="1122">
        <f>B11/F11</f>
        <v>0.45294959668627344</v>
      </c>
      <c r="H11" s="1122">
        <f>C11/F11</f>
        <v>0.54705040331372656</v>
      </c>
      <c r="I11" s="1251">
        <f t="shared" si="4"/>
        <v>1.2077511655068989</v>
      </c>
      <c r="J11" s="34"/>
      <c r="K11" s="1134"/>
      <c r="L11" s="1135"/>
      <c r="N11" s="34"/>
      <c r="O11" s="34"/>
      <c r="P11" s="34"/>
      <c r="Q11" s="34"/>
      <c r="R11" s="34"/>
      <c r="S11" s="147"/>
      <c r="T11" s="26"/>
      <c r="U11" s="26"/>
      <c r="V11" s="26"/>
    </row>
    <row r="12" spans="1:22" ht="18.75">
      <c r="A12" s="523" t="s">
        <v>632</v>
      </c>
      <c r="B12" s="1123">
        <v>1426011</v>
      </c>
      <c r="C12" s="1124">
        <f>D12+E12</f>
        <v>1729358</v>
      </c>
      <c r="D12" s="1123">
        <v>1568240</v>
      </c>
      <c r="E12" s="1123">
        <v>161118</v>
      </c>
      <c r="F12" s="1124">
        <f>+B12+D12+E12</f>
        <v>3155369</v>
      </c>
      <c r="G12" s="1125">
        <f>B12/F12</f>
        <v>0.4519316124358197</v>
      </c>
      <c r="H12" s="1125">
        <f>C12/F12</f>
        <v>0.5480683875641803</v>
      </c>
      <c r="I12" s="1252">
        <f>+C12/B12</f>
        <v>1.2127241655218648</v>
      </c>
      <c r="J12" s="34"/>
      <c r="K12" s="1134"/>
      <c r="L12" s="34"/>
      <c r="N12" s="34"/>
      <c r="O12" s="34"/>
      <c r="P12" s="34"/>
      <c r="Q12" s="34"/>
      <c r="R12" s="34"/>
      <c r="S12" s="147"/>
      <c r="T12" s="26"/>
      <c r="U12" s="26"/>
      <c r="V12" s="26"/>
    </row>
    <row r="13" spans="1:22" ht="18" customHeight="1">
      <c r="A13" s="1118" t="s">
        <v>33</v>
      </c>
      <c r="B13" s="1090"/>
      <c r="C13" s="1090"/>
      <c r="D13" s="1090"/>
      <c r="E13" s="1090"/>
      <c r="F13" s="1090"/>
      <c r="G13" s="1090"/>
      <c r="H13" s="1090"/>
      <c r="I13" s="34"/>
      <c r="J13" s="34"/>
      <c r="K13" s="34"/>
      <c r="L13" s="34"/>
      <c r="N13" s="34"/>
      <c r="O13" s="34"/>
      <c r="P13" s="34"/>
      <c r="Q13" s="34"/>
      <c r="R13" s="34"/>
      <c r="S13" s="147"/>
      <c r="T13" s="26"/>
      <c r="U13" s="26"/>
      <c r="V13" s="26"/>
    </row>
    <row r="14" spans="1:22" ht="18" customHeight="1">
      <c r="A14" s="34"/>
      <c r="B14" s="34"/>
      <c r="C14" s="34"/>
      <c r="D14" s="34"/>
      <c r="E14" s="34"/>
      <c r="F14" s="34"/>
      <c r="G14" s="34"/>
      <c r="H14" s="34"/>
      <c r="I14" s="34"/>
      <c r="J14" s="34"/>
      <c r="K14" s="34"/>
      <c r="L14" s="34"/>
      <c r="N14" s="34"/>
      <c r="O14" s="34"/>
      <c r="P14" s="34"/>
      <c r="Q14" s="34"/>
      <c r="R14" s="34"/>
      <c r="S14" s="26"/>
      <c r="T14" s="26"/>
      <c r="U14" s="26"/>
      <c r="V14" s="26"/>
    </row>
    <row r="15" spans="1:22" ht="25.5" customHeight="1">
      <c r="A15" s="34"/>
      <c r="B15" s="34"/>
      <c r="C15" s="34"/>
      <c r="D15" s="34"/>
      <c r="E15" s="34"/>
      <c r="F15" s="34"/>
      <c r="G15" s="34"/>
      <c r="H15" s="34"/>
      <c r="I15" s="34"/>
      <c r="J15" s="34"/>
      <c r="K15" s="34"/>
      <c r="L15" s="34"/>
      <c r="M15" s="34"/>
      <c r="N15" s="34"/>
      <c r="O15" s="34"/>
      <c r="P15" s="34"/>
      <c r="Q15" s="34"/>
      <c r="R15" s="34"/>
      <c r="S15" s="26"/>
      <c r="T15" s="26"/>
      <c r="U15" s="26"/>
      <c r="V15" s="26"/>
    </row>
    <row r="16" spans="1:22"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33" ht="25.5" customHeight="1">
      <c r="A17" s="34"/>
      <c r="B17" s="34"/>
      <c r="C17" s="34"/>
      <c r="D17" s="34"/>
      <c r="E17" s="34"/>
      <c r="F17" s="34"/>
      <c r="G17" s="34"/>
      <c r="H17" s="34"/>
      <c r="I17" s="34"/>
      <c r="J17" s="34"/>
      <c r="K17" s="34"/>
      <c r="L17" s="34"/>
      <c r="M17" s="34"/>
      <c r="N17" s="34"/>
      <c r="O17" s="34"/>
      <c r="P17" s="34"/>
      <c r="Q17" s="34"/>
      <c r="R17" s="34"/>
      <c r="S17" s="34"/>
      <c r="T17" s="34"/>
      <c r="U17" s="34"/>
      <c r="V17" s="34"/>
      <c r="AG17" s="84" t="s">
        <v>33</v>
      </c>
    </row>
    <row r="18" spans="1:3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3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3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3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3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3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3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3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3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33" ht="25.5" customHeight="1">
      <c r="A27" s="34"/>
      <c r="B27" s="34"/>
      <c r="C27" s="34"/>
      <c r="D27" s="34"/>
      <c r="E27" s="34"/>
      <c r="F27" s="34"/>
      <c r="G27" s="34"/>
      <c r="H27" s="34"/>
      <c r="I27" s="34"/>
      <c r="J27" s="34"/>
      <c r="K27" s="34"/>
      <c r="L27" s="34"/>
      <c r="M27" s="34"/>
      <c r="N27" s="34"/>
      <c r="O27" s="34"/>
      <c r="P27" s="34"/>
      <c r="Q27" s="34"/>
      <c r="R27" s="34"/>
      <c r="S27" s="34"/>
      <c r="T27" s="34"/>
      <c r="U27" s="34"/>
      <c r="V27" s="34"/>
    </row>
    <row r="28" spans="1:33" ht="25.5" customHeight="1">
      <c r="A28" s="34"/>
      <c r="B28" s="34"/>
      <c r="C28" s="34"/>
      <c r="D28" s="34"/>
      <c r="E28" s="34"/>
      <c r="F28" s="34"/>
      <c r="G28" s="34"/>
      <c r="H28" s="34"/>
      <c r="S28" s="34"/>
      <c r="T28" s="34"/>
      <c r="U28" s="34"/>
      <c r="V28" s="34"/>
    </row>
    <row r="29" spans="1:33" ht="25.5" customHeight="1">
      <c r="A29" s="34"/>
      <c r="B29" s="34"/>
      <c r="C29" s="34"/>
      <c r="D29" s="34"/>
      <c r="E29" s="34"/>
      <c r="F29" s="34"/>
      <c r="G29" s="34"/>
      <c r="H29" s="34"/>
      <c r="S29" s="34"/>
      <c r="T29" s="34"/>
      <c r="U29" s="34"/>
      <c r="V29" s="34"/>
      <c r="W29" s="84" t="s">
        <v>33</v>
      </c>
    </row>
    <row r="30" spans="1:33" ht="25.5" customHeight="1">
      <c r="A30" s="34"/>
      <c r="B30" s="34"/>
      <c r="C30" s="34"/>
      <c r="D30" s="34"/>
      <c r="E30" s="34"/>
      <c r="F30" s="34"/>
      <c r="G30" s="34"/>
      <c r="H30" s="34"/>
      <c r="S30" s="34"/>
      <c r="T30" s="34"/>
      <c r="U30" s="34"/>
      <c r="V30" s="34"/>
    </row>
    <row r="31" spans="1:33" ht="25.5" customHeight="1">
      <c r="A31" s="34"/>
      <c r="B31" s="34"/>
      <c r="C31" s="34"/>
      <c r="D31" s="34"/>
      <c r="E31" s="34"/>
      <c r="F31" s="34"/>
      <c r="G31" s="34"/>
      <c r="H31" s="34"/>
      <c r="S31" s="34"/>
      <c r="T31" s="34"/>
      <c r="U31" s="34"/>
      <c r="V31" s="34"/>
    </row>
    <row r="32" spans="1:33" ht="25.5" customHeight="1">
      <c r="A32" s="34"/>
      <c r="B32" s="34"/>
      <c r="C32" s="34"/>
      <c r="D32" s="34"/>
      <c r="E32" s="34"/>
      <c r="F32" s="34"/>
      <c r="G32" s="34"/>
      <c r="H32" s="34"/>
      <c r="S32" s="34"/>
      <c r="T32" s="34"/>
      <c r="U32" s="34"/>
      <c r="V32" s="34"/>
    </row>
    <row r="33" spans="1:30" ht="25.5" customHeight="1">
      <c r="A33" s="34"/>
      <c r="B33" s="34"/>
      <c r="C33" s="34"/>
      <c r="D33" s="34"/>
      <c r="E33" s="34"/>
      <c r="F33" s="34"/>
      <c r="G33" s="34"/>
      <c r="H33" s="34"/>
      <c r="I33" s="1088"/>
      <c r="J33" s="1088"/>
      <c r="K33" s="1088"/>
      <c r="L33" s="1088"/>
      <c r="M33" s="1088"/>
      <c r="N33" s="1088"/>
      <c r="O33" s="1088"/>
      <c r="P33" s="1088"/>
      <c r="Q33" s="1088"/>
      <c r="R33" s="1088"/>
      <c r="S33" s="34"/>
      <c r="T33" s="34"/>
      <c r="U33" s="34"/>
      <c r="V33" s="34"/>
    </row>
    <row r="34" spans="1:30" ht="25.5" customHeight="1">
      <c r="A34" s="34"/>
      <c r="B34" s="34"/>
      <c r="C34" s="34"/>
      <c r="D34" s="34"/>
      <c r="E34" s="34"/>
      <c r="F34" s="34"/>
      <c r="G34" s="34"/>
      <c r="H34" s="34"/>
      <c r="S34" s="34" t="s">
        <v>182</v>
      </c>
      <c r="T34" s="34"/>
      <c r="U34" s="34"/>
      <c r="V34" s="34"/>
    </row>
    <row r="35" spans="1:30" ht="25.5" customHeight="1">
      <c r="A35" s="34"/>
      <c r="B35" s="34"/>
      <c r="C35" s="34"/>
      <c r="D35" s="34"/>
      <c r="E35" s="34"/>
      <c r="F35" s="34"/>
      <c r="G35" s="34"/>
      <c r="H35" s="34"/>
      <c r="S35" s="34"/>
      <c r="T35" s="34"/>
      <c r="U35" s="34"/>
      <c r="V35" s="34"/>
    </row>
    <row r="36" spans="1:30" ht="25.5" customHeight="1">
      <c r="A36" s="34"/>
      <c r="B36" s="34"/>
      <c r="C36" s="34"/>
      <c r="D36" s="34"/>
      <c r="E36" s="34"/>
      <c r="F36" s="34"/>
      <c r="G36" s="34"/>
      <c r="H36" s="34"/>
      <c r="S36" s="34"/>
      <c r="T36" s="34"/>
      <c r="U36" s="34"/>
      <c r="V36" s="3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c r="S39" s="103"/>
      <c r="T39" s="103"/>
      <c r="U39" s="103"/>
      <c r="V39" s="103"/>
      <c r="W39" s="104"/>
      <c r="X39" s="104"/>
      <c r="Y39" s="104"/>
      <c r="Z39" s="104"/>
      <c r="AA39" s="104"/>
      <c r="AB39" s="104"/>
    </row>
    <row r="40" spans="1:30">
      <c r="S40" s="103"/>
      <c r="T40" s="103"/>
      <c r="U40" s="103"/>
      <c r="V40" s="103"/>
      <c r="W40" s="104"/>
      <c r="X40" s="104"/>
      <c r="Y40" s="104"/>
      <c r="Z40" s="104"/>
      <c r="AA40" s="104"/>
      <c r="AB40" s="104"/>
    </row>
    <row r="41" spans="1:30" ht="51" customHeight="1">
      <c r="S41" s="103"/>
      <c r="T41" s="103"/>
      <c r="U41" s="103"/>
      <c r="V41" s="103"/>
      <c r="W41" s="104"/>
      <c r="X41" s="104"/>
      <c r="Y41" s="104"/>
      <c r="Z41" s="104"/>
      <c r="AA41" s="104"/>
      <c r="AB41" s="104"/>
    </row>
    <row r="42" spans="1:30" ht="78" customHeight="1">
      <c r="A42" s="1088"/>
      <c r="B42" s="1088"/>
      <c r="C42" s="1088"/>
      <c r="D42" s="1088"/>
      <c r="E42" s="1088"/>
      <c r="F42" s="1088"/>
      <c r="G42" s="1088"/>
      <c r="H42" s="1088"/>
      <c r="S42" s="1088"/>
      <c r="T42" s="1088"/>
      <c r="U42" s="1088"/>
      <c r="V42" s="1088"/>
      <c r="W42" s="1088"/>
      <c r="X42" s="1088"/>
      <c r="Y42" s="1088"/>
      <c r="Z42" s="104"/>
      <c r="AA42" s="104"/>
      <c r="AB42" s="104"/>
    </row>
    <row r="43" spans="1:30">
      <c r="S43" s="104"/>
      <c r="T43" s="104"/>
      <c r="U43" s="104"/>
      <c r="V43" s="104"/>
      <c r="W43" s="104"/>
    </row>
    <row r="44" spans="1:30">
      <c r="S44" s="104"/>
      <c r="T44" s="104"/>
      <c r="U44" s="104"/>
      <c r="V44" s="104"/>
      <c r="W44" s="104"/>
    </row>
    <row r="45" spans="1:30">
      <c r="I45" s="104"/>
      <c r="J45" s="104"/>
      <c r="K45" s="104"/>
      <c r="L45" s="104"/>
      <c r="M45" s="104"/>
      <c r="N45" s="104"/>
      <c r="O45" s="104"/>
      <c r="P45" s="104"/>
      <c r="Q45" s="104"/>
      <c r="R45" s="104"/>
      <c r="S45" s="104"/>
      <c r="T45" s="104"/>
      <c r="U45" s="104"/>
      <c r="V45" s="104"/>
      <c r="W45" s="104"/>
    </row>
    <row r="46" spans="1:30">
      <c r="S46" s="104"/>
      <c r="T46" s="104"/>
      <c r="U46" s="104"/>
      <c r="V46" s="104"/>
      <c r="W46" s="104"/>
    </row>
    <row r="47" spans="1:30">
      <c r="S47" s="104"/>
      <c r="T47" s="104"/>
      <c r="U47" s="104"/>
      <c r="V47" s="104"/>
      <c r="W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S52" s="104"/>
      <c r="T52" s="104"/>
      <c r="U52" s="104"/>
      <c r="V52" s="104"/>
      <c r="W52" s="104"/>
      <c r="X52" s="104"/>
      <c r="Y52" s="104"/>
      <c r="Z52" s="104"/>
      <c r="AA52" s="104"/>
      <c r="AB52" s="104"/>
      <c r="AC52" s="104"/>
      <c r="AD52" s="104"/>
    </row>
    <row r="53" spans="2:30">
      <c r="S53" s="104"/>
      <c r="T53" s="104"/>
      <c r="U53" s="104"/>
      <c r="V53" s="104"/>
      <c r="W53" s="104"/>
      <c r="X53" s="104"/>
      <c r="Y53" s="104"/>
      <c r="Z53" s="104"/>
      <c r="AA53" s="104"/>
      <c r="AB53" s="104"/>
      <c r="AC53" s="104"/>
      <c r="AD53" s="104"/>
    </row>
    <row r="54" spans="2:30">
      <c r="B54" s="104"/>
      <c r="C54" s="104"/>
      <c r="D54" s="104"/>
      <c r="E54" s="104"/>
      <c r="F54" s="104"/>
      <c r="G54" s="104"/>
      <c r="H54" s="104"/>
      <c r="S54" s="104"/>
      <c r="T54" s="104"/>
      <c r="U54" s="104"/>
      <c r="V54" s="104"/>
      <c r="W54" s="104"/>
      <c r="X54" s="104"/>
      <c r="Y54" s="104"/>
      <c r="Z54" s="104"/>
      <c r="AA54" s="104"/>
      <c r="AB54" s="104"/>
      <c r="AC54" s="104"/>
      <c r="AD54" s="104"/>
    </row>
    <row r="73" spans="24:24">
      <c r="X73" s="104"/>
    </row>
    <row r="74" spans="24:24">
      <c r="X74" s="104"/>
    </row>
    <row r="75" spans="24:24">
      <c r="X75" s="104"/>
    </row>
    <row r="76" spans="24:24">
      <c r="X76" s="104"/>
    </row>
    <row r="77" spans="24:24">
      <c r="X77" s="104"/>
    </row>
    <row r="78" spans="24:24">
      <c r="X78" s="104"/>
    </row>
    <row r="79" spans="24:24">
      <c r="X79" s="104"/>
    </row>
    <row r="80" spans="24:24">
      <c r="X80" s="104"/>
    </row>
    <row r="90" spans="24:24">
      <c r="X90" s="104"/>
    </row>
    <row r="91" spans="24:24">
      <c r="X91" s="104"/>
    </row>
    <row r="92" spans="24:24">
      <c r="X92" s="104"/>
    </row>
    <row r="93" spans="24:24">
      <c r="X93" s="104"/>
    </row>
  </sheetData>
  <mergeCells count="1">
    <mergeCell ref="A1:R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108"/>
  <sheetViews>
    <sheetView showGridLines="0" view="pageBreakPreview" topLeftCell="F1" zoomScale="70" zoomScaleNormal="100" zoomScaleSheetLayoutView="70" zoomScalePageLayoutView="62" workbookViewId="0">
      <pane ySplit="1" topLeftCell="A2" activePane="bottomLeft" state="frozen"/>
      <selection activeCell="M22" sqref="M22"/>
      <selection pane="bottomLeft" activeCell="S34" sqref="S34:S48"/>
    </sheetView>
  </sheetViews>
  <sheetFormatPr baseColWidth="10" defaultColWidth="11.42578125" defaultRowHeight="15"/>
  <cols>
    <col min="1" max="1" width="14.140625" style="84" customWidth="1"/>
    <col min="2" max="2" width="21.28515625" style="84" customWidth="1"/>
    <col min="3" max="3" width="25.5703125" style="84" customWidth="1"/>
    <col min="4" max="4" width="20.85546875" style="84" customWidth="1"/>
    <col min="5" max="5" width="22.42578125" style="84" customWidth="1"/>
    <col min="6" max="6" width="22.5703125" style="84" customWidth="1"/>
    <col min="7" max="7" width="22.42578125" style="84" customWidth="1"/>
    <col min="8" max="8" width="14.5703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93" customHeight="1">
      <c r="A1" s="1769"/>
      <c r="B1" s="1769"/>
      <c r="C1" s="1769"/>
      <c r="D1" s="1769"/>
      <c r="E1" s="1769"/>
      <c r="F1" s="1769"/>
      <c r="G1" s="1769"/>
      <c r="H1" s="1769"/>
      <c r="I1" s="1769"/>
      <c r="J1" s="1769"/>
      <c r="K1" s="1769"/>
      <c r="L1" s="1769"/>
      <c r="M1" s="1769"/>
      <c r="N1" s="1769"/>
      <c r="O1" s="1769"/>
      <c r="P1" s="1769"/>
      <c r="Q1" s="1769"/>
      <c r="R1" s="1769"/>
    </row>
    <row r="2" spans="1:19" ht="5.25" customHeight="1">
      <c r="A2" s="1324"/>
      <c r="B2" s="1324"/>
      <c r="C2" s="1324"/>
      <c r="D2" s="1324"/>
      <c r="E2" s="1324"/>
      <c r="F2" s="1324"/>
      <c r="G2" s="1324"/>
      <c r="H2" s="1324"/>
      <c r="I2" s="1324"/>
      <c r="J2" s="1324"/>
      <c r="K2" s="1324"/>
      <c r="L2" s="1324"/>
      <c r="M2" s="1324"/>
      <c r="N2" s="1324"/>
      <c r="O2" s="1324"/>
      <c r="P2" s="1324"/>
      <c r="Q2" s="1324"/>
      <c r="R2" s="1324"/>
    </row>
    <row r="3" spans="1:19" s="55" customFormat="1" ht="69" customHeight="1">
      <c r="A3" s="1368" t="s">
        <v>48</v>
      </c>
      <c r="B3" s="352" t="s">
        <v>577</v>
      </c>
      <c r="C3" s="352" t="s">
        <v>634</v>
      </c>
      <c r="D3" s="352" t="s">
        <v>578</v>
      </c>
      <c r="E3" s="352" t="s">
        <v>579</v>
      </c>
      <c r="F3" s="352" t="s">
        <v>580</v>
      </c>
      <c r="G3" s="353" t="s">
        <v>587</v>
      </c>
      <c r="H3" s="84"/>
      <c r="I3" s="84"/>
      <c r="J3" s="84"/>
      <c r="K3" s="84"/>
      <c r="L3" s="84"/>
      <c r="M3" s="84"/>
      <c r="N3" s="84"/>
      <c r="O3" s="84"/>
      <c r="P3" s="84"/>
      <c r="Q3" s="84"/>
      <c r="R3" s="84"/>
      <c r="S3" s="226"/>
    </row>
    <row r="4" spans="1:19" ht="18.75" hidden="1">
      <c r="A4" s="1369">
        <v>40940</v>
      </c>
      <c r="B4" s="279">
        <v>1190787</v>
      </c>
      <c r="C4" s="278">
        <f t="shared" ref="C4:C19" si="0">D4+E4</f>
        <v>1346002</v>
      </c>
      <c r="D4" s="279">
        <v>1247260</v>
      </c>
      <c r="E4" s="279">
        <v>98742</v>
      </c>
      <c r="F4" s="278">
        <f t="shared" ref="F4:F12" si="1">B4+C4</f>
        <v>2536789</v>
      </c>
      <c r="G4" s="1363">
        <f t="shared" ref="G4:G22" si="2">B4/F4</f>
        <v>0.46940719153228749</v>
      </c>
    </row>
    <row r="5" spans="1:19" ht="18.75" hidden="1">
      <c r="A5" s="1369">
        <v>40969</v>
      </c>
      <c r="B5" s="279">
        <v>1205800</v>
      </c>
      <c r="C5" s="278">
        <f t="shared" si="0"/>
        <v>1368424</v>
      </c>
      <c r="D5" s="279">
        <v>1266851</v>
      </c>
      <c r="E5" s="279">
        <v>101573</v>
      </c>
      <c r="F5" s="278">
        <f t="shared" si="1"/>
        <v>2574224</v>
      </c>
      <c r="G5" s="1364">
        <f t="shared" si="2"/>
        <v>0.46841300523963725</v>
      </c>
    </row>
    <row r="6" spans="1:19" ht="18.75" hidden="1">
      <c r="A6" s="1369">
        <v>41000</v>
      </c>
      <c r="B6" s="279">
        <v>1211245</v>
      </c>
      <c r="C6" s="278">
        <f t="shared" si="0"/>
        <v>1377586</v>
      </c>
      <c r="D6" s="279">
        <v>1274320</v>
      </c>
      <c r="E6" s="279">
        <v>103266</v>
      </c>
      <c r="F6" s="278">
        <f t="shared" si="1"/>
        <v>2588831</v>
      </c>
      <c r="G6" s="1364">
        <f t="shared" si="2"/>
        <v>0.46787333742527032</v>
      </c>
    </row>
    <row r="7" spans="1:19" ht="18.75" hidden="1">
      <c r="A7" s="1369">
        <v>41030</v>
      </c>
      <c r="B7" s="279">
        <v>1214917</v>
      </c>
      <c r="C7" s="278">
        <f t="shared" si="0"/>
        <v>1389402</v>
      </c>
      <c r="D7" s="279">
        <v>1284028</v>
      </c>
      <c r="E7" s="279">
        <v>105374</v>
      </c>
      <c r="F7" s="278">
        <f t="shared" si="1"/>
        <v>2604319</v>
      </c>
      <c r="G7" s="1364">
        <f t="shared" si="2"/>
        <v>0.4665008395668887</v>
      </c>
    </row>
    <row r="8" spans="1:19" ht="18.75" hidden="1">
      <c r="A8" s="1369">
        <v>41061</v>
      </c>
      <c r="B8" s="279">
        <v>1223012</v>
      </c>
      <c r="C8" s="278">
        <f t="shared" si="0"/>
        <v>1403503</v>
      </c>
      <c r="D8" s="279">
        <v>1296177</v>
      </c>
      <c r="E8" s="279">
        <v>107326</v>
      </c>
      <c r="F8" s="278">
        <f t="shared" si="1"/>
        <v>2626515</v>
      </c>
      <c r="G8" s="1364">
        <f t="shared" si="2"/>
        <v>0.46564059219155418</v>
      </c>
    </row>
    <row r="9" spans="1:19" ht="18.75" hidden="1">
      <c r="A9" s="1369">
        <v>41122</v>
      </c>
      <c r="B9" s="279">
        <v>1221877</v>
      </c>
      <c r="C9" s="278">
        <f t="shared" si="0"/>
        <v>1413832</v>
      </c>
      <c r="D9" s="279">
        <v>1305287</v>
      </c>
      <c r="E9" s="279">
        <v>108545</v>
      </c>
      <c r="F9" s="278">
        <f t="shared" si="1"/>
        <v>2635709</v>
      </c>
      <c r="G9" s="1364">
        <f t="shared" si="2"/>
        <v>0.46358569933175475</v>
      </c>
    </row>
    <row r="10" spans="1:19" ht="18.75" hidden="1">
      <c r="A10" s="1369">
        <v>41153</v>
      </c>
      <c r="B10" s="279">
        <f>+'[2]IV.1.1.1 Afil. SFS RC Anual '!B9</f>
        <v>1242830</v>
      </c>
      <c r="C10" s="278">
        <f t="shared" si="0"/>
        <v>1432322</v>
      </c>
      <c r="D10" s="279">
        <v>1320947</v>
      </c>
      <c r="E10" s="279">
        <v>111375</v>
      </c>
      <c r="F10" s="278">
        <f t="shared" si="1"/>
        <v>2675152</v>
      </c>
      <c r="G10" s="1364">
        <f t="shared" si="2"/>
        <v>0.46458294706244729</v>
      </c>
    </row>
    <row r="11" spans="1:19" ht="18.75" hidden="1">
      <c r="A11" s="1369">
        <v>41183</v>
      </c>
      <c r="B11" s="278">
        <v>1229165</v>
      </c>
      <c r="C11" s="278">
        <f t="shared" si="0"/>
        <v>1430194</v>
      </c>
      <c r="D11" s="279">
        <v>1319116</v>
      </c>
      <c r="E11" s="279">
        <v>111078</v>
      </c>
      <c r="F11" s="278">
        <f t="shared" si="1"/>
        <v>2659359</v>
      </c>
      <c r="G11" s="1364">
        <f t="shared" si="2"/>
        <v>0.46220348587761184</v>
      </c>
    </row>
    <row r="12" spans="1:19" s="144" customFormat="1" ht="18.75" hidden="1">
      <c r="A12" s="1369">
        <v>41214</v>
      </c>
      <c r="B12" s="278">
        <v>1237619</v>
      </c>
      <c r="C12" s="278">
        <f t="shared" si="0"/>
        <v>1437672</v>
      </c>
      <c r="D12" s="279">
        <v>1325484</v>
      </c>
      <c r="E12" s="279">
        <v>112188</v>
      </c>
      <c r="F12" s="278">
        <f t="shared" si="1"/>
        <v>2675291</v>
      </c>
      <c r="G12" s="1364">
        <f t="shared" si="2"/>
        <v>0.46261098325378436</v>
      </c>
      <c r="H12" s="84"/>
      <c r="I12" s="84"/>
      <c r="J12" s="84"/>
      <c r="K12" s="84"/>
      <c r="L12" s="84"/>
      <c r="M12" s="84"/>
      <c r="N12" s="84"/>
      <c r="O12" s="84"/>
      <c r="P12" s="84"/>
      <c r="Q12" s="84"/>
      <c r="R12" s="84"/>
    </row>
    <row r="13" spans="1:19" ht="18.75" hidden="1">
      <c r="A13" s="1369">
        <v>41244</v>
      </c>
      <c r="B13" s="278">
        <v>1242830</v>
      </c>
      <c r="C13" s="278">
        <f t="shared" si="0"/>
        <v>1445581</v>
      </c>
      <c r="D13" s="279">
        <v>1332478</v>
      </c>
      <c r="E13" s="279">
        <v>113103</v>
      </c>
      <c r="F13" s="278">
        <f>B13+C13</f>
        <v>2688411</v>
      </c>
      <c r="G13" s="1364">
        <f t="shared" si="2"/>
        <v>0.46229166596922866</v>
      </c>
    </row>
    <row r="14" spans="1:19" ht="18.75" hidden="1">
      <c r="A14" s="1369">
        <v>41275</v>
      </c>
      <c r="B14" s="278">
        <v>1240536</v>
      </c>
      <c r="C14" s="278">
        <f t="shared" si="0"/>
        <v>1450145</v>
      </c>
      <c r="D14" s="279">
        <v>1336222</v>
      </c>
      <c r="E14" s="279">
        <v>113923</v>
      </c>
      <c r="F14" s="278">
        <f>B14+C14</f>
        <v>2690681</v>
      </c>
      <c r="G14" s="1364">
        <f t="shared" si="2"/>
        <v>0.46104908013993484</v>
      </c>
    </row>
    <row r="15" spans="1:19" ht="18.75" hidden="1">
      <c r="A15" s="1369">
        <v>41306</v>
      </c>
      <c r="B15" s="278">
        <v>1249039</v>
      </c>
      <c r="C15" s="278">
        <f t="shared" si="0"/>
        <v>1459376</v>
      </c>
      <c r="D15" s="279">
        <v>1343926</v>
      </c>
      <c r="E15" s="279">
        <v>115450</v>
      </c>
      <c r="F15" s="278">
        <f t="shared" ref="F15:F33" si="3">+B15+D15+E15</f>
        <v>2708415</v>
      </c>
      <c r="G15" s="1364">
        <f t="shared" si="2"/>
        <v>0.46116972472830048</v>
      </c>
    </row>
    <row r="16" spans="1:19" ht="18.75" hidden="1">
      <c r="A16" s="1369">
        <v>41334</v>
      </c>
      <c r="B16" s="278">
        <v>1260455</v>
      </c>
      <c r="C16" s="278">
        <f t="shared" si="0"/>
        <v>1474743</v>
      </c>
      <c r="D16" s="279">
        <v>1356641</v>
      </c>
      <c r="E16" s="279">
        <v>118102</v>
      </c>
      <c r="F16" s="278">
        <f t="shared" si="3"/>
        <v>2735198</v>
      </c>
      <c r="G16" s="1364">
        <f t="shared" si="2"/>
        <v>0.4608276987625759</v>
      </c>
    </row>
    <row r="17" spans="1:7" ht="18.75" hidden="1" customHeight="1">
      <c r="A17" s="1369">
        <v>41365</v>
      </c>
      <c r="B17" s="278">
        <v>1264822</v>
      </c>
      <c r="C17" s="278">
        <f t="shared" si="0"/>
        <v>1483253</v>
      </c>
      <c r="D17" s="279">
        <v>1363526</v>
      </c>
      <c r="E17" s="279">
        <v>119727</v>
      </c>
      <c r="F17" s="278">
        <f t="shared" si="3"/>
        <v>2748075</v>
      </c>
      <c r="G17" s="1364">
        <f t="shared" si="2"/>
        <v>0.46025745294433373</v>
      </c>
    </row>
    <row r="18" spans="1:7" ht="18.75" hidden="1">
      <c r="A18" s="1369">
        <v>41395</v>
      </c>
      <c r="B18" s="278">
        <v>1277798</v>
      </c>
      <c r="C18" s="278">
        <f t="shared" si="0"/>
        <v>1502509</v>
      </c>
      <c r="D18" s="279">
        <v>1380238</v>
      </c>
      <c r="E18" s="279">
        <v>122271</v>
      </c>
      <c r="F18" s="278">
        <f t="shared" si="3"/>
        <v>2780307</v>
      </c>
      <c r="G18" s="1364">
        <f t="shared" si="2"/>
        <v>0.45958881519199141</v>
      </c>
    </row>
    <row r="19" spans="1:7" ht="18.75" hidden="1">
      <c r="A19" s="1369">
        <v>41426</v>
      </c>
      <c r="B19" s="278">
        <v>1287291</v>
      </c>
      <c r="C19" s="278">
        <f t="shared" si="0"/>
        <v>1520489</v>
      </c>
      <c r="D19" s="279">
        <v>1396021</v>
      </c>
      <c r="E19" s="279">
        <v>124468</v>
      </c>
      <c r="F19" s="278">
        <f t="shared" si="3"/>
        <v>2807780</v>
      </c>
      <c r="G19" s="1364">
        <f t="shared" si="2"/>
        <v>0.45847288605232606</v>
      </c>
    </row>
    <row r="20" spans="1:7" ht="18.75" hidden="1">
      <c r="A20" s="1369">
        <v>41456</v>
      </c>
      <c r="B20" s="278">
        <v>1291631</v>
      </c>
      <c r="C20" s="278">
        <f>D20+E20</f>
        <v>1520712</v>
      </c>
      <c r="D20" s="279">
        <v>1394607</v>
      </c>
      <c r="E20" s="279">
        <v>126105</v>
      </c>
      <c r="F20" s="278">
        <f t="shared" si="3"/>
        <v>2812343</v>
      </c>
      <c r="G20" s="1364">
        <f t="shared" si="2"/>
        <v>0.45927221537344487</v>
      </c>
    </row>
    <row r="21" spans="1:7" ht="18.75" hidden="1">
      <c r="A21" s="1369">
        <v>41487</v>
      </c>
      <c r="B21" s="278">
        <v>1300657</v>
      </c>
      <c r="C21" s="278">
        <f>D21+E21</f>
        <v>1541386</v>
      </c>
      <c r="D21" s="279">
        <v>1413807</v>
      </c>
      <c r="E21" s="279">
        <v>127579</v>
      </c>
      <c r="F21" s="278">
        <f t="shared" si="3"/>
        <v>2842043</v>
      </c>
      <c r="G21" s="1364">
        <f t="shared" si="2"/>
        <v>0.45764859996840301</v>
      </c>
    </row>
    <row r="22" spans="1:7" ht="18.75" hidden="1">
      <c r="A22" s="1369">
        <v>41518</v>
      </c>
      <c r="B22" s="278">
        <v>1303324</v>
      </c>
      <c r="C22" s="278">
        <f>D22+E22</f>
        <v>1548470</v>
      </c>
      <c r="D22" s="279">
        <v>1419509</v>
      </c>
      <c r="E22" s="279">
        <v>128961</v>
      </c>
      <c r="F22" s="278">
        <f t="shared" si="3"/>
        <v>2851794</v>
      </c>
      <c r="G22" s="1364">
        <f t="shared" si="2"/>
        <v>0.45701898524227208</v>
      </c>
    </row>
    <row r="23" spans="1:7" ht="18.75">
      <c r="A23" s="572" t="s">
        <v>600</v>
      </c>
      <c r="B23" s="1365">
        <v>1321340</v>
      </c>
      <c r="C23" s="1373">
        <f t="shared" ref="C23:C34" si="4">D23+E23</f>
        <v>1581000</v>
      </c>
      <c r="D23" s="1366">
        <v>1450246</v>
      </c>
      <c r="E23" s="1366">
        <v>130754</v>
      </c>
      <c r="F23" s="1373">
        <f t="shared" si="3"/>
        <v>2902340</v>
      </c>
      <c r="G23" s="1372">
        <f>C23/B23</f>
        <v>1.1965126311168965</v>
      </c>
    </row>
    <row r="24" spans="1:7" ht="18.75">
      <c r="A24" s="1370" t="s">
        <v>601</v>
      </c>
      <c r="B24" s="278">
        <v>1322877</v>
      </c>
      <c r="C24" s="445">
        <f t="shared" si="4"/>
        <v>1585470</v>
      </c>
      <c r="D24" s="279">
        <v>1454254</v>
      </c>
      <c r="E24" s="279">
        <v>131216</v>
      </c>
      <c r="F24" s="445">
        <f t="shared" si="3"/>
        <v>2908347</v>
      </c>
      <c r="G24" s="357">
        <f t="shared" ref="G24:G35" si="5">C24/B24</f>
        <v>1.1985014479804246</v>
      </c>
    </row>
    <row r="25" spans="1:7" ht="18.75">
      <c r="A25" s="1370" t="s">
        <v>602</v>
      </c>
      <c r="B25" s="278">
        <v>1333694</v>
      </c>
      <c r="C25" s="445">
        <f t="shared" si="4"/>
        <v>1600905</v>
      </c>
      <c r="D25" s="279">
        <v>1465918</v>
      </c>
      <c r="E25" s="279">
        <v>134987</v>
      </c>
      <c r="F25" s="445">
        <f t="shared" si="3"/>
        <v>2934599</v>
      </c>
      <c r="G25" s="357">
        <f t="shared" si="5"/>
        <v>1.2003540542283313</v>
      </c>
    </row>
    <row r="26" spans="1:7" ht="18.75">
      <c r="A26" s="1370" t="s">
        <v>603</v>
      </c>
      <c r="B26" s="278">
        <v>1347792</v>
      </c>
      <c r="C26" s="445">
        <f t="shared" si="4"/>
        <v>1621062</v>
      </c>
      <c r="D26" s="279">
        <v>1483296</v>
      </c>
      <c r="E26" s="279">
        <v>137766</v>
      </c>
      <c r="F26" s="445">
        <f t="shared" si="3"/>
        <v>2968854</v>
      </c>
      <c r="G26" s="357">
        <f t="shared" si="5"/>
        <v>1.2027538373873714</v>
      </c>
    </row>
    <row r="27" spans="1:7" ht="18.75">
      <c r="A27" s="1370" t="s">
        <v>604</v>
      </c>
      <c r="B27" s="278">
        <v>1364259</v>
      </c>
      <c r="C27" s="445">
        <f t="shared" si="4"/>
        <v>1641278</v>
      </c>
      <c r="D27" s="279">
        <v>1501777</v>
      </c>
      <c r="E27" s="279">
        <v>139501</v>
      </c>
      <c r="F27" s="445">
        <f t="shared" si="3"/>
        <v>3005537</v>
      </c>
      <c r="G27" s="357">
        <f t="shared" si="5"/>
        <v>1.2030545519582425</v>
      </c>
    </row>
    <row r="28" spans="1:7" ht="18.75">
      <c r="A28" s="1370" t="s">
        <v>605</v>
      </c>
      <c r="B28" s="278">
        <v>1374315</v>
      </c>
      <c r="C28" s="445">
        <f t="shared" si="4"/>
        <v>1656102</v>
      </c>
      <c r="D28" s="279">
        <v>1514545</v>
      </c>
      <c r="E28" s="279">
        <v>141557</v>
      </c>
      <c r="F28" s="445">
        <f t="shared" si="3"/>
        <v>3030417</v>
      </c>
      <c r="G28" s="357">
        <f t="shared" si="5"/>
        <v>1.2050381462765087</v>
      </c>
    </row>
    <row r="29" spans="1:7" ht="18.75">
      <c r="A29" s="1370" t="s">
        <v>606</v>
      </c>
      <c r="B29" s="278">
        <v>1375864</v>
      </c>
      <c r="C29" s="445">
        <f t="shared" si="4"/>
        <v>1661532</v>
      </c>
      <c r="D29" s="279">
        <v>1519919</v>
      </c>
      <c r="E29" s="279">
        <v>141613</v>
      </c>
      <c r="F29" s="445">
        <f t="shared" si="3"/>
        <v>3037396</v>
      </c>
      <c r="G29" s="357">
        <f t="shared" si="5"/>
        <v>1.2076280795194874</v>
      </c>
    </row>
    <row r="30" spans="1:7" ht="18.75">
      <c r="A30" s="1370" t="s">
        <v>607</v>
      </c>
      <c r="B30" s="278">
        <v>1390935</v>
      </c>
      <c r="C30" s="445">
        <f t="shared" si="4"/>
        <v>1678476</v>
      </c>
      <c r="D30" s="279">
        <v>1535105</v>
      </c>
      <c r="E30" s="279">
        <v>143371</v>
      </c>
      <c r="F30" s="445">
        <f t="shared" si="3"/>
        <v>3069411</v>
      </c>
      <c r="G30" s="357">
        <f t="shared" si="5"/>
        <v>1.206724972770115</v>
      </c>
    </row>
    <row r="31" spans="1:7" ht="18.75">
      <c r="A31" s="1370" t="s">
        <v>608</v>
      </c>
      <c r="B31" s="278">
        <v>1391699</v>
      </c>
      <c r="C31" s="445">
        <f t="shared" si="4"/>
        <v>1688073</v>
      </c>
      <c r="D31" s="279">
        <v>1542660</v>
      </c>
      <c r="E31" s="279">
        <v>145413</v>
      </c>
      <c r="F31" s="445">
        <f t="shared" si="3"/>
        <v>3079772</v>
      </c>
      <c r="G31" s="357">
        <f t="shared" si="5"/>
        <v>1.2129584055172851</v>
      </c>
    </row>
    <row r="32" spans="1:7" ht="18.75">
      <c r="A32" s="1370" t="s">
        <v>571</v>
      </c>
      <c r="B32" s="278">
        <v>1400550</v>
      </c>
      <c r="C32" s="445">
        <f t="shared" si="4"/>
        <v>1701350</v>
      </c>
      <c r="D32" s="279">
        <v>1554245</v>
      </c>
      <c r="E32" s="279">
        <v>147105</v>
      </c>
      <c r="F32" s="445">
        <f t="shared" si="3"/>
        <v>3101900</v>
      </c>
      <c r="G32" s="357">
        <f t="shared" si="5"/>
        <v>1.2147727678412052</v>
      </c>
    </row>
    <row r="33" spans="1:18" ht="18.75">
      <c r="A33" s="1370" t="s">
        <v>637</v>
      </c>
      <c r="B33" s="278">
        <v>1417590</v>
      </c>
      <c r="C33" s="445">
        <f t="shared" si="4"/>
        <v>1710872</v>
      </c>
      <c r="D33" s="279">
        <v>1561834</v>
      </c>
      <c r="E33" s="279">
        <v>149038</v>
      </c>
      <c r="F33" s="445">
        <f t="shared" si="3"/>
        <v>3128462</v>
      </c>
      <c r="G33" s="357">
        <f t="shared" si="5"/>
        <v>1.2068877461043037</v>
      </c>
    </row>
    <row r="34" spans="1:18" ht="18.75">
      <c r="A34" s="1370" t="s">
        <v>635</v>
      </c>
      <c r="B34" s="278">
        <v>1422986</v>
      </c>
      <c r="C34" s="445">
        <f t="shared" si="4"/>
        <v>1718613</v>
      </c>
      <c r="D34" s="279">
        <v>1568541</v>
      </c>
      <c r="E34" s="279">
        <v>150072</v>
      </c>
      <c r="F34" s="445">
        <f>+B34+C34</f>
        <v>3141599</v>
      </c>
      <c r="G34" s="357">
        <f t="shared" si="5"/>
        <v>1.2077511655068989</v>
      </c>
    </row>
    <row r="35" spans="1:18" ht="15" customHeight="1">
      <c r="A35" s="1371" t="s">
        <v>636</v>
      </c>
      <c r="B35" s="1367">
        <v>1426011</v>
      </c>
      <c r="C35" s="447">
        <f>D35+E35</f>
        <v>1729358</v>
      </c>
      <c r="D35" s="527">
        <v>1568240</v>
      </c>
      <c r="E35" s="527">
        <v>161118</v>
      </c>
      <c r="F35" s="447">
        <f>+B35+C35</f>
        <v>3155369</v>
      </c>
      <c r="G35" s="444">
        <f t="shared" si="5"/>
        <v>1.2127241655218648</v>
      </c>
    </row>
    <row r="36" spans="1:18" ht="43.5" customHeight="1">
      <c r="A36" s="1754" t="s">
        <v>588</v>
      </c>
      <c r="B36" s="1754"/>
      <c r="C36" s="1754"/>
      <c r="D36" s="1754"/>
      <c r="E36" s="1754"/>
      <c r="F36" s="1754"/>
      <c r="G36" s="1754"/>
      <c r="H36" s="34"/>
      <c r="I36" s="34"/>
      <c r="J36" s="34"/>
      <c r="K36" s="34"/>
      <c r="L36" s="34"/>
      <c r="M36" s="34"/>
      <c r="N36" s="34"/>
      <c r="O36" s="34"/>
      <c r="P36" s="34"/>
      <c r="Q36" s="34"/>
      <c r="R36" s="34"/>
    </row>
    <row r="37" spans="1:18" ht="25.5" customHeight="1">
      <c r="A37" s="34"/>
      <c r="B37" s="34"/>
      <c r="C37" s="34"/>
      <c r="D37" s="34"/>
      <c r="E37" s="34"/>
      <c r="F37" s="34"/>
      <c r="G37" s="34"/>
      <c r="H37" s="34"/>
      <c r="I37" s="34"/>
      <c r="J37" s="34"/>
      <c r="K37" s="34"/>
      <c r="L37" s="34"/>
      <c r="M37" s="34"/>
      <c r="N37" s="34"/>
      <c r="O37" s="34"/>
      <c r="P37" s="34"/>
      <c r="Q37" s="34"/>
      <c r="R37" s="34"/>
    </row>
    <row r="38" spans="1:18" ht="25.5" customHeight="1">
      <c r="A38" s="34"/>
      <c r="B38" s="34"/>
      <c r="C38" s="34"/>
      <c r="D38" s="34"/>
      <c r="E38" s="34"/>
      <c r="F38" s="34"/>
      <c r="G38" s="34"/>
      <c r="H38" s="34"/>
      <c r="I38" s="34"/>
      <c r="J38" s="34"/>
      <c r="K38" s="34"/>
      <c r="L38" s="34"/>
      <c r="M38" s="34"/>
      <c r="N38" s="34"/>
      <c r="O38" s="34"/>
      <c r="P38" s="34"/>
      <c r="Q38" s="34"/>
      <c r="R38" s="34"/>
    </row>
    <row r="39" spans="1:18" ht="25.5" customHeight="1">
      <c r="A39" s="34"/>
      <c r="B39" s="34"/>
      <c r="C39" s="34"/>
      <c r="D39" s="34"/>
      <c r="E39" s="34"/>
      <c r="F39" s="34"/>
      <c r="G39" s="34"/>
      <c r="H39" s="34"/>
      <c r="I39" s="34"/>
      <c r="J39" s="34"/>
      <c r="K39" s="34"/>
      <c r="L39" s="34"/>
      <c r="M39" s="34"/>
      <c r="N39" s="34"/>
      <c r="O39" s="34"/>
      <c r="P39" s="34"/>
      <c r="Q39" s="34"/>
      <c r="R39" s="34"/>
    </row>
    <row r="40" spans="1:18" ht="25.5" customHeight="1">
      <c r="A40" s="34"/>
      <c r="B40" s="34"/>
      <c r="C40" s="34"/>
      <c r="D40" s="34"/>
      <c r="E40" s="34"/>
      <c r="F40" s="34"/>
      <c r="G40" s="34"/>
      <c r="H40" s="34"/>
      <c r="I40" s="34"/>
      <c r="J40" s="34"/>
      <c r="K40" s="34"/>
      <c r="L40" s="34"/>
      <c r="M40" s="34"/>
      <c r="N40" s="34"/>
      <c r="O40" s="34"/>
      <c r="P40" s="34"/>
      <c r="Q40" s="34"/>
      <c r="R40" s="34"/>
    </row>
    <row r="41" spans="1:18" ht="25.5" customHeight="1">
      <c r="A41" s="34"/>
      <c r="B41" s="34"/>
      <c r="C41" s="34"/>
      <c r="D41" s="34"/>
      <c r="E41" s="34"/>
      <c r="F41" s="34"/>
      <c r="G41" s="34"/>
      <c r="H41" s="34"/>
      <c r="I41" s="34"/>
      <c r="J41" s="34"/>
      <c r="K41" s="34"/>
      <c r="L41" s="34"/>
      <c r="M41" s="34"/>
      <c r="N41" s="34"/>
      <c r="O41" s="34"/>
      <c r="P41" s="34"/>
      <c r="Q41" s="34"/>
      <c r="R41" s="34"/>
    </row>
    <row r="42" spans="1:18" ht="25.5" customHeight="1">
      <c r="A42" s="34"/>
      <c r="B42" s="34"/>
      <c r="C42" s="34"/>
      <c r="D42" s="34"/>
      <c r="E42" s="34"/>
      <c r="F42" s="34"/>
      <c r="G42" s="34"/>
      <c r="H42" s="34"/>
      <c r="I42" s="34"/>
      <c r="J42" s="34"/>
      <c r="K42" s="34"/>
      <c r="L42" s="34"/>
      <c r="M42" s="34"/>
      <c r="N42" s="34"/>
      <c r="O42" s="34"/>
      <c r="P42" s="34"/>
      <c r="Q42" s="34"/>
      <c r="R42" s="34"/>
    </row>
    <row r="43" spans="1:18" ht="25.5" customHeight="1">
      <c r="A43" s="34"/>
      <c r="B43" s="34"/>
      <c r="C43" s="34"/>
      <c r="D43" s="34"/>
      <c r="E43" s="34"/>
      <c r="F43" s="34"/>
      <c r="G43" s="34"/>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c r="O52" s="103"/>
      <c r="P52" s="103"/>
      <c r="Q52" s="103"/>
      <c r="R52" s="103"/>
      <c r="S52" s="104"/>
      <c r="T52" s="104"/>
      <c r="U52" s="104"/>
      <c r="V52" s="104"/>
      <c r="W52" s="104"/>
      <c r="X52" s="104"/>
      <c r="Y52" s="104"/>
      <c r="Z52" s="104"/>
      <c r="AA52" s="104"/>
      <c r="AB52" s="104"/>
    </row>
    <row r="53" spans="1:28">
      <c r="O53" s="103"/>
      <c r="P53" s="103"/>
      <c r="Q53" s="103"/>
      <c r="R53" s="103"/>
      <c r="S53" s="104"/>
      <c r="T53" s="104"/>
      <c r="U53" s="104"/>
      <c r="V53" s="104"/>
      <c r="W53" s="104"/>
      <c r="X53" s="104"/>
      <c r="Y53" s="104"/>
      <c r="Z53" s="104"/>
      <c r="AA53" s="104"/>
      <c r="AB53" s="10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ht="51" customHeight="1">
      <c r="O56" s="103"/>
      <c r="P56" s="103"/>
      <c r="Q56" s="103"/>
      <c r="R56" s="103"/>
      <c r="S56" s="104"/>
      <c r="T56" s="104"/>
      <c r="U56" s="104"/>
      <c r="V56" s="104"/>
      <c r="W56" s="104"/>
      <c r="X56" s="104"/>
      <c r="Y56" s="104"/>
      <c r="Z56" s="104"/>
      <c r="AA56" s="104"/>
      <c r="AB56" s="104"/>
    </row>
    <row r="57" spans="1:28" ht="78" customHeight="1">
      <c r="A57" s="1755"/>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c r="AA57" s="104"/>
      <c r="AB57" s="104"/>
    </row>
    <row r="58" spans="1:28">
      <c r="O58" s="104"/>
      <c r="P58" s="104"/>
      <c r="Q58" s="104"/>
      <c r="R58" s="104"/>
      <c r="S58" s="104"/>
    </row>
    <row r="59" spans="1:28">
      <c r="O59" s="104"/>
      <c r="P59" s="104"/>
      <c r="Q59" s="104"/>
      <c r="R59" s="104"/>
      <c r="S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c r="T63" s="104"/>
      <c r="U63" s="104"/>
      <c r="V63" s="104"/>
      <c r="W63" s="104"/>
      <c r="X63" s="104"/>
      <c r="Y63" s="104"/>
      <c r="Z63" s="104"/>
      <c r="AA63" s="104"/>
      <c r="AB63" s="104"/>
    </row>
    <row r="64" spans="1:28">
      <c r="O64" s="104"/>
      <c r="P64" s="104"/>
      <c r="Q64" s="104"/>
      <c r="R64" s="104"/>
      <c r="S64" s="104"/>
      <c r="T64" s="104"/>
      <c r="U64" s="104"/>
      <c r="V64" s="104"/>
      <c r="W64" s="104"/>
      <c r="X64" s="104"/>
      <c r="Y64" s="104"/>
      <c r="Z64" s="104"/>
      <c r="AA64" s="104"/>
      <c r="AB64" s="104"/>
    </row>
    <row r="65" spans="2:28">
      <c r="O65" s="104"/>
      <c r="P65" s="104"/>
      <c r="Q65" s="104"/>
      <c r="R65" s="104"/>
      <c r="S65" s="104"/>
      <c r="T65" s="104"/>
      <c r="U65" s="104"/>
      <c r="V65" s="104"/>
      <c r="W65" s="104"/>
      <c r="X65" s="104"/>
      <c r="Y65" s="104"/>
      <c r="Z65" s="104"/>
      <c r="AA65" s="104"/>
      <c r="AB65" s="104"/>
    </row>
    <row r="66" spans="2:28">
      <c r="O66" s="104"/>
      <c r="P66" s="104"/>
      <c r="Q66" s="104"/>
      <c r="R66" s="104"/>
      <c r="S66" s="104"/>
      <c r="T66" s="104"/>
      <c r="U66" s="104"/>
      <c r="V66" s="104"/>
      <c r="W66" s="104"/>
      <c r="X66" s="104"/>
      <c r="Y66" s="104"/>
      <c r="Z66" s="104"/>
      <c r="AA66" s="104"/>
      <c r="AB66" s="104"/>
    </row>
    <row r="67" spans="2:28">
      <c r="O67" s="104"/>
      <c r="P67" s="104"/>
      <c r="Q67" s="104"/>
      <c r="R67" s="104"/>
      <c r="S67" s="104"/>
      <c r="T67" s="104"/>
      <c r="U67" s="104"/>
      <c r="V67" s="104"/>
      <c r="W67" s="104"/>
      <c r="X67" s="104"/>
      <c r="Y67" s="104"/>
      <c r="Z67" s="104"/>
      <c r="AA67" s="104"/>
      <c r="AB67" s="104"/>
    </row>
    <row r="68" spans="2:28">
      <c r="O68" s="104"/>
      <c r="P68" s="104"/>
      <c r="Q68" s="104"/>
      <c r="R68" s="104"/>
      <c r="S68" s="104"/>
      <c r="T68" s="104"/>
      <c r="U68" s="104"/>
      <c r="V68" s="104"/>
      <c r="W68" s="104"/>
      <c r="X68" s="104"/>
      <c r="Y68" s="104"/>
      <c r="Z68" s="104"/>
      <c r="AA68" s="104"/>
      <c r="AB68" s="104"/>
    </row>
    <row r="69" spans="2:28">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row>
    <row r="88" spans="20:25">
      <c r="T88" s="104"/>
      <c r="U88" s="104"/>
      <c r="V88" s="104"/>
      <c r="W88" s="104"/>
      <c r="X88" s="104"/>
      <c r="Y88" s="104"/>
    </row>
    <row r="89" spans="20:25">
      <c r="T89" s="104"/>
      <c r="U89" s="104"/>
      <c r="V89" s="104"/>
      <c r="W89" s="104"/>
      <c r="X89" s="104"/>
      <c r="Y89" s="104"/>
    </row>
    <row r="90" spans="20:25">
      <c r="T90" s="104"/>
      <c r="U90" s="104"/>
      <c r="V90" s="104"/>
      <c r="W90" s="104"/>
      <c r="X90" s="104"/>
      <c r="Y90" s="104"/>
    </row>
    <row r="91" spans="20:25">
      <c r="T91" s="104"/>
      <c r="U91" s="104"/>
      <c r="V91" s="104"/>
      <c r="W91" s="104"/>
      <c r="X91" s="104"/>
      <c r="Y91" s="104"/>
    </row>
    <row r="92" spans="20:25">
      <c r="T92" s="104"/>
      <c r="U92" s="104"/>
      <c r="V92" s="104"/>
      <c r="W92" s="104"/>
      <c r="X92" s="104"/>
      <c r="Y92" s="104"/>
    </row>
    <row r="93" spans="20:25">
      <c r="T93" s="104"/>
      <c r="U93" s="104"/>
      <c r="V93" s="104"/>
      <c r="W93" s="104"/>
      <c r="X93" s="104"/>
      <c r="Y93" s="104"/>
    </row>
    <row r="94" spans="20:25">
      <c r="T94" s="104"/>
      <c r="U94" s="104"/>
      <c r="V94" s="104"/>
      <c r="W94" s="104"/>
      <c r="X94" s="104"/>
      <c r="Y94" s="104"/>
    </row>
    <row r="95" spans="20:25">
      <c r="T95" s="104"/>
      <c r="U95" s="104"/>
      <c r="V95" s="104"/>
      <c r="W95" s="104"/>
      <c r="X95" s="104"/>
      <c r="Y95" s="104"/>
    </row>
    <row r="105" spans="20:25">
      <c r="T105" s="104"/>
      <c r="U105" s="104"/>
      <c r="V105" s="104"/>
      <c r="W105" s="104"/>
      <c r="X105" s="104"/>
      <c r="Y105" s="104"/>
    </row>
    <row r="106" spans="20:25">
      <c r="T106" s="104"/>
      <c r="U106" s="104"/>
      <c r="V106" s="104"/>
      <c r="W106" s="104"/>
      <c r="X106" s="104"/>
      <c r="Y106" s="104"/>
    </row>
    <row r="107" spans="20:25">
      <c r="T107" s="104"/>
      <c r="U107" s="104"/>
      <c r="V107" s="104"/>
      <c r="W107" s="104"/>
      <c r="X107" s="104"/>
      <c r="Y107" s="104"/>
    </row>
    <row r="108" spans="20:25">
      <c r="T108" s="104"/>
      <c r="U108" s="104"/>
      <c r="V108" s="104"/>
      <c r="W108" s="104"/>
      <c r="X108" s="104"/>
      <c r="Y108" s="104"/>
    </row>
  </sheetData>
  <mergeCells count="3">
    <mergeCell ref="A1:R1"/>
    <mergeCell ref="A36:G36"/>
    <mergeCell ref="A57:Z5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55" zoomScaleNormal="100" zoomScaleSheetLayoutView="55" zoomScalePageLayoutView="62" workbookViewId="0">
      <selection activeCell="I5" sqref="I5"/>
    </sheetView>
  </sheetViews>
  <sheetFormatPr baseColWidth="10" defaultColWidth="11.42578125" defaultRowHeight="15"/>
  <cols>
    <col min="1" max="1" width="16.7109375" style="84" customWidth="1"/>
    <col min="2" max="2" width="27.140625" style="84" customWidth="1"/>
    <col min="3" max="3" width="30.85546875" style="84" customWidth="1"/>
    <col min="4" max="4" width="34.7109375" style="84" customWidth="1"/>
    <col min="5" max="5" width="23" style="84" customWidth="1"/>
    <col min="6" max="6" width="26.28515625" style="84" customWidth="1"/>
    <col min="7" max="7" width="23.85546875" style="84" customWidth="1"/>
    <col min="8" max="8" width="17.7109375" style="84" customWidth="1"/>
    <col min="9" max="9" width="20.7109375" style="84" customWidth="1"/>
    <col min="10" max="10" width="16.85546875" style="84" customWidth="1"/>
    <col min="11" max="11" width="14.5703125" style="84" customWidth="1"/>
    <col min="12" max="12" width="15" style="84" customWidth="1"/>
    <col min="13" max="13" width="17.28515625" style="84" customWidth="1"/>
    <col min="14" max="15" width="12.5703125" style="84" customWidth="1"/>
    <col min="16" max="16" width="13.28515625" style="84" customWidth="1"/>
    <col min="17" max="17" width="20" style="84" customWidth="1"/>
    <col min="18" max="18" width="14.42578125" style="84" customWidth="1"/>
    <col min="19" max="19" width="25.2851562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4.25" customHeight="1">
      <c r="A1" s="1753"/>
      <c r="B1" s="1753"/>
      <c r="C1" s="1753"/>
      <c r="D1" s="1753"/>
      <c r="E1" s="1753"/>
      <c r="F1" s="1753"/>
      <c r="G1" s="1753"/>
      <c r="H1" s="1753"/>
      <c r="I1" s="1753"/>
      <c r="J1" s="1753"/>
      <c r="K1" s="1753"/>
      <c r="L1" s="1753"/>
      <c r="M1" s="1753"/>
      <c r="N1" s="1753"/>
      <c r="O1" s="1753"/>
      <c r="P1" s="1753"/>
      <c r="Q1" s="1753"/>
      <c r="R1" s="1753"/>
    </row>
    <row r="2" spans="1:33" s="44" customFormat="1" ht="8.25" customHeight="1">
      <c r="A2" s="1138"/>
      <c r="B2" s="1138"/>
      <c r="C2" s="1138"/>
      <c r="D2" s="1138"/>
      <c r="E2" s="1138"/>
      <c r="F2" s="1138"/>
      <c r="G2" s="1138"/>
      <c r="H2" s="192"/>
      <c r="I2" s="192"/>
      <c r="J2" s="192"/>
      <c r="K2" s="192"/>
      <c r="L2" s="192"/>
      <c r="M2" s="192"/>
      <c r="N2" s="192"/>
      <c r="O2" s="192"/>
      <c r="P2" s="192"/>
      <c r="Q2" s="192"/>
      <c r="R2" s="192"/>
    </row>
    <row r="3" spans="1:33" ht="93.75" customHeight="1">
      <c r="A3" s="1092" t="s">
        <v>251</v>
      </c>
      <c r="B3" s="460" t="s">
        <v>819</v>
      </c>
      <c r="C3" s="459" t="s">
        <v>820</v>
      </c>
      <c r="D3" s="459" t="s">
        <v>821</v>
      </c>
      <c r="E3" s="459" t="s">
        <v>822</v>
      </c>
      <c r="F3" s="459" t="s">
        <v>823</v>
      </c>
      <c r="G3" s="461" t="s">
        <v>587</v>
      </c>
      <c r="H3"/>
      <c r="I3"/>
      <c r="J3"/>
      <c r="K3"/>
      <c r="L3"/>
      <c r="M3"/>
      <c r="N3"/>
      <c r="O3"/>
      <c r="P3"/>
      <c r="Q3"/>
      <c r="R3"/>
      <c r="S3" s="26"/>
      <c r="T3" s="26"/>
      <c r="U3" s="26"/>
      <c r="V3" s="26"/>
    </row>
    <row r="4" spans="1:33" ht="18.75">
      <c r="A4" s="1126" t="s">
        <v>502</v>
      </c>
      <c r="B4" s="1128">
        <v>1005990</v>
      </c>
      <c r="C4" s="464">
        <f t="shared" ref="C4:C9" si="0">D4+E4</f>
        <v>593477</v>
      </c>
      <c r="D4" s="463">
        <v>586713</v>
      </c>
      <c r="E4" s="463">
        <v>6764</v>
      </c>
      <c r="F4" s="464">
        <f t="shared" ref="F4:F11" si="1">+B4+D4+E4</f>
        <v>1599467</v>
      </c>
      <c r="G4" s="465">
        <f t="shared" ref="G4:G12" si="2">C4/B4</f>
        <v>0.58994323999244525</v>
      </c>
      <c r="H4"/>
      <c r="I4"/>
      <c r="J4"/>
      <c r="K4"/>
      <c r="L4"/>
      <c r="M4"/>
      <c r="N4"/>
      <c r="O4"/>
      <c r="P4"/>
      <c r="Q4"/>
      <c r="R4"/>
      <c r="T4" s="26"/>
      <c r="U4" s="26"/>
      <c r="V4" s="26"/>
    </row>
    <row r="5" spans="1:33" ht="18.75">
      <c r="A5" s="1126" t="s">
        <v>503</v>
      </c>
      <c r="B5" s="1128">
        <v>992746</v>
      </c>
      <c r="C5" s="464">
        <f t="shared" si="0"/>
        <v>736925</v>
      </c>
      <c r="D5" s="463">
        <v>718099</v>
      </c>
      <c r="E5" s="463">
        <v>18826</v>
      </c>
      <c r="F5" s="464">
        <f t="shared" si="1"/>
        <v>1729671</v>
      </c>
      <c r="G5" s="465">
        <f t="shared" si="2"/>
        <v>0.74230971467021778</v>
      </c>
      <c r="H5"/>
      <c r="J5"/>
      <c r="K5"/>
      <c r="L5"/>
      <c r="M5"/>
      <c r="N5"/>
      <c r="O5"/>
      <c r="P5"/>
      <c r="Q5"/>
      <c r="R5"/>
      <c r="S5" s="147"/>
      <c r="T5" s="26"/>
      <c r="U5" s="26"/>
      <c r="V5" s="26"/>
    </row>
    <row r="6" spans="1:33" ht="18.75">
      <c r="A6" s="1126" t="s">
        <v>200</v>
      </c>
      <c r="B6" s="1128">
        <v>1084705</v>
      </c>
      <c r="C6" s="464">
        <f t="shared" si="0"/>
        <v>1011527</v>
      </c>
      <c r="D6" s="463">
        <v>965195</v>
      </c>
      <c r="E6" s="463">
        <v>46332</v>
      </c>
      <c r="F6" s="464">
        <f t="shared" si="1"/>
        <v>2096232</v>
      </c>
      <c r="G6" s="465">
        <f t="shared" si="2"/>
        <v>0.93253649609801748</v>
      </c>
      <c r="H6"/>
      <c r="J6"/>
      <c r="K6"/>
      <c r="L6"/>
      <c r="M6"/>
      <c r="N6"/>
      <c r="O6"/>
      <c r="P6"/>
      <c r="Q6"/>
      <c r="R6"/>
      <c r="S6" s="147"/>
      <c r="T6" s="26"/>
      <c r="U6" s="26"/>
      <c r="V6" s="26"/>
    </row>
    <row r="7" spans="1:33" ht="18.75">
      <c r="A7" s="1126" t="s">
        <v>201</v>
      </c>
      <c r="B7" s="1128">
        <v>1183463</v>
      </c>
      <c r="C7" s="464">
        <f t="shared" si="0"/>
        <v>1234529</v>
      </c>
      <c r="D7" s="463">
        <v>1163938</v>
      </c>
      <c r="E7" s="463">
        <v>70591</v>
      </c>
      <c r="F7" s="464">
        <f t="shared" si="1"/>
        <v>2417992</v>
      </c>
      <c r="G7" s="465">
        <f t="shared" si="2"/>
        <v>1.043149637969248</v>
      </c>
      <c r="H7"/>
      <c r="J7"/>
      <c r="K7"/>
      <c r="L7"/>
      <c r="M7"/>
      <c r="N7"/>
      <c r="O7"/>
      <c r="P7"/>
      <c r="Q7"/>
      <c r="R7"/>
      <c r="S7" s="147"/>
      <c r="T7" s="26"/>
      <c r="U7" s="26"/>
      <c r="V7" s="26"/>
    </row>
    <row r="8" spans="1:33" ht="18.75">
      <c r="A8" s="1126" t="s">
        <v>504</v>
      </c>
      <c r="B8" s="1128">
        <v>1224959</v>
      </c>
      <c r="C8" s="464">
        <f t="shared" si="0"/>
        <v>1361984</v>
      </c>
      <c r="D8" s="463">
        <v>1266038</v>
      </c>
      <c r="E8" s="463">
        <v>95946</v>
      </c>
      <c r="F8" s="464">
        <f t="shared" si="1"/>
        <v>2586943</v>
      </c>
      <c r="G8" s="465">
        <f t="shared" si="2"/>
        <v>1.1118608867725368</v>
      </c>
      <c r="H8"/>
      <c r="J8"/>
      <c r="K8"/>
      <c r="L8"/>
      <c r="M8"/>
      <c r="N8"/>
      <c r="O8"/>
      <c r="P8"/>
      <c r="Q8"/>
      <c r="R8"/>
      <c r="S8" s="147"/>
      <c r="T8" s="26"/>
      <c r="U8" s="26"/>
      <c r="V8" s="26"/>
    </row>
    <row r="9" spans="1:33" ht="18.75">
      <c r="A9" s="1126" t="s">
        <v>505</v>
      </c>
      <c r="B9" s="1128">
        <v>1270865</v>
      </c>
      <c r="C9" s="464">
        <f t="shared" si="0"/>
        <v>1476870</v>
      </c>
      <c r="D9" s="463">
        <v>1362366</v>
      </c>
      <c r="E9" s="463">
        <v>114504</v>
      </c>
      <c r="F9" s="464">
        <f t="shared" si="1"/>
        <v>2747735</v>
      </c>
      <c r="G9" s="465">
        <f t="shared" si="2"/>
        <v>1.1620982559123116</v>
      </c>
      <c r="H9"/>
      <c r="J9"/>
      <c r="K9"/>
      <c r="L9"/>
      <c r="M9"/>
      <c r="N9"/>
      <c r="O9"/>
      <c r="P9"/>
      <c r="Q9"/>
      <c r="R9"/>
      <c r="S9" s="147"/>
      <c r="T9" s="26"/>
      <c r="U9" s="26"/>
      <c r="V9" s="26"/>
    </row>
    <row r="10" spans="1:33" ht="18.75">
      <c r="A10" s="1126" t="s">
        <v>581</v>
      </c>
      <c r="B10" s="1128">
        <v>1353109</v>
      </c>
      <c r="C10" s="464">
        <f>D10+E10</f>
        <v>1612217</v>
      </c>
      <c r="D10" s="463">
        <v>1478208</v>
      </c>
      <c r="E10" s="463">
        <v>134009</v>
      </c>
      <c r="F10" s="464">
        <f t="shared" si="1"/>
        <v>2965326</v>
      </c>
      <c r="G10" s="465">
        <f t="shared" si="2"/>
        <v>1.1914908555038803</v>
      </c>
      <c r="H10"/>
      <c r="J10"/>
      <c r="K10"/>
      <c r="L10"/>
      <c r="M10"/>
      <c r="N10"/>
      <c r="O10"/>
      <c r="P10"/>
      <c r="Q10"/>
      <c r="R10"/>
      <c r="S10" s="147"/>
      <c r="T10" s="26"/>
      <c r="U10" s="26"/>
      <c r="V10" s="26"/>
    </row>
    <row r="11" spans="1:33" ht="18" customHeight="1">
      <c r="A11" s="1126" t="s">
        <v>633</v>
      </c>
      <c r="B11" s="1128">
        <v>1451773</v>
      </c>
      <c r="C11" s="464">
        <f>D11+E11</f>
        <v>1773174</v>
      </c>
      <c r="D11" s="463">
        <v>1621827</v>
      </c>
      <c r="E11" s="463">
        <v>151347</v>
      </c>
      <c r="F11" s="464">
        <f t="shared" si="1"/>
        <v>3224947</v>
      </c>
      <c r="G11" s="465">
        <f t="shared" si="2"/>
        <v>1.2213851614543045</v>
      </c>
      <c r="H11"/>
      <c r="J11"/>
      <c r="K11" s="34"/>
      <c r="L11" s="34"/>
      <c r="M11" s="34"/>
      <c r="N11" s="34"/>
      <c r="O11" s="34"/>
      <c r="P11" s="34"/>
      <c r="Q11" s="66"/>
      <c r="R11" s="66"/>
      <c r="S11" s="147"/>
      <c r="T11" s="26"/>
      <c r="U11" s="26"/>
      <c r="V11" s="26"/>
    </row>
    <row r="12" spans="1:33" ht="18" customHeight="1">
      <c r="A12" s="1127" t="s">
        <v>632</v>
      </c>
      <c r="B12" s="1129">
        <v>1459038</v>
      </c>
      <c r="C12" s="525">
        <f>D12+E12</f>
        <v>1778842</v>
      </c>
      <c r="D12" s="524">
        <v>1615933</v>
      </c>
      <c r="E12" s="524">
        <v>162909</v>
      </c>
      <c r="F12" s="525">
        <f>+B12+D12+E12</f>
        <v>3237880</v>
      </c>
      <c r="G12" s="466">
        <f t="shared" si="2"/>
        <v>1.2191882596615029</v>
      </c>
      <c r="J12" s="34"/>
      <c r="K12" s="34"/>
      <c r="L12" s="34"/>
      <c r="M12" s="34"/>
      <c r="N12" s="34"/>
      <c r="O12" s="34"/>
      <c r="P12" s="34"/>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Q13" s="34"/>
      <c r="R13" s="34"/>
      <c r="S13" s="34"/>
      <c r="T13" s="34"/>
      <c r="U13" s="34"/>
      <c r="V13" s="34"/>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c r="AG14" s="84" t="s">
        <v>33</v>
      </c>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c r="W26" s="84" t="s">
        <v>33</v>
      </c>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t="s">
        <v>182</v>
      </c>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c r="S34" s="103"/>
      <c r="T34" s="103"/>
      <c r="U34" s="103"/>
      <c r="V34" s="103"/>
      <c r="W34" s="104"/>
      <c r="X34" s="104"/>
      <c r="Y34" s="104"/>
      <c r="Z34" s="104"/>
      <c r="AA34" s="104"/>
      <c r="AB34" s="10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ht="51" customHeight="1">
      <c r="S38" s="103"/>
      <c r="T38" s="103"/>
      <c r="U38" s="103"/>
      <c r="V38" s="103"/>
      <c r="W38" s="104"/>
      <c r="X38" s="104"/>
      <c r="Y38" s="104"/>
      <c r="Z38" s="104"/>
      <c r="AA38" s="104"/>
      <c r="AB38" s="104"/>
    </row>
    <row r="39" spans="1:30" ht="78" customHeight="1">
      <c r="A39" s="1755"/>
      <c r="B39" s="1755"/>
      <c r="C39" s="1755"/>
      <c r="D39" s="1755"/>
      <c r="E39" s="1755"/>
      <c r="F39" s="1755"/>
      <c r="G39" s="1755"/>
      <c r="H39" s="1755"/>
      <c r="I39" s="1755"/>
      <c r="J39" s="1755"/>
      <c r="K39" s="1755"/>
      <c r="L39" s="1755"/>
      <c r="M39" s="1755"/>
      <c r="N39" s="1755"/>
      <c r="O39" s="1755"/>
      <c r="P39" s="1755"/>
      <c r="Q39" s="1755"/>
      <c r="R39" s="1755"/>
      <c r="S39" s="1755"/>
      <c r="T39" s="1755"/>
      <c r="U39" s="1755"/>
      <c r="V39" s="1755"/>
      <c r="W39" s="1755"/>
      <c r="X39" s="1755"/>
      <c r="Y39" s="1755"/>
      <c r="Z39" s="104"/>
      <c r="AA39" s="104"/>
      <c r="AB39" s="104"/>
    </row>
    <row r="40" spans="1:30">
      <c r="S40" s="104"/>
      <c r="T40" s="104"/>
      <c r="U40" s="104"/>
      <c r="V40" s="104"/>
      <c r="W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c r="X45" s="104"/>
      <c r="Y45" s="104"/>
      <c r="Z45" s="104"/>
      <c r="AA45" s="104"/>
      <c r="AB45" s="104"/>
      <c r="AC45" s="104"/>
      <c r="AD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70" spans="24:24">
      <c r="X70" s="104"/>
    </row>
    <row r="71" spans="24:24">
      <c r="X71" s="104"/>
    </row>
    <row r="72" spans="24:24">
      <c r="X72" s="104"/>
    </row>
    <row r="73" spans="24:24">
      <c r="X73" s="104"/>
    </row>
    <row r="74" spans="24:24">
      <c r="X74" s="104"/>
    </row>
    <row r="75" spans="24:24">
      <c r="X75" s="104"/>
    </row>
    <row r="76" spans="24:24">
      <c r="X76" s="104"/>
    </row>
    <row r="77" spans="24:24">
      <c r="X77" s="104"/>
    </row>
    <row r="87" spans="24:24">
      <c r="X87" s="104"/>
    </row>
    <row r="88" spans="24:24">
      <c r="X88" s="104"/>
    </row>
    <row r="89" spans="24:24">
      <c r="X89" s="104"/>
    </row>
    <row r="90" spans="24:24">
      <c r="X90" s="104"/>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8"/>
  <sheetViews>
    <sheetView showGridLines="0" view="pageBreakPreview" zoomScale="55" zoomScaleNormal="100" zoomScaleSheetLayoutView="55" zoomScalePageLayoutView="62" workbookViewId="0">
      <selection activeCell="S35" sqref="S35:S47"/>
    </sheetView>
  </sheetViews>
  <sheetFormatPr baseColWidth="10" defaultColWidth="11.42578125" defaultRowHeight="15"/>
  <cols>
    <col min="1" max="1" width="14.140625" style="84" customWidth="1"/>
    <col min="2" max="2" width="20" style="84" customWidth="1"/>
    <col min="3" max="3" width="22.140625" style="84" customWidth="1"/>
    <col min="4" max="4" width="21.140625" style="84" customWidth="1"/>
    <col min="5" max="5" width="22.42578125" style="84" customWidth="1"/>
    <col min="6" max="6" width="22.85546875" style="84" customWidth="1"/>
    <col min="7" max="7" width="22.7109375" style="84" customWidth="1"/>
    <col min="8" max="8" width="25.42578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109.5" customHeight="1">
      <c r="A1" s="1768"/>
      <c r="B1" s="1768"/>
      <c r="C1" s="1768"/>
      <c r="D1" s="1768"/>
      <c r="E1" s="1768"/>
      <c r="F1" s="1768"/>
      <c r="G1" s="1768"/>
      <c r="H1" s="1768"/>
      <c r="I1" s="1768"/>
      <c r="J1" s="1768"/>
      <c r="K1" s="1768"/>
      <c r="L1" s="1768"/>
      <c r="M1" s="1768"/>
      <c r="N1" s="1768"/>
      <c r="O1" s="1768"/>
      <c r="P1" s="1768"/>
      <c r="Q1" s="1768"/>
      <c r="R1" s="1768"/>
    </row>
    <row r="2" spans="1:19" ht="5.25" customHeight="1">
      <c r="A2" s="192"/>
      <c r="B2" s="192"/>
      <c r="C2" s="192"/>
      <c r="D2" s="192"/>
      <c r="E2" s="192"/>
      <c r="F2" s="192"/>
      <c r="G2" s="192"/>
      <c r="H2" s="192"/>
      <c r="I2" s="192"/>
      <c r="J2" s="192"/>
      <c r="K2" s="192"/>
      <c r="L2" s="192"/>
      <c r="M2" s="192"/>
      <c r="N2" s="192"/>
      <c r="O2" s="192"/>
      <c r="P2" s="192"/>
      <c r="Q2" s="192"/>
      <c r="R2" s="192"/>
    </row>
    <row r="3" spans="1:19" s="55" customFormat="1" ht="97.5" customHeight="1">
      <c r="A3" s="1095" t="s">
        <v>48</v>
      </c>
      <c r="B3" s="354" t="s">
        <v>824</v>
      </c>
      <c r="C3" s="352" t="s">
        <v>825</v>
      </c>
      <c r="D3" s="352" t="s">
        <v>821</v>
      </c>
      <c r="E3" s="352" t="s">
        <v>826</v>
      </c>
      <c r="F3" s="352" t="s">
        <v>827</v>
      </c>
      <c r="G3" s="353" t="s">
        <v>587</v>
      </c>
      <c r="H3"/>
      <c r="I3"/>
      <c r="J3"/>
      <c r="K3"/>
      <c r="L3"/>
      <c r="M3"/>
      <c r="N3"/>
      <c r="O3"/>
      <c r="P3"/>
      <c r="Q3"/>
      <c r="R3"/>
      <c r="S3" s="226"/>
    </row>
    <row r="4" spans="1:19" ht="18.75" hidden="1">
      <c r="A4" s="1130">
        <v>40940</v>
      </c>
      <c r="B4" s="1132">
        <v>1190787</v>
      </c>
      <c r="C4" s="278">
        <f t="shared" ref="C4:C19" si="0">D4+E4</f>
        <v>1346002</v>
      </c>
      <c r="D4" s="279">
        <v>1247260</v>
      </c>
      <c r="E4" s="279">
        <v>98742</v>
      </c>
      <c r="F4" s="445">
        <f t="shared" ref="F4:F12" si="1">B4+C4</f>
        <v>2536789</v>
      </c>
      <c r="G4" s="355">
        <f t="shared" ref="G4:G22" si="2">B4/F4</f>
        <v>0.46940719153228749</v>
      </c>
      <c r="J4"/>
      <c r="K4"/>
      <c r="L4"/>
      <c r="M4"/>
      <c r="N4"/>
      <c r="O4"/>
      <c r="P4"/>
      <c r="Q4"/>
      <c r="R4"/>
    </row>
    <row r="5" spans="1:19" ht="18.75" hidden="1">
      <c r="A5" s="1130">
        <v>40969</v>
      </c>
      <c r="B5" s="1132">
        <v>1205800</v>
      </c>
      <c r="C5" s="278">
        <f t="shared" si="0"/>
        <v>1368424</v>
      </c>
      <c r="D5" s="279">
        <v>1266851</v>
      </c>
      <c r="E5" s="279">
        <v>101573</v>
      </c>
      <c r="F5" s="445">
        <f t="shared" si="1"/>
        <v>2574224</v>
      </c>
      <c r="G5" s="356">
        <f t="shared" si="2"/>
        <v>0.46841300523963725</v>
      </c>
      <c r="J5"/>
      <c r="K5"/>
      <c r="L5"/>
      <c r="M5"/>
      <c r="N5"/>
      <c r="O5"/>
      <c r="P5"/>
      <c r="Q5"/>
      <c r="R5"/>
    </row>
    <row r="6" spans="1:19" ht="18.75" hidden="1">
      <c r="A6" s="1130">
        <v>41000</v>
      </c>
      <c r="B6" s="1132">
        <v>1211245</v>
      </c>
      <c r="C6" s="278">
        <f t="shared" si="0"/>
        <v>1377586</v>
      </c>
      <c r="D6" s="279">
        <v>1274320</v>
      </c>
      <c r="E6" s="279">
        <v>103266</v>
      </c>
      <c r="F6" s="445">
        <f t="shared" si="1"/>
        <v>2588831</v>
      </c>
      <c r="G6" s="356">
        <f t="shared" si="2"/>
        <v>0.46787333742527032</v>
      </c>
      <c r="J6"/>
      <c r="K6"/>
      <c r="L6"/>
      <c r="M6"/>
      <c r="N6"/>
      <c r="O6"/>
      <c r="P6"/>
      <c r="Q6"/>
      <c r="R6"/>
    </row>
    <row r="7" spans="1:19" ht="18.75" hidden="1">
      <c r="A7" s="1130">
        <v>41030</v>
      </c>
      <c r="B7" s="1132">
        <v>1214917</v>
      </c>
      <c r="C7" s="278">
        <f t="shared" si="0"/>
        <v>1389402</v>
      </c>
      <c r="D7" s="279">
        <v>1284028</v>
      </c>
      <c r="E7" s="279">
        <v>105374</v>
      </c>
      <c r="F7" s="445">
        <f t="shared" si="1"/>
        <v>2604319</v>
      </c>
      <c r="G7" s="356">
        <f t="shared" si="2"/>
        <v>0.4665008395668887</v>
      </c>
      <c r="J7"/>
      <c r="K7"/>
      <c r="L7"/>
      <c r="M7"/>
      <c r="N7"/>
      <c r="O7"/>
      <c r="P7"/>
      <c r="Q7"/>
      <c r="R7"/>
    </row>
    <row r="8" spans="1:19" ht="18.75" hidden="1">
      <c r="A8" s="1130">
        <v>41061</v>
      </c>
      <c r="B8" s="1132">
        <v>1223012</v>
      </c>
      <c r="C8" s="278">
        <f t="shared" si="0"/>
        <v>1403503</v>
      </c>
      <c r="D8" s="279">
        <v>1296177</v>
      </c>
      <c r="E8" s="279">
        <v>107326</v>
      </c>
      <c r="F8" s="445">
        <f t="shared" si="1"/>
        <v>2626515</v>
      </c>
      <c r="G8" s="356">
        <f t="shared" si="2"/>
        <v>0.46564059219155418</v>
      </c>
      <c r="J8"/>
      <c r="K8"/>
      <c r="L8"/>
      <c r="M8"/>
      <c r="N8"/>
      <c r="O8"/>
      <c r="P8"/>
      <c r="Q8"/>
      <c r="R8"/>
    </row>
    <row r="9" spans="1:19" ht="18.75" hidden="1">
      <c r="A9" s="1130">
        <v>41122</v>
      </c>
      <c r="B9" s="1132">
        <v>1221877</v>
      </c>
      <c r="C9" s="278">
        <f t="shared" si="0"/>
        <v>1413832</v>
      </c>
      <c r="D9" s="279">
        <v>1305287</v>
      </c>
      <c r="E9" s="279">
        <v>108545</v>
      </c>
      <c r="F9" s="445">
        <f t="shared" si="1"/>
        <v>2635709</v>
      </c>
      <c r="G9" s="356">
        <f t="shared" si="2"/>
        <v>0.46358569933175475</v>
      </c>
      <c r="J9"/>
      <c r="K9"/>
      <c r="L9"/>
      <c r="M9"/>
      <c r="N9"/>
      <c r="O9"/>
      <c r="P9"/>
      <c r="Q9"/>
      <c r="R9"/>
    </row>
    <row r="10" spans="1:19" ht="18.75" hidden="1">
      <c r="A10" s="1130">
        <v>41153</v>
      </c>
      <c r="B10" s="1132">
        <f>+'[2]IV.1.1.1 Afil. SFS RC Anual '!B9</f>
        <v>1242830</v>
      </c>
      <c r="C10" s="278">
        <f t="shared" si="0"/>
        <v>1432322</v>
      </c>
      <c r="D10" s="279">
        <v>1320947</v>
      </c>
      <c r="E10" s="279">
        <v>111375</v>
      </c>
      <c r="F10" s="445">
        <f t="shared" si="1"/>
        <v>2675152</v>
      </c>
      <c r="G10" s="356">
        <f t="shared" si="2"/>
        <v>0.46458294706244729</v>
      </c>
      <c r="J10"/>
      <c r="K10"/>
      <c r="L10"/>
      <c r="M10"/>
      <c r="N10"/>
      <c r="O10"/>
      <c r="P10"/>
      <c r="Q10"/>
      <c r="R10"/>
    </row>
    <row r="11" spans="1:19" ht="18.75" hidden="1">
      <c r="A11" s="1130">
        <v>41183</v>
      </c>
      <c r="B11" s="446">
        <v>1229165</v>
      </c>
      <c r="C11" s="278">
        <f t="shared" si="0"/>
        <v>1430194</v>
      </c>
      <c r="D11" s="279">
        <v>1319116</v>
      </c>
      <c r="E11" s="279">
        <v>111078</v>
      </c>
      <c r="F11" s="445">
        <f t="shared" si="1"/>
        <v>2659359</v>
      </c>
      <c r="G11" s="356">
        <f t="shared" si="2"/>
        <v>0.46220348587761184</v>
      </c>
      <c r="J11"/>
      <c r="K11"/>
      <c r="L11"/>
      <c r="M11"/>
      <c r="N11"/>
      <c r="O11"/>
      <c r="P11"/>
      <c r="Q11"/>
      <c r="R11"/>
    </row>
    <row r="12" spans="1:19" s="144" customFormat="1" ht="18.75" hidden="1">
      <c r="A12" s="1130">
        <v>41214</v>
      </c>
      <c r="B12" s="446">
        <v>1237619</v>
      </c>
      <c r="C12" s="278">
        <f t="shared" si="0"/>
        <v>1437672</v>
      </c>
      <c r="D12" s="279">
        <v>1325484</v>
      </c>
      <c r="E12" s="279">
        <v>112188</v>
      </c>
      <c r="F12" s="445">
        <f t="shared" si="1"/>
        <v>2675291</v>
      </c>
      <c r="G12" s="356">
        <f t="shared" si="2"/>
        <v>0.46261098325378436</v>
      </c>
      <c r="H12" s="84"/>
      <c r="I12" s="84"/>
      <c r="J12"/>
      <c r="K12"/>
      <c r="L12"/>
      <c r="M12"/>
      <c r="N12"/>
      <c r="O12"/>
      <c r="P12"/>
      <c r="Q12"/>
      <c r="R12"/>
    </row>
    <row r="13" spans="1:19" ht="18.75" hidden="1">
      <c r="A13" s="1130">
        <v>41244</v>
      </c>
      <c r="B13" s="446">
        <v>1242830</v>
      </c>
      <c r="C13" s="278">
        <f t="shared" si="0"/>
        <v>1445581</v>
      </c>
      <c r="D13" s="279">
        <v>1332478</v>
      </c>
      <c r="E13" s="279">
        <v>113103</v>
      </c>
      <c r="F13" s="445">
        <f>B13+C13</f>
        <v>2688411</v>
      </c>
      <c r="G13" s="356">
        <f t="shared" si="2"/>
        <v>0.46229166596922866</v>
      </c>
      <c r="J13"/>
      <c r="K13"/>
      <c r="L13"/>
      <c r="M13"/>
      <c r="N13"/>
      <c r="O13"/>
      <c r="P13"/>
      <c r="Q13"/>
      <c r="R13"/>
    </row>
    <row r="14" spans="1:19" ht="18.75" hidden="1">
      <c r="A14" s="1130">
        <v>41275</v>
      </c>
      <c r="B14" s="446">
        <v>1240536</v>
      </c>
      <c r="C14" s="278">
        <f t="shared" si="0"/>
        <v>1450145</v>
      </c>
      <c r="D14" s="279">
        <v>1336222</v>
      </c>
      <c r="E14" s="279">
        <v>113923</v>
      </c>
      <c r="F14" s="445">
        <f>B14+C14</f>
        <v>2690681</v>
      </c>
      <c r="G14" s="356">
        <f t="shared" si="2"/>
        <v>0.46104908013993484</v>
      </c>
      <c r="J14"/>
      <c r="K14"/>
      <c r="L14"/>
      <c r="M14"/>
      <c r="N14"/>
      <c r="O14"/>
      <c r="P14"/>
      <c r="Q14"/>
      <c r="R14"/>
    </row>
    <row r="15" spans="1:19" ht="18.75" hidden="1">
      <c r="A15" s="1130">
        <v>41306</v>
      </c>
      <c r="B15" s="446">
        <v>1249039</v>
      </c>
      <c r="C15" s="278">
        <f t="shared" si="0"/>
        <v>1459376</v>
      </c>
      <c r="D15" s="279">
        <v>1343926</v>
      </c>
      <c r="E15" s="279">
        <v>115450</v>
      </c>
      <c r="F15" s="445">
        <f t="shared" ref="F15:F37" si="3">+B15+D15+E15</f>
        <v>2708415</v>
      </c>
      <c r="G15" s="356">
        <f t="shared" si="2"/>
        <v>0.46116972472830048</v>
      </c>
      <c r="J15"/>
      <c r="K15"/>
      <c r="L15"/>
      <c r="M15"/>
      <c r="N15"/>
      <c r="O15"/>
      <c r="P15"/>
      <c r="Q15"/>
      <c r="R15"/>
    </row>
    <row r="16" spans="1:19" ht="18.75" hidden="1">
      <c r="A16" s="1130">
        <v>41334</v>
      </c>
      <c r="B16" s="446">
        <v>1260455</v>
      </c>
      <c r="C16" s="278">
        <f t="shared" si="0"/>
        <v>1474743</v>
      </c>
      <c r="D16" s="279">
        <v>1356641</v>
      </c>
      <c r="E16" s="279">
        <v>118102</v>
      </c>
      <c r="F16" s="445">
        <f t="shared" si="3"/>
        <v>2735198</v>
      </c>
      <c r="G16" s="356">
        <f t="shared" si="2"/>
        <v>0.4608276987625759</v>
      </c>
      <c r="J16"/>
      <c r="K16"/>
      <c r="L16"/>
      <c r="M16"/>
      <c r="N16"/>
      <c r="O16"/>
      <c r="P16"/>
      <c r="Q16"/>
      <c r="R16"/>
    </row>
    <row r="17" spans="1:18" ht="18.75" hidden="1" customHeight="1">
      <c r="A17" s="1130">
        <v>41365</v>
      </c>
      <c r="B17" s="446">
        <v>1264822</v>
      </c>
      <c r="C17" s="278">
        <f t="shared" si="0"/>
        <v>1483253</v>
      </c>
      <c r="D17" s="279">
        <v>1363526</v>
      </c>
      <c r="E17" s="279">
        <v>119727</v>
      </c>
      <c r="F17" s="445">
        <f t="shared" si="3"/>
        <v>2748075</v>
      </c>
      <c r="G17" s="356">
        <f t="shared" si="2"/>
        <v>0.46025745294433373</v>
      </c>
      <c r="J17"/>
      <c r="K17"/>
      <c r="L17"/>
      <c r="M17"/>
      <c r="N17"/>
      <c r="O17"/>
      <c r="P17"/>
      <c r="Q17"/>
      <c r="R17"/>
    </row>
    <row r="18" spans="1:18" ht="18.75" hidden="1">
      <c r="A18" s="1130">
        <v>41395</v>
      </c>
      <c r="B18" s="446">
        <v>1277798</v>
      </c>
      <c r="C18" s="278">
        <f t="shared" si="0"/>
        <v>1502509</v>
      </c>
      <c r="D18" s="279">
        <v>1380238</v>
      </c>
      <c r="E18" s="279">
        <v>122271</v>
      </c>
      <c r="F18" s="445">
        <f t="shared" si="3"/>
        <v>2780307</v>
      </c>
      <c r="G18" s="356">
        <f t="shared" si="2"/>
        <v>0.45958881519199141</v>
      </c>
      <c r="J18"/>
      <c r="K18"/>
      <c r="L18"/>
      <c r="M18"/>
      <c r="N18"/>
      <c r="O18"/>
      <c r="P18"/>
      <c r="Q18"/>
      <c r="R18"/>
    </row>
    <row r="19" spans="1:18" ht="18.75" hidden="1">
      <c r="A19" s="1130">
        <v>41426</v>
      </c>
      <c r="B19" s="446">
        <v>1287291</v>
      </c>
      <c r="C19" s="278">
        <f t="shared" si="0"/>
        <v>1520489</v>
      </c>
      <c r="D19" s="279">
        <v>1396021</v>
      </c>
      <c r="E19" s="279">
        <v>124468</v>
      </c>
      <c r="F19" s="445">
        <f t="shared" si="3"/>
        <v>2807780</v>
      </c>
      <c r="G19" s="356">
        <f t="shared" si="2"/>
        <v>0.45847288605232606</v>
      </c>
      <c r="J19"/>
      <c r="K19"/>
      <c r="L19"/>
      <c r="M19"/>
      <c r="N19"/>
      <c r="O19"/>
      <c r="P19"/>
      <c r="Q19"/>
      <c r="R19"/>
    </row>
    <row r="20" spans="1:18" ht="18.75" hidden="1">
      <c r="A20" s="1130">
        <v>41456</v>
      </c>
      <c r="B20" s="446">
        <v>1291631</v>
      </c>
      <c r="C20" s="278">
        <f>D20+E20</f>
        <v>1520712</v>
      </c>
      <c r="D20" s="279">
        <v>1394607</v>
      </c>
      <c r="E20" s="279">
        <v>126105</v>
      </c>
      <c r="F20" s="445">
        <f t="shared" si="3"/>
        <v>2812343</v>
      </c>
      <c r="G20" s="356">
        <f t="shared" si="2"/>
        <v>0.45927221537344487</v>
      </c>
      <c r="J20"/>
      <c r="K20"/>
      <c r="L20"/>
      <c r="M20"/>
      <c r="N20"/>
      <c r="O20"/>
      <c r="P20"/>
      <c r="Q20"/>
      <c r="R20"/>
    </row>
    <row r="21" spans="1:18" ht="18.75" hidden="1">
      <c r="A21" s="1130">
        <v>41487</v>
      </c>
      <c r="B21" s="446">
        <v>1300657</v>
      </c>
      <c r="C21" s="278">
        <f>D21+E21</f>
        <v>1541386</v>
      </c>
      <c r="D21" s="279">
        <v>1413807</v>
      </c>
      <c r="E21" s="279">
        <v>127579</v>
      </c>
      <c r="F21" s="445">
        <f t="shared" si="3"/>
        <v>2842043</v>
      </c>
      <c r="G21" s="356">
        <f t="shared" si="2"/>
        <v>0.45764859996840301</v>
      </c>
      <c r="J21"/>
      <c r="K21"/>
      <c r="L21"/>
      <c r="M21"/>
      <c r="N21"/>
      <c r="O21"/>
      <c r="P21"/>
      <c r="Q21"/>
      <c r="R21"/>
    </row>
    <row r="22" spans="1:18" ht="18.75" hidden="1">
      <c r="A22" s="1130">
        <v>41518</v>
      </c>
      <c r="B22" s="446">
        <v>1303324</v>
      </c>
      <c r="C22" s="278">
        <f>D22+E22</f>
        <v>1548470</v>
      </c>
      <c r="D22" s="279">
        <v>1419509</v>
      </c>
      <c r="E22" s="279">
        <v>128961</v>
      </c>
      <c r="F22" s="445">
        <f t="shared" si="3"/>
        <v>2851794</v>
      </c>
      <c r="G22" s="356">
        <f t="shared" si="2"/>
        <v>0.45701898524227208</v>
      </c>
      <c r="J22"/>
      <c r="K22"/>
      <c r="L22"/>
      <c r="M22"/>
      <c r="N22"/>
      <c r="O22"/>
      <c r="P22"/>
      <c r="Q22"/>
      <c r="R22"/>
    </row>
    <row r="23" spans="1:18" ht="18.75" hidden="1">
      <c r="A23" s="1130">
        <v>41548</v>
      </c>
      <c r="B23" s="446">
        <v>1299098</v>
      </c>
      <c r="C23" s="278">
        <f t="shared" ref="C23:C38" si="4">D23+E23</f>
        <v>1551844</v>
      </c>
      <c r="D23" s="279">
        <v>1421755</v>
      </c>
      <c r="E23" s="279">
        <v>130089</v>
      </c>
      <c r="F23" s="445">
        <f t="shared" si="3"/>
        <v>2850942</v>
      </c>
      <c r="G23" s="357">
        <f>C23/B23</f>
        <v>1.1945549912323781</v>
      </c>
      <c r="J23"/>
      <c r="K23"/>
      <c r="L23"/>
      <c r="M23"/>
      <c r="N23"/>
      <c r="O23"/>
      <c r="P23"/>
      <c r="Q23"/>
      <c r="R23"/>
    </row>
    <row r="24" spans="1:18" ht="18.75" hidden="1">
      <c r="A24" s="1130">
        <v>41579</v>
      </c>
      <c r="B24" s="446">
        <v>1312472</v>
      </c>
      <c r="C24" s="278">
        <f t="shared" si="4"/>
        <v>1573940</v>
      </c>
      <c r="D24" s="279">
        <v>1442084</v>
      </c>
      <c r="E24" s="279">
        <v>131856</v>
      </c>
      <c r="F24" s="445">
        <f t="shared" si="3"/>
        <v>2886412</v>
      </c>
      <c r="G24" s="357">
        <f t="shared" ref="G24:G38" si="5">C24/B24</f>
        <v>1.199217964268952</v>
      </c>
      <c r="J24"/>
      <c r="K24"/>
      <c r="L24"/>
      <c r="M24"/>
      <c r="N24"/>
      <c r="O24"/>
      <c r="P24"/>
      <c r="Q24"/>
      <c r="R24"/>
    </row>
    <row r="25" spans="1:18" ht="18.75" hidden="1">
      <c r="A25" s="1130">
        <v>41609</v>
      </c>
      <c r="B25" s="446">
        <v>1297821</v>
      </c>
      <c r="C25" s="278">
        <f t="shared" si="4"/>
        <v>1561485</v>
      </c>
      <c r="D25" s="279">
        <v>1429474</v>
      </c>
      <c r="E25" s="279">
        <v>132011</v>
      </c>
      <c r="F25" s="445">
        <f t="shared" si="3"/>
        <v>2859306</v>
      </c>
      <c r="G25" s="357">
        <f t="shared" si="5"/>
        <v>1.203158987256332</v>
      </c>
      <c r="J25"/>
      <c r="K25"/>
      <c r="L25"/>
      <c r="M25"/>
      <c r="N25"/>
      <c r="O25"/>
      <c r="P25"/>
      <c r="Q25"/>
      <c r="R25"/>
    </row>
    <row r="26" spans="1:18" ht="18.75">
      <c r="A26" s="1130" t="s">
        <v>600</v>
      </c>
      <c r="B26" s="446">
        <v>1346787</v>
      </c>
      <c r="C26" s="445">
        <f t="shared" si="4"/>
        <v>1624598</v>
      </c>
      <c r="D26" s="279">
        <v>1492651</v>
      </c>
      <c r="E26" s="279">
        <v>131947</v>
      </c>
      <c r="F26" s="445">
        <f t="shared" si="3"/>
        <v>2971385</v>
      </c>
      <c r="G26" s="357">
        <f t="shared" si="5"/>
        <v>1.206276864864303</v>
      </c>
      <c r="J26"/>
      <c r="K26"/>
      <c r="L26"/>
      <c r="M26"/>
      <c r="N26"/>
      <c r="O26"/>
      <c r="P26"/>
      <c r="Q26"/>
      <c r="R26"/>
    </row>
    <row r="27" spans="1:18" ht="18.75">
      <c r="A27" s="1130" t="s">
        <v>601</v>
      </c>
      <c r="B27" s="446">
        <v>1359650</v>
      </c>
      <c r="C27" s="445">
        <f t="shared" si="4"/>
        <v>1661428</v>
      </c>
      <c r="D27" s="279">
        <v>1528301</v>
      </c>
      <c r="E27" s="279">
        <v>133127</v>
      </c>
      <c r="F27" s="445">
        <f t="shared" si="3"/>
        <v>3021078</v>
      </c>
      <c r="G27" s="357">
        <f t="shared" si="5"/>
        <v>1.2219527084176074</v>
      </c>
      <c r="J27"/>
      <c r="K27"/>
      <c r="L27"/>
      <c r="M27"/>
      <c r="N27"/>
      <c r="O27"/>
      <c r="P27"/>
      <c r="Q27"/>
      <c r="R27"/>
    </row>
    <row r="28" spans="1:18" ht="18.75">
      <c r="A28" s="1130" t="s">
        <v>602</v>
      </c>
      <c r="B28" s="446">
        <v>1372937</v>
      </c>
      <c r="C28" s="445">
        <f t="shared" si="4"/>
        <v>1643539</v>
      </c>
      <c r="D28" s="279">
        <v>1505359</v>
      </c>
      <c r="E28" s="279">
        <v>138180</v>
      </c>
      <c r="F28" s="445">
        <f t="shared" si="3"/>
        <v>3016476</v>
      </c>
      <c r="G28" s="357">
        <f t="shared" si="5"/>
        <v>1.1970971719751162</v>
      </c>
      <c r="J28"/>
      <c r="K28"/>
      <c r="L28"/>
      <c r="M28"/>
      <c r="N28"/>
      <c r="O28"/>
      <c r="P28"/>
      <c r="Q28"/>
      <c r="R28"/>
    </row>
    <row r="29" spans="1:18" ht="18.75">
      <c r="A29" s="1130" t="s">
        <v>603</v>
      </c>
      <c r="B29" s="446">
        <v>1401048</v>
      </c>
      <c r="C29" s="445">
        <f t="shared" si="4"/>
        <v>1683216</v>
      </c>
      <c r="D29" s="279">
        <v>1542106</v>
      </c>
      <c r="E29" s="279">
        <v>141110</v>
      </c>
      <c r="F29" s="445">
        <f t="shared" si="3"/>
        <v>3084264</v>
      </c>
      <c r="G29" s="357">
        <f t="shared" si="5"/>
        <v>1.2013978107816434</v>
      </c>
      <c r="J29"/>
      <c r="K29"/>
      <c r="L29"/>
      <c r="M29"/>
      <c r="N29"/>
      <c r="O29"/>
      <c r="P29"/>
      <c r="Q29"/>
      <c r="R29"/>
    </row>
    <row r="30" spans="1:18" ht="18.75">
      <c r="A30" s="1130" t="s">
        <v>604</v>
      </c>
      <c r="B30" s="446">
        <v>1400615</v>
      </c>
      <c r="C30" s="445">
        <f t="shared" si="4"/>
        <v>1680285</v>
      </c>
      <c r="D30" s="279">
        <v>1539307</v>
      </c>
      <c r="E30" s="279">
        <v>140978</v>
      </c>
      <c r="F30" s="445">
        <f t="shared" si="3"/>
        <v>3080900</v>
      </c>
      <c r="G30" s="357">
        <f t="shared" si="5"/>
        <v>1.199676570649322</v>
      </c>
      <c r="J30"/>
      <c r="K30"/>
      <c r="L30"/>
      <c r="M30"/>
      <c r="N30"/>
      <c r="O30"/>
      <c r="P30"/>
      <c r="Q30"/>
      <c r="R30"/>
    </row>
    <row r="31" spans="1:18" ht="18.75">
      <c r="A31" s="1130" t="s">
        <v>605</v>
      </c>
      <c r="B31" s="446">
        <v>1414279</v>
      </c>
      <c r="C31" s="445">
        <f t="shared" si="4"/>
        <v>1698036</v>
      </c>
      <c r="D31" s="279">
        <v>1553545</v>
      </c>
      <c r="E31" s="279">
        <v>144491</v>
      </c>
      <c r="F31" s="445">
        <f t="shared" si="3"/>
        <v>3112315</v>
      </c>
      <c r="G31" s="357">
        <f t="shared" si="5"/>
        <v>1.2006372151463749</v>
      </c>
      <c r="J31"/>
      <c r="K31"/>
      <c r="L31"/>
      <c r="M31"/>
      <c r="N31"/>
      <c r="O31"/>
      <c r="P31"/>
      <c r="Q31"/>
      <c r="R31"/>
    </row>
    <row r="32" spans="1:18" ht="18.75">
      <c r="A32" s="1130" t="s">
        <v>606</v>
      </c>
      <c r="B32" s="446">
        <v>1404730</v>
      </c>
      <c r="C32" s="445">
        <f t="shared" si="4"/>
        <v>1698925</v>
      </c>
      <c r="D32" s="279">
        <v>1555644</v>
      </c>
      <c r="E32" s="279">
        <v>143281</v>
      </c>
      <c r="F32" s="445">
        <f t="shared" si="3"/>
        <v>3103655</v>
      </c>
      <c r="G32" s="357">
        <f t="shared" si="5"/>
        <v>1.2094317057370456</v>
      </c>
      <c r="J32"/>
      <c r="K32"/>
      <c r="L32"/>
      <c r="M32"/>
      <c r="N32"/>
      <c r="O32"/>
      <c r="P32"/>
      <c r="Q32"/>
      <c r="R32"/>
    </row>
    <row r="33" spans="1:18" ht="18.75">
      <c r="A33" s="1130" t="s">
        <v>607</v>
      </c>
      <c r="B33" s="446">
        <v>1430575</v>
      </c>
      <c r="C33" s="445">
        <f t="shared" si="4"/>
        <v>1730093</v>
      </c>
      <c r="D33" s="279">
        <v>1584765</v>
      </c>
      <c r="E33" s="279">
        <v>145328</v>
      </c>
      <c r="F33" s="445">
        <f t="shared" si="3"/>
        <v>3160668</v>
      </c>
      <c r="G33" s="357">
        <f t="shared" si="5"/>
        <v>1.2093689600335529</v>
      </c>
      <c r="J33"/>
      <c r="K33"/>
      <c r="L33"/>
      <c r="M33"/>
      <c r="N33"/>
      <c r="O33"/>
      <c r="P33"/>
      <c r="Q33"/>
      <c r="R33"/>
    </row>
    <row r="34" spans="1:18" ht="18.75">
      <c r="A34" s="1130" t="s">
        <v>608</v>
      </c>
      <c r="B34" s="446">
        <v>1422487</v>
      </c>
      <c r="C34" s="445">
        <f t="shared" si="4"/>
        <v>1725381</v>
      </c>
      <c r="D34" s="279">
        <v>1578479</v>
      </c>
      <c r="E34" s="279">
        <v>146902</v>
      </c>
      <c r="F34" s="445">
        <f t="shared" si="3"/>
        <v>3147868</v>
      </c>
      <c r="G34" s="357">
        <f t="shared" si="5"/>
        <v>1.2129327016696814</v>
      </c>
      <c r="J34"/>
      <c r="K34"/>
      <c r="L34"/>
      <c r="M34"/>
      <c r="N34"/>
      <c r="O34"/>
      <c r="P34"/>
      <c r="Q34"/>
      <c r="R34"/>
    </row>
    <row r="35" spans="1:18" ht="15" customHeight="1">
      <c r="A35" s="1130" t="s">
        <v>571</v>
      </c>
      <c r="B35" s="446">
        <v>1434785</v>
      </c>
      <c r="C35" s="445">
        <f t="shared" si="4"/>
        <v>1744429</v>
      </c>
      <c r="D35" s="279">
        <v>1595792</v>
      </c>
      <c r="E35" s="279">
        <v>148637</v>
      </c>
      <c r="F35" s="445">
        <f t="shared" si="3"/>
        <v>3179214</v>
      </c>
      <c r="G35" s="357">
        <f t="shared" si="5"/>
        <v>1.2158121251616096</v>
      </c>
      <c r="J35"/>
      <c r="K35"/>
      <c r="L35"/>
      <c r="M35"/>
      <c r="N35"/>
      <c r="O35"/>
      <c r="P35"/>
      <c r="Q35"/>
      <c r="R35"/>
    </row>
    <row r="36" spans="1:18" ht="18.75">
      <c r="A36" s="1130" t="s">
        <v>637</v>
      </c>
      <c r="B36" s="446">
        <v>1448467</v>
      </c>
      <c r="C36" s="445">
        <f t="shared" si="4"/>
        <v>1752260</v>
      </c>
      <c r="D36" s="279">
        <v>1601669</v>
      </c>
      <c r="E36" s="279">
        <v>150591</v>
      </c>
      <c r="F36" s="445">
        <f t="shared" si="3"/>
        <v>3200727</v>
      </c>
      <c r="G36" s="357">
        <f t="shared" si="5"/>
        <v>1.2097341534187525</v>
      </c>
      <c r="J36" s="34"/>
      <c r="K36" s="34"/>
      <c r="L36" s="34"/>
      <c r="M36" s="34"/>
      <c r="N36" s="34"/>
      <c r="O36" s="34"/>
      <c r="P36" s="34"/>
      <c r="Q36" s="34"/>
      <c r="R36" s="34"/>
    </row>
    <row r="37" spans="1:18" ht="18.75">
      <c r="A37" s="1130" t="s">
        <v>635</v>
      </c>
      <c r="B37" s="446">
        <v>1451773</v>
      </c>
      <c r="C37" s="445">
        <f t="shared" si="4"/>
        <v>1773174</v>
      </c>
      <c r="D37" s="279">
        <v>1621827</v>
      </c>
      <c r="E37" s="279">
        <v>151347</v>
      </c>
      <c r="F37" s="445">
        <f t="shared" si="3"/>
        <v>3224947</v>
      </c>
      <c r="G37" s="357">
        <f t="shared" si="5"/>
        <v>1.2213851614543045</v>
      </c>
      <c r="J37" s="34"/>
      <c r="K37" s="34"/>
      <c r="L37" s="34"/>
      <c r="M37" s="34"/>
      <c r="N37" s="34"/>
      <c r="O37" s="34"/>
      <c r="P37" s="34"/>
      <c r="Q37" s="34"/>
      <c r="R37" s="34"/>
    </row>
    <row r="38" spans="1:18" ht="18.75">
      <c r="A38" s="1131" t="s">
        <v>636</v>
      </c>
      <c r="B38" s="526">
        <v>1459038</v>
      </c>
      <c r="C38" s="447">
        <f t="shared" si="4"/>
        <v>1778842</v>
      </c>
      <c r="D38" s="527">
        <v>1615933</v>
      </c>
      <c r="E38" s="527">
        <v>162909</v>
      </c>
      <c r="F38" s="447">
        <f>+B38+D38+E38</f>
        <v>3237880</v>
      </c>
      <c r="G38" s="444">
        <f t="shared" si="5"/>
        <v>1.2191882596615029</v>
      </c>
      <c r="I38" s="34"/>
      <c r="J38" s="34"/>
      <c r="K38" s="34"/>
      <c r="L38" s="34"/>
      <c r="M38" s="34"/>
      <c r="N38" s="34"/>
      <c r="O38" s="34"/>
      <c r="P38" s="34"/>
      <c r="Q38" s="34"/>
      <c r="R38" s="34"/>
    </row>
    <row r="39" spans="1:18" ht="25.5" customHeight="1">
      <c r="A39" s="1754" t="s">
        <v>588</v>
      </c>
      <c r="B39" s="1754"/>
      <c r="C39" s="1754"/>
      <c r="D39" s="1754"/>
      <c r="E39" s="1754"/>
      <c r="F39" s="1754"/>
      <c r="G39" s="1754"/>
      <c r="H39" s="34"/>
      <c r="I39" s="34"/>
      <c r="J39" s="34"/>
      <c r="K39" s="34"/>
      <c r="L39" s="34"/>
      <c r="M39" s="34"/>
      <c r="N39" s="34"/>
      <c r="O39" s="34"/>
      <c r="P39" s="34"/>
      <c r="Q39" s="34"/>
      <c r="R39" s="34"/>
    </row>
    <row r="40" spans="1:18" ht="25.5" customHeight="1">
      <c r="A40" s="34"/>
      <c r="B40" s="34"/>
      <c r="C40" s="34"/>
      <c r="D40" s="34"/>
      <c r="E40" s="34"/>
      <c r="F40" s="34"/>
      <c r="G40" s="34"/>
      <c r="H40" s="34"/>
      <c r="I40" s="34"/>
      <c r="J40" s="34"/>
      <c r="K40" s="34"/>
      <c r="L40" s="34"/>
      <c r="M40" s="34"/>
      <c r="N40" s="34"/>
      <c r="O40" s="34"/>
      <c r="P40" s="34"/>
      <c r="Q40" s="34"/>
      <c r="R40" s="34"/>
    </row>
    <row r="41" spans="1:18" ht="25.5" customHeight="1">
      <c r="A41" s="34"/>
      <c r="B41" s="34"/>
      <c r="C41" s="34"/>
      <c r="D41" s="34"/>
      <c r="E41" s="34"/>
      <c r="F41" s="34"/>
      <c r="G41" s="34"/>
      <c r="H41" s="34"/>
      <c r="I41" s="34"/>
      <c r="J41" s="34"/>
      <c r="K41" s="34"/>
      <c r="L41" s="34"/>
      <c r="M41" s="34"/>
      <c r="N41" s="34"/>
      <c r="O41" s="34"/>
      <c r="P41" s="34"/>
      <c r="Q41" s="34"/>
      <c r="R41" s="34"/>
    </row>
    <row r="42" spans="1:18" ht="25.5" customHeight="1">
      <c r="H42" s="34"/>
      <c r="I42" s="34"/>
      <c r="J42" s="34"/>
      <c r="K42" s="34"/>
      <c r="L42" s="34"/>
      <c r="M42" s="34"/>
      <c r="N42" s="34"/>
      <c r="O42" s="34"/>
      <c r="P42" s="34"/>
      <c r="Q42" s="34"/>
      <c r="R42" s="34"/>
    </row>
    <row r="43" spans="1:18" ht="25.5" customHeight="1">
      <c r="A43" s="34"/>
      <c r="B43" s="34"/>
      <c r="C43" s="34"/>
      <c r="D43" s="34"/>
      <c r="E43" s="34"/>
      <c r="F43" s="34"/>
      <c r="G43" s="34"/>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c r="O52" s="103"/>
      <c r="P52" s="103"/>
      <c r="Q52" s="103"/>
      <c r="R52" s="103"/>
      <c r="S52" s="104"/>
      <c r="T52" s="104"/>
      <c r="U52" s="104"/>
      <c r="V52" s="104"/>
      <c r="W52" s="104"/>
      <c r="X52" s="104"/>
      <c r="Y52" s="104"/>
      <c r="Z52" s="104"/>
      <c r="AA52" s="104"/>
      <c r="AB52" s="104"/>
    </row>
    <row r="53" spans="1:28">
      <c r="O53" s="103"/>
      <c r="P53" s="103"/>
      <c r="Q53" s="103"/>
      <c r="R53" s="103"/>
      <c r="S53" s="104"/>
      <c r="T53" s="104"/>
      <c r="U53" s="104"/>
      <c r="V53" s="104"/>
      <c r="W53" s="104"/>
      <c r="X53" s="104"/>
      <c r="Y53" s="104"/>
      <c r="Z53" s="104"/>
      <c r="AA53" s="104"/>
      <c r="AB53" s="10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ht="51" customHeight="1">
      <c r="O56" s="103"/>
      <c r="P56" s="103"/>
      <c r="Q56" s="103"/>
      <c r="R56" s="103"/>
      <c r="S56" s="104"/>
      <c r="T56" s="104"/>
      <c r="U56" s="104"/>
      <c r="V56" s="104"/>
      <c r="W56" s="104"/>
      <c r="X56" s="104"/>
      <c r="Y56" s="104"/>
      <c r="Z56" s="104"/>
      <c r="AA56" s="104"/>
      <c r="AB56" s="104"/>
    </row>
    <row r="57" spans="1:28" ht="78" customHeight="1">
      <c r="A57" s="1755"/>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c r="AA57" s="104"/>
      <c r="AB57" s="104"/>
    </row>
    <row r="58" spans="1:28">
      <c r="O58" s="104"/>
      <c r="P58" s="104"/>
      <c r="Q58" s="104"/>
      <c r="R58" s="104"/>
      <c r="S58" s="104"/>
    </row>
    <row r="59" spans="1:28">
      <c r="O59" s="104"/>
      <c r="P59" s="104"/>
      <c r="Q59" s="104"/>
      <c r="R59" s="104"/>
      <c r="S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c r="T63" s="104"/>
      <c r="U63" s="104"/>
      <c r="V63" s="104"/>
      <c r="W63" s="104"/>
      <c r="X63" s="104"/>
      <c r="Y63" s="104"/>
      <c r="Z63" s="104"/>
      <c r="AA63" s="104"/>
      <c r="AB63" s="104"/>
    </row>
    <row r="64" spans="1:28">
      <c r="O64" s="104"/>
      <c r="P64" s="104"/>
      <c r="Q64" s="104"/>
      <c r="R64" s="104"/>
      <c r="S64" s="104"/>
      <c r="T64" s="104"/>
      <c r="U64" s="104"/>
      <c r="V64" s="104"/>
      <c r="W64" s="104"/>
      <c r="X64" s="104"/>
      <c r="Y64" s="104"/>
      <c r="Z64" s="104"/>
      <c r="AA64" s="104"/>
      <c r="AB64" s="104"/>
    </row>
    <row r="65" spans="15:28">
      <c r="O65" s="104"/>
      <c r="P65" s="104"/>
      <c r="Q65" s="104"/>
      <c r="R65" s="104"/>
      <c r="S65" s="104"/>
      <c r="T65" s="104"/>
      <c r="U65" s="104"/>
      <c r="V65" s="104"/>
      <c r="W65" s="104"/>
      <c r="X65" s="104"/>
      <c r="Y65" s="104"/>
      <c r="Z65" s="104"/>
      <c r="AA65" s="104"/>
      <c r="AB65" s="104"/>
    </row>
    <row r="78" spans="15:28">
      <c r="T78" s="104"/>
      <c r="U78" s="104"/>
      <c r="V78" s="104"/>
      <c r="W78" s="104"/>
      <c r="X78" s="104"/>
      <c r="Y78" s="104"/>
    </row>
    <row r="79" spans="15:28">
      <c r="T79" s="104"/>
      <c r="U79" s="104"/>
      <c r="V79" s="104"/>
      <c r="W79" s="104"/>
      <c r="X79" s="104"/>
      <c r="Y79" s="104"/>
    </row>
    <row r="80" spans="15:28">
      <c r="T80" s="104"/>
      <c r="U80" s="104"/>
      <c r="V80" s="104"/>
      <c r="W80" s="104"/>
      <c r="X80" s="104"/>
      <c r="Y80" s="104"/>
    </row>
    <row r="81" spans="20:25">
      <c r="T81" s="104"/>
      <c r="U81" s="104"/>
      <c r="V81" s="104"/>
      <c r="W81" s="104"/>
      <c r="X81" s="104"/>
      <c r="Y81" s="104"/>
    </row>
    <row r="82" spans="20:25">
      <c r="T82" s="104"/>
      <c r="U82" s="104"/>
      <c r="V82" s="104"/>
      <c r="W82" s="104"/>
      <c r="X82" s="104"/>
      <c r="Y82" s="104"/>
    </row>
    <row r="83" spans="20:25">
      <c r="T83" s="104"/>
      <c r="U83" s="104"/>
      <c r="V83" s="104"/>
      <c r="W83" s="104"/>
      <c r="X83" s="104"/>
      <c r="Y83" s="104"/>
    </row>
    <row r="84" spans="20:25">
      <c r="T84" s="104"/>
      <c r="U84" s="104"/>
      <c r="V84" s="104"/>
      <c r="W84" s="104"/>
      <c r="X84" s="104"/>
      <c r="Y84" s="104"/>
    </row>
    <row r="85" spans="20:25">
      <c r="T85" s="104"/>
      <c r="U85" s="104"/>
      <c r="V85" s="104"/>
      <c r="W85" s="104"/>
      <c r="X85" s="104"/>
      <c r="Y85" s="104"/>
    </row>
    <row r="95" spans="20:25">
      <c r="T95" s="104"/>
      <c r="U95" s="104"/>
      <c r="V95" s="104"/>
      <c r="W95" s="104"/>
      <c r="X95" s="104"/>
      <c r="Y95" s="104"/>
    </row>
    <row r="96" spans="20:25">
      <c r="T96" s="104"/>
      <c r="U96" s="104"/>
      <c r="V96" s="104"/>
      <c r="W96" s="104"/>
      <c r="X96" s="104"/>
      <c r="Y96" s="104"/>
    </row>
    <row r="97" spans="20:25">
      <c r="T97" s="104"/>
      <c r="U97" s="104"/>
      <c r="V97" s="104"/>
      <c r="W97" s="104"/>
      <c r="X97" s="104"/>
      <c r="Y97" s="104"/>
    </row>
    <row r="98" spans="20:25">
      <c r="T98" s="104"/>
      <c r="U98" s="104"/>
      <c r="V98" s="104"/>
      <c r="W98" s="104"/>
      <c r="X98" s="104"/>
      <c r="Y98" s="104"/>
    </row>
  </sheetData>
  <mergeCells count="3">
    <mergeCell ref="A1:R1"/>
    <mergeCell ref="A39:G39"/>
    <mergeCell ref="A57:Z5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5"/>
  <sheetViews>
    <sheetView showGridLines="0" view="pageBreakPreview" zoomScale="55" zoomScaleNormal="100" zoomScaleSheetLayoutView="55" zoomScalePageLayoutView="62" workbookViewId="0">
      <selection activeCell="S2" sqref="S2:S40"/>
    </sheetView>
  </sheetViews>
  <sheetFormatPr baseColWidth="10" defaultColWidth="11.42578125" defaultRowHeight="15"/>
  <cols>
    <col min="1" max="1" width="14.140625" style="84" customWidth="1"/>
    <col min="2" max="2" width="13.7109375" style="84" customWidth="1"/>
    <col min="3" max="3" width="19.5703125" style="84" customWidth="1"/>
    <col min="4" max="4" width="20.42578125" style="84" customWidth="1"/>
    <col min="5" max="5" width="16.85546875" style="84" customWidth="1"/>
    <col min="6" max="6" width="19.140625" style="84" bestFit="1" customWidth="1"/>
    <col min="7" max="7" width="20.85546875" style="84" customWidth="1"/>
    <col min="8" max="8" width="21.5703125" style="84" customWidth="1"/>
    <col min="9" max="9" width="18.5703125" style="84" customWidth="1"/>
    <col min="10" max="10" width="19.7109375"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19.7109375" style="84" customWidth="1"/>
    <col min="20" max="20" width="16.140625" style="84" customWidth="1"/>
    <col min="21" max="21" width="14" style="84" customWidth="1"/>
    <col min="22" max="27" width="11.42578125" style="84"/>
    <col min="28" max="28" width="18.7109375" style="84" bestFit="1" customWidth="1"/>
    <col min="29" max="16384" width="11.42578125" style="84"/>
  </cols>
  <sheetData>
    <row r="1" spans="1:20" ht="109.5" customHeight="1">
      <c r="A1" s="1768"/>
      <c r="B1" s="1768"/>
      <c r="C1" s="1768"/>
      <c r="D1" s="1768"/>
      <c r="E1" s="1768"/>
      <c r="F1" s="1768"/>
      <c r="G1" s="1768"/>
      <c r="H1" s="1768"/>
      <c r="I1" s="1768"/>
      <c r="J1" s="1768"/>
      <c r="K1" s="1768"/>
      <c r="L1" s="1768"/>
      <c r="M1" s="1768"/>
      <c r="N1" s="1768"/>
      <c r="O1" s="1768"/>
      <c r="P1" s="1768"/>
      <c r="Q1" s="1768"/>
      <c r="R1" s="1768"/>
    </row>
    <row r="2" spans="1:20" ht="9" customHeight="1">
      <c r="A2" s="1345"/>
      <c r="B2" s="1345"/>
      <c r="C2" s="1345"/>
      <c r="D2" s="1345"/>
      <c r="E2" s="1345"/>
      <c r="F2" s="1345"/>
      <c r="G2" s="1345"/>
      <c r="H2" s="1345"/>
      <c r="I2" s="1345"/>
      <c r="J2" s="1345"/>
      <c r="K2" s="1345"/>
      <c r="L2" s="1345"/>
      <c r="M2" s="1345"/>
      <c r="N2" s="1345"/>
      <c r="O2" s="1345"/>
      <c r="P2" s="1345"/>
      <c r="Q2" s="1345"/>
      <c r="R2" s="1345"/>
    </row>
    <row r="3" spans="1:20" ht="29.25" customHeight="1">
      <c r="A3" s="1778" t="s">
        <v>47</v>
      </c>
      <c r="B3" s="1772" t="s">
        <v>50</v>
      </c>
      <c r="C3" s="1773"/>
      <c r="D3" s="1773"/>
      <c r="E3" s="1774" t="s">
        <v>835</v>
      </c>
      <c r="F3" s="1772" t="s">
        <v>51</v>
      </c>
      <c r="G3" s="1773"/>
      <c r="H3" s="1773"/>
      <c r="I3" s="1776" t="s">
        <v>836</v>
      </c>
      <c r="J3" s="1770" t="s">
        <v>834</v>
      </c>
      <c r="K3" s="1388"/>
      <c r="L3" s="1388"/>
      <c r="M3" s="1388"/>
      <c r="N3" s="1388"/>
      <c r="O3" s="1388"/>
      <c r="P3" s="1388"/>
      <c r="Q3" s="1388"/>
      <c r="R3" s="1388"/>
      <c r="S3" s="19"/>
      <c r="T3" s="19"/>
    </row>
    <row r="4" spans="1:20" s="55" customFormat="1" ht="49.5" customHeight="1">
      <c r="A4" s="1779"/>
      <c r="B4" s="627" t="s">
        <v>831</v>
      </c>
      <c r="C4" s="627" t="s">
        <v>832</v>
      </c>
      <c r="D4" s="627" t="s">
        <v>833</v>
      </c>
      <c r="E4" s="1775"/>
      <c r="F4" s="354" t="s">
        <v>831</v>
      </c>
      <c r="G4" s="352" t="s">
        <v>832</v>
      </c>
      <c r="H4" s="352" t="s">
        <v>833</v>
      </c>
      <c r="I4" s="1777"/>
      <c r="J4" s="1771"/>
      <c r="K4" s="84"/>
      <c r="L4" s="84"/>
      <c r="M4" s="84"/>
      <c r="N4" s="84"/>
      <c r="O4" s="84"/>
      <c r="P4" s="84"/>
      <c r="Q4" s="84"/>
      <c r="R4" s="84"/>
      <c r="S4" s="1396"/>
    </row>
    <row r="5" spans="1:20" ht="18.75" hidden="1">
      <c r="A5" s="1130">
        <v>40940</v>
      </c>
      <c r="B5" s="1132">
        <v>1190787</v>
      </c>
      <c r="C5" s="278">
        <f t="shared" ref="C5:C20" si="0">D5+E5</f>
        <v>1346002</v>
      </c>
      <c r="D5" s="279">
        <v>1247260</v>
      </c>
      <c r="E5" s="1405">
        <v>98742</v>
      </c>
      <c r="F5" s="1404">
        <f t="shared" ref="F5:F13" si="1">B5+C5</f>
        <v>2536789</v>
      </c>
      <c r="G5" s="1389">
        <f t="shared" ref="G5:G23" si="2">B5/F5</f>
        <v>0.46940719153228749</v>
      </c>
      <c r="H5" s="88"/>
      <c r="I5" s="1606"/>
      <c r="J5" s="1606"/>
    </row>
    <row r="6" spans="1:20" ht="18.75" hidden="1">
      <c r="A6" s="1130">
        <v>40969</v>
      </c>
      <c r="B6" s="1132">
        <v>1205800</v>
      </c>
      <c r="C6" s="278">
        <f t="shared" si="0"/>
        <v>1368424</v>
      </c>
      <c r="D6" s="279">
        <v>1266851</v>
      </c>
      <c r="E6" s="1405">
        <v>101573</v>
      </c>
      <c r="F6" s="1404">
        <f t="shared" si="1"/>
        <v>2574224</v>
      </c>
      <c r="G6" s="1390">
        <f t="shared" si="2"/>
        <v>0.46841300523963725</v>
      </c>
      <c r="H6" s="88"/>
      <c r="I6" s="1606"/>
      <c r="J6" s="1606"/>
    </row>
    <row r="7" spans="1:20" ht="18.75" hidden="1">
      <c r="A7" s="1130">
        <v>41000</v>
      </c>
      <c r="B7" s="1132">
        <v>1211245</v>
      </c>
      <c r="C7" s="278">
        <f t="shared" si="0"/>
        <v>1377586</v>
      </c>
      <c r="D7" s="279">
        <v>1274320</v>
      </c>
      <c r="E7" s="1405">
        <v>103266</v>
      </c>
      <c r="F7" s="1404">
        <f t="shared" si="1"/>
        <v>2588831</v>
      </c>
      <c r="G7" s="1390">
        <f t="shared" si="2"/>
        <v>0.46787333742527032</v>
      </c>
      <c r="H7" s="88"/>
      <c r="I7" s="1606"/>
      <c r="J7" s="1606"/>
    </row>
    <row r="8" spans="1:20" ht="18.75" hidden="1">
      <c r="A8" s="1130">
        <v>41030</v>
      </c>
      <c r="B8" s="1132">
        <v>1214917</v>
      </c>
      <c r="C8" s="278">
        <f t="shared" si="0"/>
        <v>1389402</v>
      </c>
      <c r="D8" s="279">
        <v>1284028</v>
      </c>
      <c r="E8" s="1405">
        <v>105374</v>
      </c>
      <c r="F8" s="1404">
        <f t="shared" si="1"/>
        <v>2604319</v>
      </c>
      <c r="G8" s="1390">
        <f t="shared" si="2"/>
        <v>0.4665008395668887</v>
      </c>
      <c r="H8" s="88"/>
      <c r="I8" s="1606"/>
      <c r="J8" s="1606"/>
    </row>
    <row r="9" spans="1:20" ht="18.75" hidden="1">
      <c r="A9" s="1130">
        <v>41061</v>
      </c>
      <c r="B9" s="1132">
        <v>1223012</v>
      </c>
      <c r="C9" s="278">
        <f t="shared" si="0"/>
        <v>1403503</v>
      </c>
      <c r="D9" s="279">
        <v>1296177</v>
      </c>
      <c r="E9" s="1405">
        <v>107326</v>
      </c>
      <c r="F9" s="1404">
        <f t="shared" si="1"/>
        <v>2626515</v>
      </c>
      <c r="G9" s="1390">
        <f t="shared" si="2"/>
        <v>0.46564059219155418</v>
      </c>
      <c r="H9" s="88"/>
      <c r="I9" s="1606"/>
      <c r="J9" s="1606"/>
    </row>
    <row r="10" spans="1:20" ht="18.75" hidden="1">
      <c r="A10" s="1130">
        <v>41122</v>
      </c>
      <c r="B10" s="1132">
        <v>1221877</v>
      </c>
      <c r="C10" s="278">
        <f t="shared" si="0"/>
        <v>1413832</v>
      </c>
      <c r="D10" s="279">
        <v>1305287</v>
      </c>
      <c r="E10" s="1405">
        <v>108545</v>
      </c>
      <c r="F10" s="1404">
        <f t="shared" si="1"/>
        <v>2635709</v>
      </c>
      <c r="G10" s="1390">
        <f t="shared" si="2"/>
        <v>0.46358569933175475</v>
      </c>
      <c r="H10" s="88"/>
      <c r="I10" s="1606"/>
      <c r="J10" s="1606"/>
    </row>
    <row r="11" spans="1:20" ht="18.75" hidden="1">
      <c r="A11" s="1130">
        <v>41153</v>
      </c>
      <c r="B11" s="1132">
        <f>+'[2]IV.1.1.1 Afil. SFS RC Anual '!B9</f>
        <v>1242830</v>
      </c>
      <c r="C11" s="278">
        <f t="shared" si="0"/>
        <v>1432322</v>
      </c>
      <c r="D11" s="279">
        <v>1320947</v>
      </c>
      <c r="E11" s="1405">
        <v>111375</v>
      </c>
      <c r="F11" s="1404">
        <f t="shared" si="1"/>
        <v>2675152</v>
      </c>
      <c r="G11" s="1390">
        <f t="shared" si="2"/>
        <v>0.46458294706244729</v>
      </c>
      <c r="H11" s="88"/>
      <c r="I11" s="1606"/>
      <c r="J11" s="1606"/>
    </row>
    <row r="12" spans="1:20" ht="18.75" hidden="1">
      <c r="A12" s="1130">
        <v>41183</v>
      </c>
      <c r="B12" s="446">
        <v>1229165</v>
      </c>
      <c r="C12" s="278">
        <f t="shared" si="0"/>
        <v>1430194</v>
      </c>
      <c r="D12" s="279">
        <v>1319116</v>
      </c>
      <c r="E12" s="1405">
        <v>111078</v>
      </c>
      <c r="F12" s="1404">
        <f t="shared" si="1"/>
        <v>2659359</v>
      </c>
      <c r="G12" s="1390">
        <f t="shared" si="2"/>
        <v>0.46220348587761184</v>
      </c>
      <c r="H12" s="88"/>
      <c r="I12" s="1606"/>
      <c r="J12" s="1606"/>
    </row>
    <row r="13" spans="1:20" s="144" customFormat="1" ht="18.75" hidden="1">
      <c r="A13" s="1130">
        <v>41214</v>
      </c>
      <c r="B13" s="446">
        <v>1237619</v>
      </c>
      <c r="C13" s="278">
        <f t="shared" si="0"/>
        <v>1437672</v>
      </c>
      <c r="D13" s="279">
        <v>1325484</v>
      </c>
      <c r="E13" s="1405">
        <v>112188</v>
      </c>
      <c r="F13" s="1404">
        <f t="shared" si="1"/>
        <v>2675291</v>
      </c>
      <c r="G13" s="1390">
        <f t="shared" si="2"/>
        <v>0.46261098325378436</v>
      </c>
      <c r="H13" s="88"/>
      <c r="I13" s="1606"/>
      <c r="J13" s="1606"/>
      <c r="K13" s="84"/>
      <c r="L13" s="84"/>
      <c r="M13" s="84"/>
      <c r="N13" s="84"/>
      <c r="O13" s="84"/>
      <c r="P13" s="84"/>
      <c r="Q13" s="84"/>
      <c r="R13" s="84"/>
    </row>
    <row r="14" spans="1:20" ht="18.75" hidden="1">
      <c r="A14" s="1130">
        <v>41244</v>
      </c>
      <c r="B14" s="446">
        <v>1242830</v>
      </c>
      <c r="C14" s="278">
        <f t="shared" si="0"/>
        <v>1445581</v>
      </c>
      <c r="D14" s="279">
        <v>1332478</v>
      </c>
      <c r="E14" s="1405">
        <v>113103</v>
      </c>
      <c r="F14" s="1404">
        <f>B14+C14</f>
        <v>2688411</v>
      </c>
      <c r="G14" s="1390">
        <f t="shared" si="2"/>
        <v>0.46229166596922866</v>
      </c>
      <c r="H14" s="88"/>
      <c r="I14" s="1606"/>
      <c r="J14" s="1606"/>
    </row>
    <row r="15" spans="1:20" ht="18.75" hidden="1">
      <c r="A15" s="1130">
        <v>41275</v>
      </c>
      <c r="B15" s="446">
        <v>1240536</v>
      </c>
      <c r="C15" s="278">
        <f t="shared" si="0"/>
        <v>1450145</v>
      </c>
      <c r="D15" s="279">
        <v>1336222</v>
      </c>
      <c r="E15" s="1405">
        <v>113923</v>
      </c>
      <c r="F15" s="1404">
        <f>B15+C15</f>
        <v>2690681</v>
      </c>
      <c r="G15" s="1390">
        <f t="shared" si="2"/>
        <v>0.46104908013993484</v>
      </c>
      <c r="H15" s="88"/>
      <c r="I15" s="1606"/>
      <c r="J15" s="1606"/>
    </row>
    <row r="16" spans="1:20" ht="18.75" hidden="1">
      <c r="A16" s="1130">
        <v>41306</v>
      </c>
      <c r="B16" s="446">
        <v>1249039</v>
      </c>
      <c r="C16" s="278">
        <f t="shared" si="0"/>
        <v>1459376</v>
      </c>
      <c r="D16" s="279">
        <v>1343926</v>
      </c>
      <c r="E16" s="1405">
        <v>115450</v>
      </c>
      <c r="F16" s="1404">
        <f t="shared" ref="F16:F26" si="3">+B16+D16+E16</f>
        <v>2708415</v>
      </c>
      <c r="G16" s="1390">
        <f t="shared" si="2"/>
        <v>0.46116972472830048</v>
      </c>
      <c r="H16" s="88"/>
      <c r="I16" s="1606"/>
      <c r="J16" s="1606"/>
    </row>
    <row r="17" spans="1:22" ht="18.75" hidden="1">
      <c r="A17" s="1130">
        <v>41334</v>
      </c>
      <c r="B17" s="446">
        <v>1260455</v>
      </c>
      <c r="C17" s="278">
        <f t="shared" si="0"/>
        <v>1474743</v>
      </c>
      <c r="D17" s="279">
        <v>1356641</v>
      </c>
      <c r="E17" s="1405">
        <v>118102</v>
      </c>
      <c r="F17" s="1404">
        <f t="shared" si="3"/>
        <v>2735198</v>
      </c>
      <c r="G17" s="1390">
        <f t="shared" si="2"/>
        <v>0.4608276987625759</v>
      </c>
      <c r="H17" s="88"/>
      <c r="I17" s="1606"/>
      <c r="J17" s="1606"/>
    </row>
    <row r="18" spans="1:22" ht="18.75" hidden="1" customHeight="1">
      <c r="A18" s="1130">
        <v>41365</v>
      </c>
      <c r="B18" s="446">
        <v>1264822</v>
      </c>
      <c r="C18" s="278">
        <f t="shared" si="0"/>
        <v>1483253</v>
      </c>
      <c r="D18" s="279">
        <v>1363526</v>
      </c>
      <c r="E18" s="1405">
        <v>119727</v>
      </c>
      <c r="F18" s="1404">
        <f t="shared" si="3"/>
        <v>2748075</v>
      </c>
      <c r="G18" s="1390">
        <f t="shared" si="2"/>
        <v>0.46025745294433373</v>
      </c>
      <c r="H18" s="88"/>
      <c r="I18" s="1606"/>
      <c r="J18" s="1606"/>
    </row>
    <row r="19" spans="1:22" ht="18.75" hidden="1">
      <c r="A19" s="1130">
        <v>41395</v>
      </c>
      <c r="B19" s="446">
        <v>1277798</v>
      </c>
      <c r="C19" s="278">
        <f t="shared" si="0"/>
        <v>1502509</v>
      </c>
      <c r="D19" s="279">
        <v>1380238</v>
      </c>
      <c r="E19" s="1405">
        <v>122271</v>
      </c>
      <c r="F19" s="1404">
        <f t="shared" si="3"/>
        <v>2780307</v>
      </c>
      <c r="G19" s="1390">
        <f t="shared" si="2"/>
        <v>0.45958881519199141</v>
      </c>
      <c r="H19" s="88"/>
      <c r="I19" s="1606"/>
      <c r="J19" s="1606"/>
    </row>
    <row r="20" spans="1:22" ht="18.75" hidden="1">
      <c r="A20" s="1130">
        <v>41426</v>
      </c>
      <c r="B20" s="446">
        <v>1287291</v>
      </c>
      <c r="C20" s="278">
        <f t="shared" si="0"/>
        <v>1520489</v>
      </c>
      <c r="D20" s="279">
        <v>1396021</v>
      </c>
      <c r="E20" s="1405">
        <v>124468</v>
      </c>
      <c r="F20" s="1404">
        <f t="shared" si="3"/>
        <v>2807780</v>
      </c>
      <c r="G20" s="1390">
        <f t="shared" si="2"/>
        <v>0.45847288605232606</v>
      </c>
      <c r="H20" s="88"/>
      <c r="I20" s="1606"/>
      <c r="J20" s="1606"/>
    </row>
    <row r="21" spans="1:22" ht="18.75" hidden="1">
      <c r="A21" s="1130">
        <v>41456</v>
      </c>
      <c r="B21" s="446">
        <v>1291631</v>
      </c>
      <c r="C21" s="278">
        <f t="shared" ref="C21:C26" si="4">D21+E21</f>
        <v>1520712</v>
      </c>
      <c r="D21" s="279">
        <v>1394607</v>
      </c>
      <c r="E21" s="1405">
        <v>126105</v>
      </c>
      <c r="F21" s="1404">
        <f t="shared" si="3"/>
        <v>2812343</v>
      </c>
      <c r="G21" s="1390">
        <f t="shared" si="2"/>
        <v>0.45927221537344487</v>
      </c>
      <c r="H21" s="88"/>
      <c r="I21" s="1606"/>
      <c r="J21" s="1606"/>
    </row>
    <row r="22" spans="1:22" ht="18.75" hidden="1">
      <c r="A22" s="1130">
        <v>41487</v>
      </c>
      <c r="B22" s="446">
        <v>1300657</v>
      </c>
      <c r="C22" s="278">
        <f t="shared" si="4"/>
        <v>1541386</v>
      </c>
      <c r="D22" s="279">
        <v>1413807</v>
      </c>
      <c r="E22" s="1405">
        <v>127579</v>
      </c>
      <c r="F22" s="1404">
        <f t="shared" si="3"/>
        <v>2842043</v>
      </c>
      <c r="G22" s="1390">
        <f t="shared" si="2"/>
        <v>0.45764859996840301</v>
      </c>
      <c r="H22" s="88"/>
      <c r="I22" s="1606"/>
      <c r="J22" s="1606"/>
    </row>
    <row r="23" spans="1:22" ht="18.75" hidden="1">
      <c r="A23" s="1130">
        <v>41518</v>
      </c>
      <c r="B23" s="446">
        <v>1303324</v>
      </c>
      <c r="C23" s="278">
        <f t="shared" si="4"/>
        <v>1548470</v>
      </c>
      <c r="D23" s="279">
        <v>1419509</v>
      </c>
      <c r="E23" s="1405">
        <v>128961</v>
      </c>
      <c r="F23" s="1404">
        <f t="shared" si="3"/>
        <v>2851794</v>
      </c>
      <c r="G23" s="1390">
        <f t="shared" si="2"/>
        <v>0.45701898524227208</v>
      </c>
      <c r="H23" s="88"/>
      <c r="I23" s="1606"/>
      <c r="J23" s="1606"/>
    </row>
    <row r="24" spans="1:22" ht="18.75" hidden="1">
      <c r="A24" s="1130">
        <v>41548</v>
      </c>
      <c r="B24" s="446">
        <v>1299098</v>
      </c>
      <c r="C24" s="278">
        <f t="shared" si="4"/>
        <v>1551844</v>
      </c>
      <c r="D24" s="279">
        <v>1421755</v>
      </c>
      <c r="E24" s="1405">
        <v>130089</v>
      </c>
      <c r="F24" s="1404">
        <f t="shared" si="3"/>
        <v>2850942</v>
      </c>
      <c r="G24" s="1391">
        <f>C24/B24</f>
        <v>1.1945549912323781</v>
      </c>
      <c r="H24" s="88"/>
      <c r="I24" s="1606"/>
      <c r="J24" s="1606"/>
    </row>
    <row r="25" spans="1:22" ht="18.75" hidden="1">
      <c r="A25" s="1130">
        <v>41579</v>
      </c>
      <c r="B25" s="446">
        <v>1312472</v>
      </c>
      <c r="C25" s="278">
        <f t="shared" si="4"/>
        <v>1573940</v>
      </c>
      <c r="D25" s="279">
        <v>1442084</v>
      </c>
      <c r="E25" s="1405">
        <v>131856</v>
      </c>
      <c r="F25" s="1404">
        <f t="shared" si="3"/>
        <v>2886412</v>
      </c>
      <c r="G25" s="1391">
        <f>C25/B25</f>
        <v>1.199217964268952</v>
      </c>
      <c r="H25" s="88"/>
      <c r="I25" s="1606"/>
      <c r="J25" s="1606"/>
    </row>
    <row r="26" spans="1:22" ht="18.75" hidden="1">
      <c r="A26" s="1130">
        <v>41609</v>
      </c>
      <c r="B26" s="446">
        <v>1297821</v>
      </c>
      <c r="C26" s="278">
        <f t="shared" si="4"/>
        <v>1561485</v>
      </c>
      <c r="D26" s="279">
        <v>1429474</v>
      </c>
      <c r="E26" s="1405">
        <v>132011</v>
      </c>
      <c r="F26" s="1404">
        <f t="shared" si="3"/>
        <v>2859306</v>
      </c>
      <c r="G26" s="1391">
        <f>C26/B26</f>
        <v>1.203158987256332</v>
      </c>
      <c r="H26" s="88"/>
      <c r="I26" s="1606"/>
      <c r="J26" s="1606"/>
    </row>
    <row r="27" spans="1:22" ht="18.75">
      <c r="A27" s="1392" t="s">
        <v>530</v>
      </c>
      <c r="B27" s="1395">
        <v>531330</v>
      </c>
      <c r="C27" s="1365">
        <v>259903</v>
      </c>
      <c r="D27" s="1365">
        <v>1282</v>
      </c>
      <c r="E27" s="1373">
        <f>B27+C27+D27</f>
        <v>792515</v>
      </c>
      <c r="F27" s="1395">
        <v>388581</v>
      </c>
      <c r="G27" s="1365">
        <v>293112</v>
      </c>
      <c r="H27" s="1365">
        <v>2973</v>
      </c>
      <c r="I27" s="1406">
        <f>F27+G27+H27</f>
        <v>684666</v>
      </c>
      <c r="J27" s="1406">
        <f>E27+I27</f>
        <v>1477181</v>
      </c>
      <c r="S27" s="293"/>
      <c r="T27" s="130"/>
      <c r="V27" s="1173"/>
    </row>
    <row r="28" spans="1:22" ht="18.75">
      <c r="A28" s="1370" t="s">
        <v>500</v>
      </c>
      <c r="B28" s="446">
        <v>554588</v>
      </c>
      <c r="C28" s="278">
        <v>330370</v>
      </c>
      <c r="D28" s="278">
        <v>5444</v>
      </c>
      <c r="E28" s="445">
        <f t="shared" ref="E28:E34" si="5">B28+C28+D28</f>
        <v>890402</v>
      </c>
      <c r="F28" s="446">
        <v>411558</v>
      </c>
      <c r="G28" s="278">
        <v>376958</v>
      </c>
      <c r="H28" s="278">
        <v>13341</v>
      </c>
      <c r="I28" s="1407">
        <f t="shared" ref="I28:I35" si="6">F28+G28+H28</f>
        <v>801857</v>
      </c>
      <c r="J28" s="1407">
        <f t="shared" ref="J28:J35" si="7">E28+I28</f>
        <v>1692259</v>
      </c>
      <c r="S28" s="293"/>
      <c r="T28" s="130"/>
      <c r="V28" s="1173"/>
    </row>
    <row r="29" spans="1:22" ht="18.75">
      <c r="A29" s="1393" t="s">
        <v>439</v>
      </c>
      <c r="B29" s="446">
        <v>621549</v>
      </c>
      <c r="C29" s="278">
        <v>444129</v>
      </c>
      <c r="D29" s="278">
        <v>13199</v>
      </c>
      <c r="E29" s="445">
        <f t="shared" si="5"/>
        <v>1078877</v>
      </c>
      <c r="F29" s="446">
        <v>458053</v>
      </c>
      <c r="G29" s="278">
        <v>518280</v>
      </c>
      <c r="H29" s="278">
        <v>33089</v>
      </c>
      <c r="I29" s="1407">
        <f t="shared" si="6"/>
        <v>1009422</v>
      </c>
      <c r="J29" s="1407">
        <f t="shared" si="7"/>
        <v>2088299</v>
      </c>
      <c r="S29" s="293"/>
      <c r="T29" s="130"/>
      <c r="V29" s="1173"/>
    </row>
    <row r="30" spans="1:22" ht="18.75">
      <c r="A30" s="1370" t="s">
        <v>440</v>
      </c>
      <c r="B30" s="446">
        <v>666490</v>
      </c>
      <c r="C30" s="278">
        <v>523408</v>
      </c>
      <c r="D30" s="278">
        <v>20284</v>
      </c>
      <c r="E30" s="445">
        <f t="shared" si="5"/>
        <v>1210182</v>
      </c>
      <c r="F30" s="446">
        <v>486371</v>
      </c>
      <c r="G30" s="278">
        <v>617395</v>
      </c>
      <c r="H30" s="278">
        <v>50135</v>
      </c>
      <c r="I30" s="1407">
        <f t="shared" si="6"/>
        <v>1153901</v>
      </c>
      <c r="J30" s="1407">
        <f t="shared" si="7"/>
        <v>2364083</v>
      </c>
      <c r="S30" s="293"/>
      <c r="T30" s="130"/>
      <c r="V30" s="1173"/>
    </row>
    <row r="31" spans="1:22" ht="18.75">
      <c r="A31" s="1393" t="s">
        <v>441</v>
      </c>
      <c r="B31" s="446">
        <v>688507</v>
      </c>
      <c r="C31" s="278">
        <v>563079</v>
      </c>
      <c r="D31" s="278">
        <v>27872</v>
      </c>
      <c r="E31" s="445">
        <f t="shared" si="5"/>
        <v>1279458</v>
      </c>
      <c r="F31" s="446">
        <v>499838</v>
      </c>
      <c r="G31" s="278">
        <v>670940</v>
      </c>
      <c r="H31" s="278">
        <v>67187</v>
      </c>
      <c r="I31" s="1407">
        <f t="shared" si="6"/>
        <v>1237965</v>
      </c>
      <c r="J31" s="1407">
        <f t="shared" si="7"/>
        <v>2517423</v>
      </c>
      <c r="S31" s="293"/>
      <c r="T31" s="130"/>
      <c r="V31" s="1173"/>
    </row>
    <row r="32" spans="1:22" ht="18.75">
      <c r="A32" s="1370" t="s">
        <v>501</v>
      </c>
      <c r="B32" s="446">
        <v>719477</v>
      </c>
      <c r="C32" s="278">
        <v>607781</v>
      </c>
      <c r="D32" s="278">
        <v>33530</v>
      </c>
      <c r="E32" s="445">
        <f t="shared" si="5"/>
        <v>1360788</v>
      </c>
      <c r="F32" s="446">
        <v>523353</v>
      </c>
      <c r="G32" s="278">
        <v>724697</v>
      </c>
      <c r="H32" s="278">
        <v>79573</v>
      </c>
      <c r="I32" s="1407">
        <f t="shared" si="6"/>
        <v>1327623</v>
      </c>
      <c r="J32" s="1407">
        <f t="shared" si="7"/>
        <v>2688411</v>
      </c>
      <c r="S32" s="293"/>
      <c r="T32" s="130"/>
      <c r="V32" s="1173"/>
    </row>
    <row r="33" spans="1:22" ht="18.75">
      <c r="A33" s="1393" t="s">
        <v>570</v>
      </c>
      <c r="B33" s="446">
        <v>761550</v>
      </c>
      <c r="C33" s="278">
        <v>660882</v>
      </c>
      <c r="D33" s="278">
        <v>39966</v>
      </c>
      <c r="E33" s="445">
        <f t="shared" si="5"/>
        <v>1462398</v>
      </c>
      <c r="F33" s="446">
        <v>557229</v>
      </c>
      <c r="G33" s="278">
        <v>788545</v>
      </c>
      <c r="H33" s="278">
        <v>92804</v>
      </c>
      <c r="I33" s="1407">
        <f t="shared" si="6"/>
        <v>1438578</v>
      </c>
      <c r="J33" s="1407">
        <f t="shared" si="7"/>
        <v>2900976</v>
      </c>
      <c r="S33" s="293"/>
      <c r="T33" s="130"/>
      <c r="V33" s="1173"/>
    </row>
    <row r="34" spans="1:22" ht="18.75">
      <c r="A34" s="1370" t="s">
        <v>635</v>
      </c>
      <c r="B34" s="446">
        <v>816912</v>
      </c>
      <c r="C34" s="278">
        <v>715603</v>
      </c>
      <c r="D34" s="278">
        <v>45810</v>
      </c>
      <c r="E34" s="445">
        <f t="shared" si="5"/>
        <v>1578325</v>
      </c>
      <c r="F34" s="446">
        <v>606074</v>
      </c>
      <c r="G34" s="278">
        <v>852938</v>
      </c>
      <c r="H34" s="278">
        <v>104262</v>
      </c>
      <c r="I34" s="1407">
        <f t="shared" si="6"/>
        <v>1563274</v>
      </c>
      <c r="J34" s="1407">
        <f t="shared" si="7"/>
        <v>3141599</v>
      </c>
      <c r="S34" s="293"/>
      <c r="T34" s="130"/>
      <c r="V34" s="1173"/>
    </row>
    <row r="35" spans="1:22" ht="18.75">
      <c r="A35" s="1394" t="s">
        <v>636</v>
      </c>
      <c r="B35" s="526">
        <v>818204</v>
      </c>
      <c r="C35" s="1367">
        <v>716041</v>
      </c>
      <c r="D35" s="1367">
        <v>50272</v>
      </c>
      <c r="E35" s="447">
        <f>B35+C35+D35</f>
        <v>1584517</v>
      </c>
      <c r="F35" s="526">
        <v>607807</v>
      </c>
      <c r="G35" s="1367">
        <v>852199</v>
      </c>
      <c r="H35" s="1367">
        <v>110846</v>
      </c>
      <c r="I35" s="1408">
        <f t="shared" si="6"/>
        <v>1570852</v>
      </c>
      <c r="J35" s="1408">
        <f t="shared" si="7"/>
        <v>3155369</v>
      </c>
      <c r="S35" s="293"/>
      <c r="T35" s="130"/>
      <c r="V35" s="1173"/>
    </row>
    <row r="36" spans="1:22" ht="25.5" customHeight="1">
      <c r="A36" s="1754" t="s">
        <v>588</v>
      </c>
      <c r="B36" s="1754"/>
      <c r="C36" s="1754"/>
      <c r="D36" s="1754"/>
      <c r="E36" s="1754"/>
      <c r="F36" s="1754"/>
      <c r="G36" s="1754"/>
      <c r="H36" s="34"/>
      <c r="J36" s="34"/>
      <c r="K36" s="34"/>
      <c r="L36" s="34"/>
      <c r="M36" s="34"/>
      <c r="N36" s="34"/>
      <c r="O36" s="34"/>
      <c r="P36" s="34"/>
      <c r="Q36" s="34"/>
      <c r="R36" s="34"/>
    </row>
    <row r="37" spans="1:22" ht="25.5" customHeight="1">
      <c r="A37" s="34"/>
      <c r="B37" s="34"/>
      <c r="C37" s="34"/>
      <c r="D37" s="34"/>
      <c r="E37" s="34"/>
      <c r="F37" s="34"/>
      <c r="G37" s="34"/>
      <c r="H37" s="34"/>
      <c r="J37" s="34"/>
      <c r="K37" s="34"/>
      <c r="L37" s="34"/>
      <c r="M37" s="34"/>
      <c r="N37" s="34"/>
      <c r="O37" s="34"/>
      <c r="P37" s="34"/>
      <c r="Q37" s="34"/>
      <c r="R37" s="34"/>
    </row>
    <row r="38" spans="1:22" ht="25.5" customHeight="1">
      <c r="A38" s="34"/>
      <c r="B38" s="34"/>
      <c r="C38" s="34"/>
      <c r="D38" s="34"/>
      <c r="E38" s="34"/>
      <c r="F38" s="34"/>
      <c r="G38" s="34"/>
      <c r="H38" s="34"/>
      <c r="J38" s="34"/>
      <c r="K38" s="34"/>
      <c r="L38" s="34"/>
      <c r="M38" s="34"/>
      <c r="N38" s="34"/>
      <c r="O38" s="34"/>
      <c r="P38" s="34"/>
      <c r="Q38" s="34"/>
      <c r="R38" s="34"/>
    </row>
    <row r="39" spans="1:22" ht="25.5" customHeight="1">
      <c r="H39" s="34"/>
      <c r="J39" s="34"/>
      <c r="K39" s="34"/>
      <c r="L39" s="34"/>
      <c r="M39" s="34"/>
      <c r="N39" s="34"/>
      <c r="O39" s="34"/>
      <c r="P39" s="34"/>
      <c r="Q39" s="34"/>
      <c r="R39" s="34"/>
    </row>
    <row r="40" spans="1:22" ht="25.5" customHeight="1">
      <c r="A40" s="34"/>
      <c r="B40" s="34"/>
      <c r="C40" s="34"/>
      <c r="D40" s="34"/>
      <c r="E40" s="34"/>
      <c r="F40" s="34"/>
      <c r="G40" s="34"/>
      <c r="H40" s="34"/>
      <c r="J40" s="34"/>
      <c r="K40" s="34"/>
      <c r="L40" s="34"/>
      <c r="M40" s="34"/>
      <c r="N40" s="34"/>
      <c r="O40" s="34"/>
      <c r="P40" s="34"/>
      <c r="Q40" s="34"/>
      <c r="R40" s="34"/>
      <c r="S40" s="293"/>
      <c r="T40" s="293"/>
    </row>
    <row r="41" spans="1:22" ht="25.5" customHeight="1">
      <c r="A41" s="34"/>
      <c r="B41" s="34"/>
      <c r="C41" s="34"/>
      <c r="D41" s="34"/>
      <c r="E41" s="34"/>
      <c r="F41" s="34"/>
      <c r="G41" s="34"/>
      <c r="H41" s="34"/>
      <c r="J41" s="34"/>
      <c r="K41" s="34"/>
      <c r="L41" s="34"/>
      <c r="M41" s="34"/>
      <c r="N41" s="34"/>
      <c r="O41" s="34"/>
      <c r="P41" s="34"/>
      <c r="Q41" s="34"/>
      <c r="R41" s="34"/>
      <c r="S41" s="293"/>
      <c r="T41" s="293"/>
    </row>
    <row r="42" spans="1:22" ht="25.5" customHeight="1">
      <c r="A42" s="34"/>
      <c r="B42" s="34"/>
      <c r="C42" s="34"/>
      <c r="D42" s="34"/>
      <c r="E42" s="34"/>
      <c r="F42" s="34"/>
      <c r="G42" s="34"/>
      <c r="H42" s="34"/>
      <c r="I42" s="34"/>
      <c r="J42" s="34"/>
      <c r="K42" s="34"/>
      <c r="L42" s="34"/>
      <c r="M42" s="34"/>
      <c r="N42" s="34"/>
      <c r="O42" s="34"/>
      <c r="P42" s="34"/>
      <c r="Q42" s="34"/>
      <c r="R42" s="34"/>
      <c r="S42" s="293"/>
      <c r="T42" s="293"/>
    </row>
    <row r="43" spans="1:22" ht="25.5" customHeight="1">
      <c r="A43" s="34"/>
      <c r="B43" s="34"/>
      <c r="C43" s="34"/>
      <c r="D43" s="34"/>
      <c r="E43" s="34"/>
      <c r="F43" s="34"/>
      <c r="G43" s="34"/>
      <c r="H43" s="34"/>
      <c r="I43" s="34"/>
      <c r="J43" s="34"/>
      <c r="K43" s="34"/>
      <c r="L43" s="34"/>
      <c r="M43" s="34"/>
      <c r="N43" s="34"/>
      <c r="O43" s="34"/>
      <c r="P43" s="34"/>
      <c r="Q43" s="34"/>
      <c r="R43" s="34"/>
      <c r="S43" s="293"/>
      <c r="T43" s="293"/>
    </row>
    <row r="44" spans="1:22" ht="25.5" customHeight="1">
      <c r="A44" s="34"/>
      <c r="B44" s="34"/>
      <c r="C44" s="34"/>
      <c r="D44" s="34"/>
      <c r="E44" s="34"/>
      <c r="F44" s="34"/>
      <c r="G44" s="34"/>
      <c r="H44" s="34"/>
      <c r="I44" s="34"/>
      <c r="J44" s="34"/>
      <c r="K44" s="34"/>
      <c r="L44" s="34"/>
      <c r="M44" s="34"/>
      <c r="N44" s="34"/>
      <c r="O44" s="34"/>
      <c r="P44" s="34"/>
      <c r="Q44" s="34"/>
      <c r="R44" s="34"/>
      <c r="S44" s="293"/>
      <c r="T44" s="293"/>
    </row>
    <row r="45" spans="1:22" ht="25.5" customHeight="1">
      <c r="A45" s="34"/>
      <c r="B45" s="34"/>
      <c r="C45" s="34"/>
      <c r="D45" s="34"/>
      <c r="E45" s="34"/>
      <c r="F45" s="34"/>
      <c r="G45" s="34"/>
      <c r="H45" s="34"/>
      <c r="I45" s="34"/>
      <c r="J45" s="34"/>
      <c r="K45" s="34"/>
      <c r="L45" s="34"/>
      <c r="M45" s="34"/>
      <c r="N45" s="34"/>
      <c r="O45" s="34"/>
      <c r="P45" s="34"/>
      <c r="Q45" s="34"/>
      <c r="R45" s="34"/>
      <c r="S45" s="293"/>
      <c r="T45" s="293"/>
    </row>
    <row r="46" spans="1:22" ht="25.5" customHeight="1">
      <c r="A46" s="34"/>
      <c r="B46" s="34"/>
      <c r="C46" s="34"/>
      <c r="D46" s="34"/>
      <c r="E46" s="34"/>
      <c r="F46" s="34"/>
      <c r="G46" s="34"/>
      <c r="H46" s="34"/>
      <c r="I46" s="34"/>
      <c r="J46" s="34"/>
      <c r="K46" s="34"/>
      <c r="L46" s="34"/>
      <c r="M46" s="34"/>
      <c r="N46" s="34"/>
      <c r="O46" s="34"/>
      <c r="P46" s="34"/>
      <c r="Q46" s="34"/>
      <c r="R46" s="34"/>
      <c r="S46" s="293"/>
      <c r="T46" s="293"/>
    </row>
    <row r="47" spans="1:22" ht="25.5" customHeight="1">
      <c r="A47" s="34"/>
      <c r="B47" s="34"/>
      <c r="C47" s="34"/>
      <c r="D47" s="34"/>
      <c r="E47" s="34"/>
      <c r="F47" s="34"/>
      <c r="G47" s="34"/>
      <c r="H47" s="34"/>
      <c r="I47" s="34"/>
      <c r="J47" s="34"/>
      <c r="K47" s="34"/>
      <c r="L47" s="34"/>
      <c r="M47" s="34"/>
      <c r="N47" s="34"/>
      <c r="O47" s="34"/>
      <c r="P47" s="34"/>
      <c r="Q47" s="34"/>
      <c r="R47" s="34"/>
      <c r="S47" s="293"/>
      <c r="T47" s="293"/>
    </row>
    <row r="48" spans="1:22" ht="25.5" customHeight="1">
      <c r="A48" s="34"/>
      <c r="B48" s="34"/>
      <c r="C48" s="34"/>
      <c r="D48" s="34"/>
      <c r="E48" s="34"/>
      <c r="F48" s="34"/>
      <c r="G48" s="34"/>
      <c r="H48" s="34"/>
      <c r="I48" s="34"/>
      <c r="J48" s="34"/>
      <c r="K48" s="34"/>
      <c r="L48" s="34"/>
      <c r="M48" s="34"/>
      <c r="N48" s="34"/>
      <c r="O48" s="34"/>
      <c r="P48" s="34"/>
      <c r="Q48" s="34"/>
      <c r="R48" s="34"/>
      <c r="S48" s="293"/>
      <c r="T48" s="293"/>
    </row>
    <row r="49" spans="1:28">
      <c r="O49" s="103"/>
      <c r="P49" s="103"/>
      <c r="Q49" s="103"/>
      <c r="R49" s="103"/>
      <c r="S49" s="293"/>
      <c r="T49" s="104"/>
      <c r="U49" s="104"/>
      <c r="V49" s="104"/>
      <c r="W49" s="104"/>
      <c r="X49" s="104"/>
      <c r="Y49" s="104"/>
      <c r="Z49" s="104"/>
      <c r="AA49" s="104"/>
      <c r="AB49" s="104"/>
    </row>
    <row r="50" spans="1:28">
      <c r="O50" s="103"/>
      <c r="P50" s="103"/>
      <c r="Q50" s="103"/>
      <c r="R50" s="103"/>
      <c r="S50" s="293"/>
      <c r="T50" s="104"/>
      <c r="U50" s="104"/>
      <c r="V50" s="104"/>
      <c r="W50" s="104"/>
      <c r="X50" s="104"/>
      <c r="Y50" s="104"/>
      <c r="Z50" s="104"/>
      <c r="AA50" s="104"/>
      <c r="AB50" s="104"/>
    </row>
    <row r="51" spans="1:28">
      <c r="O51" s="103"/>
      <c r="P51" s="103"/>
      <c r="Q51" s="103"/>
      <c r="R51" s="103"/>
      <c r="S51" s="104"/>
      <c r="T51" s="104"/>
      <c r="U51" s="104"/>
      <c r="V51" s="104"/>
      <c r="W51" s="104"/>
      <c r="X51" s="104"/>
      <c r="Y51" s="104"/>
      <c r="Z51" s="104"/>
      <c r="AA51" s="104"/>
      <c r="AB51" s="104"/>
    </row>
    <row r="52" spans="1:28">
      <c r="O52" s="103"/>
      <c r="P52" s="103"/>
      <c r="Q52" s="103"/>
      <c r="R52" s="103"/>
      <c r="S52" s="104"/>
      <c r="T52" s="104"/>
      <c r="U52" s="104"/>
      <c r="V52" s="104"/>
      <c r="W52" s="104"/>
      <c r="X52" s="104"/>
      <c r="Y52" s="104"/>
      <c r="Z52" s="104"/>
      <c r="AA52" s="104"/>
      <c r="AB52" s="104"/>
    </row>
    <row r="53" spans="1:28" ht="51" customHeight="1">
      <c r="O53" s="103"/>
      <c r="P53" s="103"/>
      <c r="Q53" s="103"/>
      <c r="R53" s="103"/>
      <c r="S53" s="104"/>
      <c r="T53" s="104"/>
      <c r="U53" s="19"/>
      <c r="V53" s="19"/>
      <c r="W53" s="104"/>
      <c r="X53" s="104"/>
      <c r="Y53" s="104"/>
      <c r="Z53" s="104"/>
      <c r="AA53" s="104"/>
      <c r="AB53" s="104"/>
    </row>
    <row r="54" spans="1:28" ht="78" customHeight="1">
      <c r="A54" s="1755"/>
      <c r="B54" s="1755"/>
      <c r="C54" s="1755"/>
      <c r="D54" s="1755"/>
      <c r="E54" s="1755"/>
      <c r="F54" s="1755"/>
      <c r="G54" s="1755"/>
      <c r="H54" s="1755"/>
      <c r="I54" s="1755"/>
      <c r="J54" s="1755"/>
      <c r="K54" s="1755"/>
      <c r="L54" s="1755"/>
      <c r="M54" s="1755"/>
      <c r="N54" s="1755"/>
      <c r="O54" s="1755"/>
      <c r="P54" s="1755"/>
      <c r="Q54" s="1755"/>
      <c r="R54" s="1755"/>
      <c r="S54" s="1755"/>
      <c r="T54" s="1755"/>
      <c r="U54" s="1755"/>
      <c r="V54" s="1755"/>
      <c r="W54" s="1755"/>
      <c r="X54" s="1755"/>
      <c r="Y54" s="1755"/>
      <c r="Z54" s="1755"/>
      <c r="AA54" s="104"/>
      <c r="AB54" s="104"/>
    </row>
    <row r="55" spans="1:28">
      <c r="O55" s="104"/>
      <c r="P55" s="104"/>
      <c r="Q55" s="104"/>
      <c r="R55" s="104"/>
      <c r="S55" s="104"/>
    </row>
    <row r="56" spans="1:28">
      <c r="O56" s="104"/>
      <c r="P56" s="104"/>
      <c r="Q56" s="104"/>
      <c r="R56" s="104"/>
      <c r="S56" s="104"/>
    </row>
    <row r="57" spans="1:28">
      <c r="O57" s="104"/>
      <c r="P57" s="104"/>
      <c r="Q57" s="104"/>
      <c r="R57" s="104"/>
      <c r="S57" s="104"/>
    </row>
    <row r="58" spans="1:28">
      <c r="O58" s="104"/>
      <c r="P58" s="104"/>
      <c r="Q58" s="104"/>
      <c r="R58" s="104"/>
      <c r="S58" s="104"/>
    </row>
    <row r="59" spans="1:28">
      <c r="O59" s="104"/>
      <c r="P59" s="104"/>
      <c r="Q59" s="104"/>
      <c r="R59" s="104"/>
      <c r="S59" s="104"/>
    </row>
    <row r="60" spans="1:28">
      <c r="O60" s="104"/>
      <c r="P60" s="104"/>
      <c r="Q60" s="104"/>
      <c r="R60" s="104"/>
      <c r="S60" s="104"/>
      <c r="T60" s="104"/>
      <c r="U60" s="104"/>
      <c r="V60" s="104"/>
      <c r="W60" s="104"/>
      <c r="X60" s="104"/>
      <c r="Y60" s="104"/>
      <c r="Z60" s="104"/>
      <c r="AA60" s="104"/>
      <c r="AB60" s="104"/>
    </row>
    <row r="61" spans="1:28">
      <c r="O61" s="104"/>
      <c r="P61" s="104"/>
      <c r="Q61" s="104"/>
      <c r="R61" s="104"/>
      <c r="S61" s="104"/>
      <c r="T61" s="104"/>
      <c r="U61" s="104"/>
      <c r="V61" s="104"/>
      <c r="W61" s="104"/>
      <c r="X61" s="104"/>
      <c r="Y61" s="104"/>
      <c r="Z61" s="104"/>
      <c r="AA61" s="104"/>
      <c r="AB61" s="104"/>
    </row>
    <row r="62" spans="1:28">
      <c r="O62" s="104"/>
      <c r="P62" s="104"/>
      <c r="Q62" s="104"/>
      <c r="R62" s="104"/>
      <c r="S62" s="104"/>
      <c r="T62" s="104"/>
      <c r="U62" s="104"/>
      <c r="V62" s="104"/>
      <c r="W62" s="104"/>
      <c r="X62" s="104"/>
      <c r="Y62" s="104"/>
      <c r="Z62" s="104"/>
      <c r="AA62" s="104"/>
      <c r="AB62" s="104"/>
    </row>
    <row r="75" spans="20:25">
      <c r="T75" s="104"/>
      <c r="U75" s="104"/>
      <c r="V75" s="104"/>
      <c r="W75" s="104"/>
      <c r="X75" s="104"/>
      <c r="Y75" s="104"/>
    </row>
    <row r="76" spans="20:25">
      <c r="T76" s="104"/>
      <c r="U76" s="104"/>
      <c r="V76" s="104"/>
      <c r="W76" s="104"/>
      <c r="X76" s="104"/>
      <c r="Y76" s="104"/>
    </row>
    <row r="77" spans="20:25">
      <c r="T77" s="104"/>
      <c r="U77" s="104"/>
      <c r="V77" s="104"/>
      <c r="W77" s="104"/>
      <c r="X77" s="104"/>
      <c r="Y77" s="104"/>
    </row>
    <row r="78" spans="20:25">
      <c r="T78" s="104"/>
      <c r="U78" s="104"/>
      <c r="V78" s="104"/>
      <c r="W78" s="104"/>
      <c r="X78" s="104"/>
      <c r="Y78" s="104"/>
    </row>
    <row r="79" spans="20:25">
      <c r="T79" s="104"/>
      <c r="U79" s="104"/>
      <c r="V79" s="104"/>
      <c r="W79" s="104"/>
      <c r="X79" s="104"/>
      <c r="Y79" s="104"/>
    </row>
    <row r="80" spans="20:25">
      <c r="T80" s="104"/>
      <c r="U80" s="104"/>
      <c r="V80" s="104"/>
      <c r="W80" s="104"/>
      <c r="X80" s="104"/>
      <c r="Y80" s="104"/>
    </row>
    <row r="81" spans="20:25">
      <c r="T81" s="104"/>
      <c r="U81" s="104"/>
      <c r="V81" s="104"/>
      <c r="W81" s="104"/>
      <c r="X81" s="104"/>
      <c r="Y81" s="104"/>
    </row>
    <row r="82" spans="20:25">
      <c r="T82" s="104"/>
      <c r="U82" s="104"/>
      <c r="V82" s="104"/>
      <c r="W82" s="104"/>
      <c r="X82" s="104"/>
      <c r="Y82" s="104"/>
    </row>
    <row r="92" spans="20:25">
      <c r="T92" s="104"/>
      <c r="U92" s="104"/>
      <c r="V92" s="104"/>
      <c r="W92" s="104"/>
      <c r="X92" s="104"/>
      <c r="Y92" s="104"/>
    </row>
    <row r="93" spans="20:25">
      <c r="T93" s="104"/>
      <c r="U93" s="104"/>
      <c r="V93" s="104"/>
      <c r="W93" s="104"/>
      <c r="X93" s="104"/>
      <c r="Y93" s="104"/>
    </row>
    <row r="94" spans="20:25">
      <c r="T94" s="104"/>
      <c r="U94" s="104"/>
      <c r="V94" s="104"/>
      <c r="W94" s="104"/>
      <c r="X94" s="104"/>
      <c r="Y94" s="104"/>
    </row>
    <row r="95" spans="20:25">
      <c r="T95" s="104"/>
      <c r="U95" s="104"/>
      <c r="V95" s="104"/>
      <c r="W95" s="104"/>
      <c r="X95" s="104"/>
      <c r="Y95" s="104"/>
    </row>
  </sheetData>
  <mergeCells count="9">
    <mergeCell ref="A1:R1"/>
    <mergeCell ref="A36:G36"/>
    <mergeCell ref="A54:Z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70" zoomScaleNormal="70" zoomScaleSheetLayoutView="70" workbookViewId="0">
      <selection activeCell="O27" sqref="O27"/>
    </sheetView>
  </sheetViews>
  <sheetFormatPr baseColWidth="10" defaultRowHeight="15"/>
  <cols>
    <col min="1" max="7" width="11.42578125" style="84"/>
    <col min="8" max="8" width="11.42578125" style="84" customWidth="1"/>
    <col min="9" max="9" width="28.140625" style="84" customWidth="1"/>
    <col min="10" max="10" width="20.42578125" style="84" customWidth="1"/>
    <col min="11" max="12" width="14.7109375" style="84" customWidth="1"/>
    <col min="13" max="13" width="15.28515625" style="84" customWidth="1"/>
    <col min="14" max="16384" width="11.42578125" style="84"/>
  </cols>
  <sheetData>
    <row r="1" spans="1:14">
      <c r="A1" s="1748"/>
      <c r="B1" s="1748"/>
      <c r="C1" s="1748"/>
      <c r="D1" s="1748"/>
      <c r="E1" s="1748"/>
      <c r="F1" s="1748"/>
      <c r="G1" s="1748"/>
      <c r="H1" s="1748"/>
      <c r="I1" s="1748"/>
      <c r="J1" s="1748"/>
      <c r="K1" s="1748"/>
      <c r="L1" s="1748"/>
      <c r="M1" s="1748"/>
      <c r="N1" s="102"/>
    </row>
    <row r="2" spans="1:14">
      <c r="A2" s="1748"/>
      <c r="B2" s="1748"/>
      <c r="C2" s="1748"/>
      <c r="D2" s="1748"/>
      <c r="E2" s="1748"/>
      <c r="F2" s="1748"/>
      <c r="G2" s="1748"/>
      <c r="H2" s="1748"/>
      <c r="I2" s="1748"/>
      <c r="J2" s="1748"/>
      <c r="K2" s="1748"/>
      <c r="L2" s="1748"/>
      <c r="M2" s="1748"/>
      <c r="N2" s="102"/>
    </row>
    <row r="3" spans="1:14">
      <c r="A3" s="1748"/>
      <c r="B3" s="1748"/>
      <c r="C3" s="1748"/>
      <c r="D3" s="1748"/>
      <c r="E3" s="1748"/>
      <c r="F3" s="1748"/>
      <c r="G3" s="1748"/>
      <c r="H3" s="1748"/>
      <c r="I3" s="1748"/>
      <c r="J3" s="1748"/>
      <c r="K3" s="1748"/>
      <c r="L3" s="1748"/>
      <c r="M3" s="1748"/>
      <c r="N3" s="102"/>
    </row>
    <row r="4" spans="1:14">
      <c r="A4" s="1748"/>
      <c r="B4" s="1748"/>
      <c r="C4" s="1748"/>
      <c r="D4" s="1748"/>
      <c r="E4" s="1748"/>
      <c r="F4" s="1748"/>
      <c r="G4" s="1748"/>
      <c r="H4" s="1748"/>
      <c r="I4" s="1748"/>
      <c r="J4" s="1748"/>
      <c r="K4" s="1748"/>
      <c r="L4" s="1748"/>
      <c r="M4" s="1748"/>
      <c r="N4" s="102"/>
    </row>
    <row r="5" spans="1:14">
      <c r="A5" s="1748"/>
      <c r="B5" s="1748"/>
      <c r="C5" s="1748"/>
      <c r="D5" s="1748"/>
      <c r="E5" s="1748"/>
      <c r="F5" s="1748"/>
      <c r="G5" s="1748"/>
      <c r="H5" s="1748"/>
      <c r="I5" s="1748"/>
      <c r="J5" s="1748"/>
      <c r="K5" s="1748"/>
      <c r="L5" s="1748"/>
      <c r="M5" s="1748"/>
      <c r="N5" s="102"/>
    </row>
    <row r="6" spans="1:14">
      <c r="A6" s="1748"/>
      <c r="B6" s="1748"/>
      <c r="C6" s="1748"/>
      <c r="D6" s="1748"/>
      <c r="E6" s="1748"/>
      <c r="F6" s="1748"/>
      <c r="G6" s="1748"/>
      <c r="H6" s="1748"/>
      <c r="I6" s="1748"/>
      <c r="J6" s="1748"/>
      <c r="K6" s="1748"/>
      <c r="L6" s="1748"/>
      <c r="M6" s="1748"/>
      <c r="N6" s="102"/>
    </row>
    <row r="7" spans="1:14" ht="47.25" customHeight="1">
      <c r="A7" s="1748"/>
      <c r="B7" s="1748"/>
      <c r="C7" s="1748"/>
      <c r="D7" s="1748"/>
      <c r="E7" s="1748"/>
      <c r="F7" s="1748"/>
      <c r="G7" s="1748"/>
      <c r="H7" s="1748"/>
      <c r="I7" s="1748"/>
      <c r="J7" s="1748"/>
      <c r="K7" s="1748"/>
      <c r="L7" s="1748"/>
      <c r="M7" s="1748"/>
      <c r="N7" s="102"/>
    </row>
    <row r="8" spans="1:14">
      <c r="A8" s="1748"/>
      <c r="B8" s="1748"/>
      <c r="C8" s="1748"/>
      <c r="D8" s="1748"/>
      <c r="E8" s="1748"/>
      <c r="F8" s="1748"/>
      <c r="G8" s="1748"/>
      <c r="H8" s="1748"/>
      <c r="I8" s="1748"/>
      <c r="J8" s="1748"/>
      <c r="K8" s="1748"/>
      <c r="L8" s="1748"/>
      <c r="M8" s="1748"/>
      <c r="N8" s="102"/>
    </row>
    <row r="9" spans="1:14">
      <c r="A9" s="1748"/>
      <c r="B9" s="1748"/>
      <c r="C9" s="1748"/>
      <c r="D9" s="1748"/>
      <c r="E9" s="1748"/>
      <c r="F9" s="1748"/>
      <c r="G9" s="1748"/>
      <c r="H9" s="1748"/>
      <c r="I9" s="1748"/>
      <c r="J9" s="1748"/>
      <c r="K9" s="1748"/>
      <c r="L9" s="1748"/>
      <c r="M9" s="1748"/>
      <c r="N9" s="102"/>
    </row>
    <row r="10" spans="1:14" ht="38.25" customHeight="1">
      <c r="A10" s="1748"/>
      <c r="B10" s="1748"/>
      <c r="C10" s="1748"/>
      <c r="D10" s="1748"/>
      <c r="E10" s="1748"/>
      <c r="F10" s="1748"/>
      <c r="G10" s="1748"/>
      <c r="H10" s="1748"/>
      <c r="I10" s="1748"/>
      <c r="J10" s="1748"/>
      <c r="K10" s="1748"/>
      <c r="L10" s="1748"/>
      <c r="M10" s="1748"/>
      <c r="N10" s="102"/>
    </row>
    <row r="11" spans="1:14">
      <c r="A11" s="1748"/>
      <c r="B11" s="1748"/>
      <c r="C11" s="1748"/>
      <c r="D11" s="1748"/>
      <c r="E11" s="1748"/>
      <c r="F11" s="1748"/>
      <c r="G11" s="1748"/>
      <c r="H11" s="1748"/>
      <c r="I11" s="1748"/>
      <c r="J11" s="1748"/>
      <c r="K11" s="1748"/>
      <c r="L11" s="1748"/>
      <c r="M11" s="1748"/>
      <c r="N11" s="102"/>
    </row>
    <row r="12" spans="1:14">
      <c r="A12" s="1748"/>
      <c r="B12" s="1748"/>
      <c r="C12" s="1748"/>
      <c r="D12" s="1748"/>
      <c r="E12" s="1748"/>
      <c r="F12" s="1748"/>
      <c r="G12" s="1748"/>
      <c r="H12" s="1748"/>
      <c r="I12" s="1748"/>
      <c r="J12" s="1748"/>
      <c r="K12" s="1748"/>
      <c r="L12" s="1748"/>
      <c r="M12" s="1748"/>
      <c r="N12" s="102"/>
    </row>
    <row r="13" spans="1:14">
      <c r="A13" s="1748"/>
      <c r="B13" s="1748"/>
      <c r="C13" s="1748"/>
      <c r="D13" s="1748"/>
      <c r="E13" s="1748"/>
      <c r="F13" s="1748"/>
      <c r="G13" s="1748"/>
      <c r="H13" s="1748"/>
      <c r="I13" s="1748"/>
      <c r="J13" s="1748"/>
      <c r="K13" s="1748"/>
      <c r="L13" s="1748"/>
      <c r="M13" s="1748"/>
      <c r="N13" s="102"/>
    </row>
    <row r="14" spans="1:14">
      <c r="A14" s="1748"/>
      <c r="B14" s="1748"/>
      <c r="C14" s="1748"/>
      <c r="D14" s="1748"/>
      <c r="E14" s="1748"/>
      <c r="F14" s="1748"/>
      <c r="G14" s="1748"/>
      <c r="H14" s="1748"/>
      <c r="I14" s="1748"/>
      <c r="J14" s="1748"/>
      <c r="K14" s="1748"/>
      <c r="L14" s="1748"/>
      <c r="M14" s="1748"/>
      <c r="N14" s="102"/>
    </row>
    <row r="15" spans="1:14">
      <c r="A15" s="1748"/>
      <c r="B15" s="1748"/>
      <c r="C15" s="1748"/>
      <c r="D15" s="1748"/>
      <c r="E15" s="1748"/>
      <c r="F15" s="1748"/>
      <c r="G15" s="1748"/>
      <c r="H15" s="1748"/>
      <c r="I15" s="1748"/>
      <c r="J15" s="1748"/>
      <c r="K15" s="1748"/>
      <c r="L15" s="1748"/>
      <c r="M15" s="1748"/>
      <c r="N15" s="102"/>
    </row>
    <row r="16" spans="1:14">
      <c r="A16" s="1748"/>
      <c r="B16" s="1748"/>
      <c r="C16" s="1748"/>
      <c r="D16" s="1748"/>
      <c r="E16" s="1748"/>
      <c r="F16" s="1748"/>
      <c r="G16" s="1748"/>
      <c r="H16" s="1748"/>
      <c r="I16" s="1748"/>
      <c r="J16" s="1748"/>
      <c r="K16" s="1748"/>
      <c r="L16" s="1748"/>
      <c r="M16" s="1748"/>
      <c r="N16" s="102"/>
    </row>
    <row r="17" spans="1:14">
      <c r="A17" s="1748"/>
      <c r="B17" s="1748"/>
      <c r="C17" s="1748"/>
      <c r="D17" s="1748"/>
      <c r="E17" s="1748"/>
      <c r="F17" s="1748"/>
      <c r="G17" s="1748"/>
      <c r="H17" s="1748"/>
      <c r="I17" s="1748"/>
      <c r="J17" s="1748"/>
      <c r="K17" s="1748"/>
      <c r="L17" s="1748"/>
      <c r="M17" s="1748"/>
      <c r="N17" s="102"/>
    </row>
    <row r="18" spans="1:14">
      <c r="A18" s="1748"/>
      <c r="B18" s="1748"/>
      <c r="C18" s="1748"/>
      <c r="D18" s="1748"/>
      <c r="E18" s="1748"/>
      <c r="F18" s="1748"/>
      <c r="G18" s="1748"/>
      <c r="H18" s="1748"/>
      <c r="I18" s="1748"/>
      <c r="J18" s="1748"/>
      <c r="K18" s="1748"/>
      <c r="L18" s="1748"/>
      <c r="M18" s="1748"/>
      <c r="N18" s="102"/>
    </row>
    <row r="19" spans="1:14">
      <c r="A19" s="1748"/>
      <c r="B19" s="1748"/>
      <c r="C19" s="1748"/>
      <c r="D19" s="1748"/>
      <c r="E19" s="1748"/>
      <c r="F19" s="1748"/>
      <c r="G19" s="1748"/>
      <c r="H19" s="1748"/>
      <c r="I19" s="1748"/>
      <c r="J19" s="1748"/>
      <c r="K19" s="1748"/>
      <c r="L19" s="1748"/>
      <c r="M19" s="1748"/>
      <c r="N19" s="102"/>
    </row>
    <row r="20" spans="1:14">
      <c r="A20" s="1748"/>
      <c r="B20" s="1748"/>
      <c r="C20" s="1748"/>
      <c r="D20" s="1748"/>
      <c r="E20" s="1748"/>
      <c r="F20" s="1748"/>
      <c r="G20" s="1748"/>
      <c r="H20" s="1748"/>
      <c r="I20" s="1748"/>
      <c r="J20" s="1748"/>
      <c r="K20" s="1748"/>
      <c r="L20" s="1748"/>
      <c r="M20" s="1748"/>
      <c r="N20" s="102"/>
    </row>
    <row r="21" spans="1:14">
      <c r="A21" s="1748"/>
      <c r="B21" s="1748"/>
      <c r="C21" s="1748"/>
      <c r="D21" s="1748"/>
      <c r="E21" s="1748"/>
      <c r="F21" s="1748"/>
      <c r="G21" s="1748"/>
      <c r="H21" s="1748"/>
      <c r="I21" s="1748"/>
      <c r="J21" s="1748"/>
      <c r="K21" s="1748"/>
      <c r="L21" s="1748"/>
      <c r="M21" s="1748"/>
      <c r="N21" s="102"/>
    </row>
    <row r="22" spans="1:14">
      <c r="A22" s="1748"/>
      <c r="B22" s="1748"/>
      <c r="C22" s="1748"/>
      <c r="D22" s="1748"/>
      <c r="E22" s="1748"/>
      <c r="F22" s="1748"/>
      <c r="G22" s="1748"/>
      <c r="H22" s="1748"/>
      <c r="I22" s="1748"/>
      <c r="J22" s="1748"/>
      <c r="K22" s="1748"/>
      <c r="L22" s="1748"/>
      <c r="M22" s="1748"/>
      <c r="N22" s="102"/>
    </row>
    <row r="23" spans="1:14">
      <c r="A23" s="1748"/>
      <c r="B23" s="1748"/>
      <c r="C23" s="1748"/>
      <c r="D23" s="1748"/>
      <c r="E23" s="1748"/>
      <c r="F23" s="1748"/>
      <c r="G23" s="1748"/>
      <c r="H23" s="1748"/>
      <c r="I23" s="1748"/>
      <c r="J23" s="1748"/>
      <c r="K23" s="1748"/>
      <c r="L23" s="1748"/>
      <c r="M23" s="1748"/>
      <c r="N23" s="102"/>
    </row>
    <row r="24" spans="1:14">
      <c r="A24" s="1748"/>
      <c r="B24" s="1748"/>
      <c r="C24" s="1748"/>
      <c r="D24" s="1748"/>
      <c r="E24" s="1748"/>
      <c r="F24" s="1748"/>
      <c r="G24" s="1748"/>
      <c r="H24" s="1748"/>
      <c r="I24" s="1748"/>
      <c r="J24" s="1748"/>
      <c r="K24" s="1748"/>
      <c r="L24" s="1748"/>
      <c r="M24" s="1748"/>
      <c r="N24" s="102"/>
    </row>
    <row r="25" spans="1:14">
      <c r="A25" s="1748"/>
      <c r="B25" s="1748"/>
      <c r="C25" s="1748"/>
      <c r="D25" s="1748"/>
      <c r="E25" s="1748"/>
      <c r="F25" s="1748"/>
      <c r="G25" s="1748"/>
      <c r="H25" s="1748"/>
      <c r="I25" s="1748"/>
      <c r="J25" s="1748"/>
      <c r="K25" s="1748"/>
      <c r="L25" s="1748"/>
      <c r="M25" s="1748"/>
      <c r="N25" s="102"/>
    </row>
    <row r="26" spans="1:14">
      <c r="A26" s="1748"/>
      <c r="B26" s="1748"/>
      <c r="C26" s="1748"/>
      <c r="D26" s="1748"/>
      <c r="E26" s="1748"/>
      <c r="F26" s="1748"/>
      <c r="G26" s="1748"/>
      <c r="H26" s="1748"/>
      <c r="I26" s="1748"/>
      <c r="J26" s="1748"/>
      <c r="K26" s="1748"/>
      <c r="L26" s="1748"/>
      <c r="M26" s="1748"/>
      <c r="N26" s="102"/>
    </row>
    <row r="27" spans="1:14">
      <c r="A27" s="1748"/>
      <c r="B27" s="1748"/>
      <c r="C27" s="1748"/>
      <c r="D27" s="1748"/>
      <c r="E27" s="1748"/>
      <c r="F27" s="1748"/>
      <c r="G27" s="1748"/>
      <c r="H27" s="1748"/>
      <c r="I27" s="1748"/>
      <c r="J27" s="1748"/>
      <c r="K27" s="1748"/>
      <c r="L27" s="1748"/>
      <c r="M27" s="1748"/>
      <c r="N27" s="102"/>
    </row>
    <row r="28" spans="1:14">
      <c r="A28" s="1748"/>
      <c r="B28" s="1748"/>
      <c r="C28" s="1748"/>
      <c r="D28" s="1748"/>
      <c r="E28" s="1748"/>
      <c r="F28" s="1748"/>
      <c r="G28" s="1748"/>
      <c r="H28" s="1748"/>
      <c r="I28" s="1748"/>
      <c r="J28" s="1748"/>
      <c r="K28" s="1748"/>
      <c r="L28" s="1748"/>
      <c r="M28" s="1748"/>
      <c r="N28" s="102"/>
    </row>
    <row r="29" spans="1:14">
      <c r="A29" s="1748"/>
      <c r="B29" s="1748"/>
      <c r="C29" s="1748"/>
      <c r="D29" s="1748"/>
      <c r="E29" s="1748"/>
      <c r="F29" s="1748"/>
      <c r="G29" s="1748"/>
      <c r="H29" s="1748"/>
      <c r="I29" s="1748"/>
      <c r="J29" s="1748"/>
      <c r="K29" s="1748"/>
      <c r="L29" s="1748"/>
      <c r="M29" s="1748"/>
      <c r="N29" s="102"/>
    </row>
    <row r="30" spans="1:14">
      <c r="A30" s="1748"/>
      <c r="B30" s="1748"/>
      <c r="C30" s="1748"/>
      <c r="D30" s="1748"/>
      <c r="E30" s="1748"/>
      <c r="F30" s="1748"/>
      <c r="G30" s="1748"/>
      <c r="H30" s="1748"/>
      <c r="I30" s="1748"/>
      <c r="J30" s="1748"/>
      <c r="K30" s="1748"/>
      <c r="L30" s="1748"/>
      <c r="M30" s="1748"/>
      <c r="N30" s="102"/>
    </row>
    <row r="31" spans="1:14">
      <c r="A31" s="1748"/>
      <c r="B31" s="1748"/>
      <c r="C31" s="1748"/>
      <c r="D31" s="1748"/>
      <c r="E31" s="1748"/>
      <c r="F31" s="1748"/>
      <c r="G31" s="1748"/>
      <c r="H31" s="1748"/>
      <c r="I31" s="1748"/>
      <c r="J31" s="1748"/>
      <c r="K31" s="1748"/>
      <c r="L31" s="1748"/>
      <c r="M31" s="1748"/>
      <c r="N31" s="102"/>
    </row>
    <row r="32" spans="1:14">
      <c r="A32" s="1748"/>
      <c r="B32" s="1748"/>
      <c r="C32" s="1748"/>
      <c r="D32" s="1748"/>
      <c r="E32" s="1748"/>
      <c r="F32" s="1748"/>
      <c r="G32" s="1748"/>
      <c r="H32" s="1748"/>
      <c r="I32" s="1748"/>
      <c r="J32" s="1748"/>
      <c r="K32" s="1748"/>
      <c r="L32" s="1748"/>
      <c r="M32" s="1748"/>
      <c r="N32" s="102"/>
    </row>
    <row r="33" spans="1:14">
      <c r="A33" s="1748"/>
      <c r="B33" s="1748"/>
      <c r="C33" s="1748"/>
      <c r="D33" s="1748"/>
      <c r="E33" s="1748"/>
      <c r="F33" s="1748"/>
      <c r="G33" s="1748"/>
      <c r="H33" s="1748"/>
      <c r="I33" s="1748"/>
      <c r="J33" s="1748"/>
      <c r="K33" s="1748"/>
      <c r="L33" s="1748"/>
      <c r="M33" s="1748"/>
      <c r="N33" s="102"/>
    </row>
    <row r="34" spans="1:14">
      <c r="A34" s="1748"/>
      <c r="B34" s="1748"/>
      <c r="C34" s="1748"/>
      <c r="D34" s="1748"/>
      <c r="E34" s="1748"/>
      <c r="F34" s="1748"/>
      <c r="G34" s="1748"/>
      <c r="H34" s="1748"/>
      <c r="I34" s="1748"/>
      <c r="J34" s="1748"/>
      <c r="K34" s="1748"/>
      <c r="L34" s="1748"/>
      <c r="M34" s="1748"/>
      <c r="N34" s="102"/>
    </row>
    <row r="35" spans="1:14">
      <c r="A35" s="1748"/>
      <c r="B35" s="1748"/>
      <c r="C35" s="1748"/>
      <c r="D35" s="1748"/>
      <c r="E35" s="1748"/>
      <c r="F35" s="1748"/>
      <c r="G35" s="1748"/>
      <c r="H35" s="1748"/>
      <c r="I35" s="1748"/>
      <c r="J35" s="1748"/>
      <c r="K35" s="1748"/>
      <c r="L35" s="1748"/>
      <c r="M35" s="1748"/>
      <c r="N35" s="102"/>
    </row>
    <row r="36" spans="1:14">
      <c r="A36" s="1748"/>
      <c r="B36" s="1748"/>
      <c r="C36" s="1748"/>
      <c r="D36" s="1748"/>
      <c r="E36" s="1748"/>
      <c r="F36" s="1748"/>
      <c r="G36" s="1748"/>
      <c r="H36" s="1748"/>
      <c r="I36" s="1748"/>
      <c r="J36" s="1748"/>
      <c r="K36" s="1748"/>
      <c r="L36" s="1748"/>
      <c r="M36" s="1748"/>
      <c r="N36" s="102"/>
    </row>
    <row r="37" spans="1:14">
      <c r="A37" s="1748"/>
      <c r="B37" s="1748"/>
      <c r="C37" s="1748"/>
      <c r="D37" s="1748"/>
      <c r="E37" s="1748"/>
      <c r="F37" s="1748"/>
      <c r="G37" s="1748"/>
      <c r="H37" s="1748"/>
      <c r="I37" s="1748"/>
      <c r="J37" s="1748"/>
      <c r="K37" s="1748"/>
      <c r="L37" s="1748"/>
      <c r="M37" s="1748"/>
      <c r="N37" s="102"/>
    </row>
    <row r="38" spans="1:14">
      <c r="A38" s="1748"/>
      <c r="B38" s="1748"/>
      <c r="C38" s="1748"/>
      <c r="D38" s="1748"/>
      <c r="E38" s="1748"/>
      <c r="F38" s="1748"/>
      <c r="G38" s="1748"/>
      <c r="H38" s="1748"/>
      <c r="I38" s="1748"/>
      <c r="J38" s="1748"/>
      <c r="K38" s="1748"/>
      <c r="L38" s="1748"/>
      <c r="M38" s="1748"/>
      <c r="N38" s="102"/>
    </row>
    <row r="39" spans="1:14">
      <c r="A39" s="1748"/>
      <c r="B39" s="1748"/>
      <c r="C39" s="1748"/>
      <c r="D39" s="1748"/>
      <c r="E39" s="1748"/>
      <c r="F39" s="1748"/>
      <c r="G39" s="1748"/>
      <c r="H39" s="1748"/>
      <c r="I39" s="1748"/>
      <c r="J39" s="1748"/>
      <c r="K39" s="1748"/>
      <c r="L39" s="1748"/>
      <c r="M39" s="1748"/>
      <c r="N39" s="102"/>
    </row>
    <row r="40" spans="1:14">
      <c r="A40" s="102"/>
      <c r="B40" s="102"/>
      <c r="C40" s="102"/>
      <c r="D40" s="102"/>
      <c r="E40" s="102"/>
      <c r="F40" s="102"/>
      <c r="G40" s="102"/>
      <c r="H40" s="102"/>
      <c r="I40" s="102"/>
      <c r="J40" s="102"/>
      <c r="K40" s="102"/>
      <c r="L40" s="102"/>
      <c r="M40" s="102"/>
      <c r="N40" s="102"/>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P35" sqref="P35"/>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20:O30"/>
  <sheetViews>
    <sheetView showGridLines="0" view="pageBreakPreview" zoomScale="85" zoomScaleNormal="100" zoomScaleSheetLayoutView="85" workbookViewId="0">
      <selection activeCell="N20" sqref="N20"/>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row r="20" spans="14:15">
      <c r="N20" s="19"/>
    </row>
    <row r="21" spans="14:15">
      <c r="N21" s="19"/>
    </row>
    <row r="23" spans="14:15">
      <c r="O23" s="19"/>
    </row>
    <row r="30" spans="14:15">
      <c r="N30" s="19"/>
    </row>
  </sheetData>
  <pageMargins left="0.70866141732283472" right="0.70866141732283472" top="0.74803149606299213" bottom="0.74803149606299213" header="0.31496062992125984" footer="0.31496062992125984"/>
  <pageSetup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2"/>
  <sheetViews>
    <sheetView showGridLines="0" view="pageBreakPreview" zoomScale="70" zoomScaleNormal="100" zoomScaleSheetLayoutView="70" workbookViewId="0">
      <pane ySplit="1" topLeftCell="A2" activePane="bottomLeft" state="frozen"/>
      <selection activeCell="M22" sqref="M22"/>
      <selection pane="bottomLeft" activeCell="I7" sqref="I7"/>
    </sheetView>
  </sheetViews>
  <sheetFormatPr baseColWidth="10" defaultColWidth="11.42578125" defaultRowHeight="15"/>
  <cols>
    <col min="1" max="1" width="13.7109375" style="212" customWidth="1"/>
    <col min="2" max="2" width="12" style="84" customWidth="1"/>
    <col min="3" max="3" width="17.7109375" style="84" customWidth="1"/>
    <col min="4" max="4" width="15.28515625" style="84" customWidth="1"/>
    <col min="5" max="5" width="16.42578125" style="84" customWidth="1"/>
    <col min="6" max="6" width="18.140625" style="84" customWidth="1"/>
    <col min="7" max="7" width="22.42578125" style="84"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88.5" customHeight="1">
      <c r="A1" s="1780"/>
      <c r="B1" s="1780"/>
      <c r="C1" s="1780"/>
      <c r="D1" s="1780"/>
      <c r="E1" s="1780"/>
      <c r="F1" s="1780"/>
      <c r="G1" s="1780"/>
      <c r="H1" s="1780"/>
      <c r="I1" s="1780"/>
      <c r="J1" s="1780"/>
      <c r="K1" s="1780"/>
      <c r="L1" s="1780"/>
      <c r="M1" s="1780"/>
      <c r="N1" s="1780"/>
      <c r="P1" s="277"/>
    </row>
    <row r="2" spans="1:16" s="44" customFormat="1" ht="10.5" customHeight="1">
      <c r="A2" s="448"/>
      <c r="B2" s="203"/>
      <c r="C2" s="203"/>
      <c r="D2" s="203"/>
      <c r="E2" s="203"/>
      <c r="F2" s="203"/>
      <c r="G2" s="203"/>
      <c r="H2" s="203"/>
      <c r="I2" s="203"/>
      <c r="J2" s="203"/>
      <c r="K2" s="203"/>
      <c r="L2" s="203"/>
      <c r="M2" s="203"/>
      <c r="N2" s="203"/>
      <c r="P2" s="202"/>
    </row>
    <row r="3" spans="1:16" ht="31.5">
      <c r="A3" s="467" t="s">
        <v>25</v>
      </c>
      <c r="B3" s="449" t="s">
        <v>557</v>
      </c>
      <c r="C3" s="450" t="s">
        <v>558</v>
      </c>
      <c r="D3" s="450" t="s">
        <v>153</v>
      </c>
      <c r="E3" s="449" t="s">
        <v>157</v>
      </c>
      <c r="F3" s="450" t="s">
        <v>158</v>
      </c>
      <c r="G3" s="353" t="s">
        <v>587</v>
      </c>
      <c r="H3"/>
      <c r="I3"/>
      <c r="J3"/>
      <c r="K3"/>
      <c r="L3"/>
      <c r="M3"/>
      <c r="N3"/>
    </row>
    <row r="4" spans="1:16" ht="15.75" hidden="1">
      <c r="A4" s="1181" t="s">
        <v>26</v>
      </c>
      <c r="B4" s="1182">
        <v>38517</v>
      </c>
      <c r="C4" s="1183">
        <v>13533</v>
      </c>
      <c r="D4" s="1184">
        <f>B4+C4</f>
        <v>52050</v>
      </c>
      <c r="E4" s="1185">
        <f>B4/D4</f>
        <v>0.74</v>
      </c>
      <c r="F4" s="1186">
        <f>C4/D4</f>
        <v>0.26</v>
      </c>
      <c r="G4" s="1187">
        <f>C4/B4</f>
        <v>0.35135135135135137</v>
      </c>
      <c r="H4"/>
      <c r="I4"/>
      <c r="J4"/>
      <c r="K4"/>
      <c r="L4"/>
      <c r="M4"/>
      <c r="N4"/>
    </row>
    <row r="5" spans="1:16" ht="15.75" hidden="1">
      <c r="A5" s="1181" t="s">
        <v>27</v>
      </c>
      <c r="B5" s="935">
        <v>52578</v>
      </c>
      <c r="C5" s="866">
        <v>14840</v>
      </c>
      <c r="D5" s="977">
        <f t="shared" ref="D5:D16" si="0">B5+C5</f>
        <v>67418</v>
      </c>
      <c r="E5" s="1188">
        <f t="shared" ref="E5:E11" si="1">B5/D5</f>
        <v>0.77988074401495144</v>
      </c>
      <c r="F5" s="1189">
        <f>C5/D5</f>
        <v>0.2201192559850485</v>
      </c>
      <c r="G5" s="1190">
        <f t="shared" ref="G5:G13" si="2">C5/B5</f>
        <v>0.2822473277796797</v>
      </c>
      <c r="H5"/>
      <c r="I5"/>
      <c r="J5"/>
      <c r="K5"/>
      <c r="L5"/>
      <c r="M5"/>
      <c r="N5"/>
    </row>
    <row r="6" spans="1:16" ht="15.75">
      <c r="A6" s="1191" t="s">
        <v>28</v>
      </c>
      <c r="B6" s="1182">
        <v>106192</v>
      </c>
      <c r="C6" s="1183">
        <v>147182</v>
      </c>
      <c r="D6" s="1192">
        <f>B6+C6</f>
        <v>253374</v>
      </c>
      <c r="E6" s="1185">
        <f t="shared" si="1"/>
        <v>0.41911166891630552</v>
      </c>
      <c r="F6" s="1186">
        <f>C6/D6</f>
        <v>0.58088833108369442</v>
      </c>
      <c r="G6" s="1187">
        <f t="shared" si="2"/>
        <v>1.3859989453066144</v>
      </c>
      <c r="H6"/>
      <c r="I6"/>
      <c r="J6"/>
      <c r="K6"/>
      <c r="L6"/>
      <c r="M6"/>
      <c r="N6"/>
    </row>
    <row r="7" spans="1:16" ht="15.75">
      <c r="A7" s="1191" t="s">
        <v>29</v>
      </c>
      <c r="B7" s="935">
        <v>258701</v>
      </c>
      <c r="C7" s="866">
        <v>255339</v>
      </c>
      <c r="D7" s="977">
        <f t="shared" si="0"/>
        <v>514040</v>
      </c>
      <c r="E7" s="1188">
        <f t="shared" si="1"/>
        <v>0.50327017352735193</v>
      </c>
      <c r="F7" s="1189">
        <f>C7/D7</f>
        <v>0.49672982647264802</v>
      </c>
      <c r="G7" s="1190">
        <f t="shared" si="2"/>
        <v>0.9870043022640036</v>
      </c>
      <c r="H7"/>
      <c r="I7"/>
      <c r="J7"/>
      <c r="K7"/>
      <c r="L7"/>
      <c r="N7"/>
    </row>
    <row r="8" spans="1:16" ht="15.75">
      <c r="A8" s="1191" t="s">
        <v>30</v>
      </c>
      <c r="B8" s="935">
        <v>473647</v>
      </c>
      <c r="C8" s="1193">
        <v>608289</v>
      </c>
      <c r="D8" s="1194">
        <f t="shared" si="0"/>
        <v>1081936</v>
      </c>
      <c r="E8" s="1188">
        <f t="shared" si="1"/>
        <v>0.43777728072640154</v>
      </c>
      <c r="F8" s="1195">
        <f t="shared" ref="F8:F13" si="3">+C8/D8</f>
        <v>0.56222271927359846</v>
      </c>
      <c r="G8" s="1190">
        <f t="shared" si="2"/>
        <v>1.2842665529392143</v>
      </c>
      <c r="H8"/>
      <c r="I8"/>
      <c r="J8"/>
      <c r="K8"/>
      <c r="L8"/>
      <c r="N8"/>
    </row>
    <row r="9" spans="1:16" ht="15.75">
      <c r="A9" s="1191" t="s">
        <v>31</v>
      </c>
      <c r="B9" s="1196">
        <v>489949</v>
      </c>
      <c r="C9" s="1193">
        <v>734949</v>
      </c>
      <c r="D9" s="1194">
        <f t="shared" si="0"/>
        <v>1224898</v>
      </c>
      <c r="E9" s="1188">
        <f t="shared" si="1"/>
        <v>0.39999167277601888</v>
      </c>
      <c r="F9" s="1195">
        <f t="shared" si="3"/>
        <v>0.60000832722398112</v>
      </c>
      <c r="G9" s="1190">
        <f t="shared" si="2"/>
        <v>1.5000520462333835</v>
      </c>
      <c r="H9"/>
      <c r="I9"/>
      <c r="J9"/>
      <c r="K9"/>
      <c r="L9"/>
      <c r="N9"/>
      <c r="O9" s="19"/>
    </row>
    <row r="10" spans="1:16" ht="15.75">
      <c r="A10" s="1191" t="s">
        <v>32</v>
      </c>
      <c r="B10" s="1196">
        <v>622049</v>
      </c>
      <c r="C10" s="1193">
        <v>782176</v>
      </c>
      <c r="D10" s="1194">
        <f t="shared" si="0"/>
        <v>1404225</v>
      </c>
      <c r="E10" s="1188">
        <f t="shared" si="1"/>
        <v>0.44298385230287168</v>
      </c>
      <c r="F10" s="1195">
        <f t="shared" si="3"/>
        <v>0.55701614769712826</v>
      </c>
      <c r="G10" s="1190">
        <f t="shared" si="2"/>
        <v>1.2574186277929873</v>
      </c>
      <c r="H10"/>
      <c r="I10"/>
      <c r="J10"/>
      <c r="K10"/>
      <c r="L10"/>
      <c r="N10"/>
    </row>
    <row r="11" spans="1:16" ht="15" customHeight="1">
      <c r="A11" s="1191" t="s">
        <v>196</v>
      </c>
      <c r="B11" s="1196">
        <v>903250</v>
      </c>
      <c r="C11" s="1193">
        <v>1110536</v>
      </c>
      <c r="D11" s="1194">
        <f t="shared" si="0"/>
        <v>2013786</v>
      </c>
      <c r="E11" s="1188">
        <f t="shared" si="1"/>
        <v>0.44853326023718509</v>
      </c>
      <c r="F11" s="1195">
        <f t="shared" si="3"/>
        <v>0.55146673976281491</v>
      </c>
      <c r="G11" s="1190">
        <f t="shared" si="2"/>
        <v>1.229489067257127</v>
      </c>
      <c r="H11"/>
      <c r="I11"/>
      <c r="J11"/>
      <c r="K11"/>
      <c r="L11"/>
      <c r="M11"/>
      <c r="N11"/>
    </row>
    <row r="12" spans="1:16" ht="15.75">
      <c r="A12" s="1191" t="s">
        <v>244</v>
      </c>
      <c r="B12" s="1196">
        <v>883775</v>
      </c>
      <c r="C12" s="1193">
        <v>1119652</v>
      </c>
      <c r="D12" s="1194">
        <f t="shared" si="0"/>
        <v>2003427</v>
      </c>
      <c r="E12" s="1188">
        <f>B12/D12</f>
        <v>0.44113162096747222</v>
      </c>
      <c r="F12" s="1195">
        <f t="shared" si="3"/>
        <v>0.55886837903252773</v>
      </c>
      <c r="G12" s="1190">
        <f t="shared" si="2"/>
        <v>1.2668971174789962</v>
      </c>
      <c r="H12"/>
      <c r="I12"/>
      <c r="J12"/>
      <c r="K12"/>
      <c r="L12"/>
      <c r="M12"/>
      <c r="N12"/>
    </row>
    <row r="13" spans="1:16" ht="15.75">
      <c r="A13" s="1191" t="s">
        <v>498</v>
      </c>
      <c r="B13" s="1196">
        <v>1178040</v>
      </c>
      <c r="C13" s="1193">
        <v>1125311</v>
      </c>
      <c r="D13" s="1194">
        <f t="shared" si="0"/>
        <v>2303351</v>
      </c>
      <c r="E13" s="1188">
        <f>B13/D13</f>
        <v>0.51144614954472856</v>
      </c>
      <c r="F13" s="1195">
        <f t="shared" si="3"/>
        <v>0.4885538504552715</v>
      </c>
      <c r="G13" s="1190">
        <f t="shared" si="2"/>
        <v>0.95524005976027981</v>
      </c>
      <c r="H13"/>
      <c r="I13"/>
      <c r="J13"/>
      <c r="K13"/>
      <c r="L13"/>
      <c r="M13"/>
      <c r="N13"/>
    </row>
    <row r="14" spans="1:16" ht="15.75">
      <c r="A14" s="1191" t="s">
        <v>589</v>
      </c>
      <c r="B14" s="1196">
        <v>1568225</v>
      </c>
      <c r="C14" s="1193">
        <v>1183528</v>
      </c>
      <c r="D14" s="1194">
        <f t="shared" si="0"/>
        <v>2751753</v>
      </c>
      <c r="E14" s="1188">
        <f>B14/D14</f>
        <v>0.56990035079456625</v>
      </c>
      <c r="F14" s="1195">
        <f>+C14/D14</f>
        <v>0.43009964920543375</v>
      </c>
      <c r="G14" s="1190">
        <f>C14/B14</f>
        <v>0.75469272585247649</v>
      </c>
    </row>
    <row r="15" spans="1:16" ht="15.75">
      <c r="A15" s="1191" t="s">
        <v>630</v>
      </c>
      <c r="B15" s="1196">
        <v>1795214</v>
      </c>
      <c r="C15" s="1193">
        <v>1220432</v>
      </c>
      <c r="D15" s="1194">
        <f t="shared" si="0"/>
        <v>3015646</v>
      </c>
      <c r="E15" s="1188">
        <f>B15/D15</f>
        <v>0.5952999788436707</v>
      </c>
      <c r="F15" s="1195">
        <f>+C15/D15</f>
        <v>0.40470002115632936</v>
      </c>
      <c r="G15" s="1190">
        <f>C15/B15</f>
        <v>0.67982535786819842</v>
      </c>
    </row>
    <row r="16" spans="1:16" ht="15.75">
      <c r="A16" s="1197" t="s">
        <v>632</v>
      </c>
      <c r="B16" s="1198">
        <v>1786117</v>
      </c>
      <c r="C16" s="1199">
        <v>1215864</v>
      </c>
      <c r="D16" s="1200">
        <f t="shared" si="0"/>
        <v>3001981</v>
      </c>
      <c r="E16" s="1201">
        <f>B16/D16</f>
        <v>0.59497944857079377</v>
      </c>
      <c r="F16" s="1202">
        <f>+C16/D16</f>
        <v>0.40502055142920623</v>
      </c>
      <c r="G16" s="1203">
        <f>C16/B16</f>
        <v>0.68073032169785075</v>
      </c>
    </row>
    <row r="17" spans="8:15">
      <c r="H17"/>
      <c r="I17"/>
      <c r="J17"/>
      <c r="K17"/>
      <c r="L17"/>
      <c r="M17"/>
      <c r="N17"/>
    </row>
    <row r="32" spans="8:15">
      <c r="O32" s="84" t="s">
        <v>33</v>
      </c>
    </row>
  </sheetData>
  <mergeCells count="1">
    <mergeCell ref="A1:N1"/>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61"/>
  <sheetViews>
    <sheetView showGridLines="0" view="pageBreakPreview" topLeftCell="A2" zoomScale="85" zoomScaleNormal="70" zoomScaleSheetLayoutView="85" workbookViewId="0">
      <selection activeCell="I30" sqref="I30"/>
    </sheetView>
  </sheetViews>
  <sheetFormatPr baseColWidth="10" defaultColWidth="11.42578125" defaultRowHeight="15"/>
  <cols>
    <col min="1" max="1" width="11.42578125" style="84" customWidth="1"/>
    <col min="2" max="2" width="11.7109375" style="84" customWidth="1"/>
    <col min="3" max="3" width="12.42578125" style="84" customWidth="1"/>
    <col min="4" max="4" width="12.5703125" style="84" customWidth="1"/>
    <col min="5" max="5" width="11.2851562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9.85546875" style="84" customWidth="1"/>
    <col min="15" max="15" width="20" style="84" customWidth="1"/>
    <col min="16" max="16384" width="11.42578125" style="84"/>
  </cols>
  <sheetData>
    <row r="1" spans="1:14" ht="60.75" customHeight="1">
      <c r="A1" s="1781"/>
      <c r="B1" s="1781"/>
      <c r="C1" s="1781"/>
      <c r="D1" s="1781"/>
      <c r="E1" s="1781"/>
      <c r="F1" s="1781"/>
      <c r="G1" s="1781"/>
      <c r="H1" s="1781"/>
      <c r="I1" s="1781"/>
      <c r="J1" s="1781"/>
      <c r="K1" s="1781"/>
      <c r="L1" s="1781"/>
      <c r="M1" s="1781"/>
      <c r="N1" s="1781"/>
    </row>
    <row r="2" spans="1:14" s="44" customFormat="1" ht="3" customHeight="1">
      <c r="A2" s="203"/>
      <c r="B2" s="203"/>
      <c r="C2" s="203"/>
      <c r="D2" s="203"/>
      <c r="E2" s="203"/>
      <c r="F2" s="203"/>
      <c r="G2" s="203"/>
      <c r="H2" s="203"/>
      <c r="I2" s="203"/>
      <c r="J2" s="203"/>
      <c r="K2" s="203"/>
      <c r="L2" s="203"/>
    </row>
    <row r="3" spans="1:14" ht="36.75" customHeight="1">
      <c r="A3" s="1383" t="s">
        <v>250</v>
      </c>
      <c r="B3" s="1381" t="s">
        <v>557</v>
      </c>
      <c r="C3" s="1381" t="s">
        <v>558</v>
      </c>
      <c r="D3" s="1381" t="s">
        <v>153</v>
      </c>
      <c r="E3" s="1382" t="s">
        <v>609</v>
      </c>
    </row>
    <row r="4" spans="1:14" hidden="1">
      <c r="A4" s="1348" t="s">
        <v>478</v>
      </c>
      <c r="B4" s="1374">
        <v>846161</v>
      </c>
      <c r="C4" s="1374">
        <v>1164478</v>
      </c>
      <c r="D4" s="1375">
        <f t="shared" ref="D4:D18" si="0">B4+C4</f>
        <v>2010639</v>
      </c>
      <c r="E4" s="1376">
        <f t="shared" ref="E4:E25" si="1">B4/D4</f>
        <v>0.42084183187533913</v>
      </c>
    </row>
    <row r="5" spans="1:14" hidden="1">
      <c r="A5" s="1348" t="s">
        <v>441</v>
      </c>
      <c r="B5" s="1374">
        <v>842157</v>
      </c>
      <c r="C5" s="1374">
        <v>1175266</v>
      </c>
      <c r="D5" s="1375">
        <f t="shared" si="0"/>
        <v>2017423</v>
      </c>
      <c r="E5" s="1376">
        <f t="shared" si="1"/>
        <v>0.41744195441412141</v>
      </c>
    </row>
    <row r="6" spans="1:14" hidden="1">
      <c r="A6" s="1348" t="s">
        <v>479</v>
      </c>
      <c r="B6" s="1374">
        <v>838987</v>
      </c>
      <c r="C6" s="1374">
        <f>+'[3]IV.2.1.1 fil anual SFS RS '!C12</f>
        <v>1206294</v>
      </c>
      <c r="D6" s="1375">
        <f t="shared" si="0"/>
        <v>2045281</v>
      </c>
      <c r="E6" s="1376">
        <f t="shared" si="1"/>
        <v>0.41020622594156991</v>
      </c>
    </row>
    <row r="7" spans="1:14" hidden="1">
      <c r="A7" s="1348" t="s">
        <v>480</v>
      </c>
      <c r="B7" s="1374">
        <v>873387</v>
      </c>
      <c r="C7" s="1374">
        <v>1184802</v>
      </c>
      <c r="D7" s="1375">
        <f t="shared" si="0"/>
        <v>2058189</v>
      </c>
      <c r="E7" s="1376">
        <f t="shared" si="1"/>
        <v>0.42434732670323277</v>
      </c>
    </row>
    <row r="8" spans="1:14" hidden="1">
      <c r="A8" s="1348" t="s">
        <v>438</v>
      </c>
      <c r="B8" s="1374">
        <v>953495</v>
      </c>
      <c r="C8" s="1374">
        <v>1198586</v>
      </c>
      <c r="D8" s="1375">
        <f t="shared" si="0"/>
        <v>2152081</v>
      </c>
      <c r="E8" s="1376">
        <f t="shared" si="1"/>
        <v>0.44305720834857054</v>
      </c>
    </row>
    <row r="9" spans="1:14" hidden="1">
      <c r="A9" s="1348" t="s">
        <v>449</v>
      </c>
      <c r="B9" s="1374">
        <v>1001323</v>
      </c>
      <c r="C9" s="1374">
        <v>1206294</v>
      </c>
      <c r="D9" s="1375">
        <f t="shared" si="0"/>
        <v>2207617</v>
      </c>
      <c r="E9" s="1376">
        <f t="shared" si="1"/>
        <v>0.45357641293757023</v>
      </c>
    </row>
    <row r="10" spans="1:14" hidden="1">
      <c r="A10" s="1348" t="s">
        <v>481</v>
      </c>
      <c r="B10" s="1374">
        <v>1096860</v>
      </c>
      <c r="C10" s="1374">
        <v>1236076</v>
      </c>
      <c r="D10" s="1375">
        <f t="shared" si="0"/>
        <v>2332936</v>
      </c>
      <c r="E10" s="1376">
        <f t="shared" si="1"/>
        <v>0.47016291917137892</v>
      </c>
    </row>
    <row r="11" spans="1:14" hidden="1">
      <c r="A11" s="1348" t="s">
        <v>482</v>
      </c>
      <c r="B11" s="1374">
        <v>1096881</v>
      </c>
      <c r="C11" s="1374">
        <v>1248700</v>
      </c>
      <c r="D11" s="1375">
        <f t="shared" si="0"/>
        <v>2345581</v>
      </c>
      <c r="E11" s="1376">
        <f t="shared" si="1"/>
        <v>0.46763722932612434</v>
      </c>
    </row>
    <row r="12" spans="1:14" hidden="1">
      <c r="A12" s="1348" t="s">
        <v>483</v>
      </c>
      <c r="B12" s="1374">
        <v>1084285</v>
      </c>
      <c r="C12" s="1374">
        <v>1251614</v>
      </c>
      <c r="D12" s="1375">
        <f t="shared" si="0"/>
        <v>2335899</v>
      </c>
      <c r="E12" s="1376">
        <f t="shared" si="1"/>
        <v>0.46418316887844896</v>
      </c>
    </row>
    <row r="13" spans="1:14" hidden="1">
      <c r="A13" s="1348" t="s">
        <v>474</v>
      </c>
      <c r="B13" s="1374">
        <v>1083846</v>
      </c>
      <c r="C13" s="1374">
        <v>1259929</v>
      </c>
      <c r="D13" s="1375">
        <f t="shared" si="0"/>
        <v>2343775</v>
      </c>
      <c r="E13" s="1376">
        <f t="shared" si="1"/>
        <v>0.4624360273490416</v>
      </c>
    </row>
    <row r="14" spans="1:14" hidden="1">
      <c r="A14" s="1348" t="s">
        <v>484</v>
      </c>
      <c r="B14" s="1374">
        <v>1080519</v>
      </c>
      <c r="C14" s="1374">
        <v>1210740</v>
      </c>
      <c r="D14" s="1375">
        <f t="shared" si="0"/>
        <v>2291259</v>
      </c>
      <c r="E14" s="1376">
        <f t="shared" si="1"/>
        <v>0.47158309034465329</v>
      </c>
    </row>
    <row r="15" spans="1:14" hidden="1">
      <c r="A15" s="1348" t="s">
        <v>496</v>
      </c>
      <c r="B15" s="1374">
        <v>1087248</v>
      </c>
      <c r="C15" s="1374">
        <v>1216986</v>
      </c>
      <c r="D15" s="1375">
        <f t="shared" si="0"/>
        <v>2304234</v>
      </c>
      <c r="E15" s="1376">
        <f t="shared" si="1"/>
        <v>0.47184791127984399</v>
      </c>
      <c r="M15" s="76"/>
    </row>
    <row r="16" spans="1:14" hidden="1">
      <c r="A16" s="1348" t="s">
        <v>495</v>
      </c>
      <c r="B16" s="1374">
        <v>1099083</v>
      </c>
      <c r="C16" s="1374">
        <v>1222513</v>
      </c>
      <c r="D16" s="1375">
        <f t="shared" si="0"/>
        <v>2321596</v>
      </c>
      <c r="E16" s="1376">
        <f t="shared" si="1"/>
        <v>0.47341699417125116</v>
      </c>
      <c r="M16" s="76"/>
    </row>
    <row r="17" spans="1:5" hidden="1">
      <c r="A17" s="1348" t="s">
        <v>501</v>
      </c>
      <c r="B17" s="1374">
        <v>1112659</v>
      </c>
      <c r="C17" s="1374">
        <v>1222633</v>
      </c>
      <c r="D17" s="1375">
        <f t="shared" si="0"/>
        <v>2335292</v>
      </c>
      <c r="E17" s="1376">
        <f t="shared" si="1"/>
        <v>0.47645390811941291</v>
      </c>
    </row>
    <row r="18" spans="1:5" hidden="1">
      <c r="A18" s="1348" t="s">
        <v>509</v>
      </c>
      <c r="B18" s="1374">
        <v>1111005</v>
      </c>
      <c r="C18" s="1374">
        <v>1223172</v>
      </c>
      <c r="D18" s="1375">
        <f t="shared" si="0"/>
        <v>2334177</v>
      </c>
      <c r="E18" s="1376">
        <f t="shared" si="1"/>
        <v>0.47597290179793561</v>
      </c>
    </row>
    <row r="19" spans="1:5" hidden="1">
      <c r="A19" s="1348" t="s">
        <v>590</v>
      </c>
      <c r="B19" s="1374">
        <v>1132226</v>
      </c>
      <c r="C19" s="1374">
        <v>1224863</v>
      </c>
      <c r="D19" s="1375">
        <f>B19+C19</f>
        <v>2357089</v>
      </c>
      <c r="E19" s="1376">
        <f t="shared" si="1"/>
        <v>0.48034927828350987</v>
      </c>
    </row>
    <row r="20" spans="1:5" hidden="1">
      <c r="A20" s="1348" t="s">
        <v>591</v>
      </c>
      <c r="B20" s="1374">
        <v>1128997</v>
      </c>
      <c r="C20" s="1374">
        <v>1225192</v>
      </c>
      <c r="D20" s="1375">
        <f t="shared" ref="D20:D39" si="2">B20+C20</f>
        <v>2354189</v>
      </c>
      <c r="E20" s="1376">
        <f t="shared" si="1"/>
        <v>0.4795693973593454</v>
      </c>
    </row>
    <row r="21" spans="1:5" hidden="1">
      <c r="A21" s="1348" t="s">
        <v>592</v>
      </c>
      <c r="B21" s="1374">
        <v>1152495</v>
      </c>
      <c r="C21" s="1374">
        <v>1215777</v>
      </c>
      <c r="D21" s="1375">
        <f t="shared" si="2"/>
        <v>2368272</v>
      </c>
      <c r="E21" s="1376">
        <f t="shared" si="1"/>
        <v>0.48663962585378706</v>
      </c>
    </row>
    <row r="22" spans="1:5" hidden="1">
      <c r="A22" s="1348" t="s">
        <v>593</v>
      </c>
      <c r="B22" s="1374">
        <v>1157102</v>
      </c>
      <c r="C22" s="1374">
        <v>1228479</v>
      </c>
      <c r="D22" s="1375">
        <f t="shared" si="2"/>
        <v>2385581</v>
      </c>
      <c r="E22" s="1376">
        <f t="shared" si="1"/>
        <v>0.48503991270889563</v>
      </c>
    </row>
    <row r="23" spans="1:5" hidden="1">
      <c r="A23" s="1348" t="s">
        <v>594</v>
      </c>
      <c r="B23" s="1374">
        <v>1156074</v>
      </c>
      <c r="C23" s="1374">
        <v>1245719</v>
      </c>
      <c r="D23" s="1375">
        <f t="shared" si="2"/>
        <v>2401793</v>
      </c>
      <c r="E23" s="1376">
        <f t="shared" si="1"/>
        <v>0.4813379004768521</v>
      </c>
    </row>
    <row r="24" spans="1:5" hidden="1">
      <c r="A24" s="1348" t="s">
        <v>595</v>
      </c>
      <c r="B24" s="1374">
        <v>1154801</v>
      </c>
      <c r="C24" s="1374">
        <v>1253355</v>
      </c>
      <c r="D24" s="1375">
        <f t="shared" si="2"/>
        <v>2408156</v>
      </c>
      <c r="E24" s="1376">
        <f t="shared" si="1"/>
        <v>0.47953745521469537</v>
      </c>
    </row>
    <row r="25" spans="1:5" hidden="1">
      <c r="A25" s="1348" t="s">
        <v>596</v>
      </c>
      <c r="B25" s="1374">
        <v>1203705</v>
      </c>
      <c r="C25" s="1374">
        <v>1244428</v>
      </c>
      <c r="D25" s="1375">
        <f t="shared" si="2"/>
        <v>2448133</v>
      </c>
      <c r="E25" s="1376">
        <f t="shared" si="1"/>
        <v>0.49168284566238846</v>
      </c>
    </row>
    <row r="26" spans="1:5" hidden="1">
      <c r="A26" s="1348" t="s">
        <v>597</v>
      </c>
      <c r="B26" s="1374">
        <v>1255349</v>
      </c>
      <c r="C26" s="1374">
        <v>1245492</v>
      </c>
      <c r="D26" s="1375">
        <f t="shared" si="2"/>
        <v>2500841</v>
      </c>
      <c r="E26" s="1376">
        <v>0.50197073704405837</v>
      </c>
    </row>
    <row r="27" spans="1:5">
      <c r="A27" s="1348" t="s">
        <v>600</v>
      </c>
      <c r="B27" s="1374">
        <v>1556255</v>
      </c>
      <c r="C27" s="1374">
        <v>1185229</v>
      </c>
      <c r="D27" s="1375">
        <f t="shared" si="2"/>
        <v>2741484</v>
      </c>
      <c r="E27" s="1377">
        <f>C27/B27</f>
        <v>0.76159048484984793</v>
      </c>
    </row>
    <row r="28" spans="1:5">
      <c r="A28" s="1348" t="s">
        <v>601</v>
      </c>
      <c r="B28" s="1374">
        <v>1565351</v>
      </c>
      <c r="C28" s="1374">
        <v>1186190</v>
      </c>
      <c r="D28" s="1375">
        <f t="shared" si="2"/>
        <v>2751541</v>
      </c>
      <c r="E28" s="1377">
        <f t="shared" ref="E28:E39" si="3">C28/B28</f>
        <v>0.75777892625998899</v>
      </c>
    </row>
    <row r="29" spans="1:5">
      <c r="A29" s="1348" t="s">
        <v>602</v>
      </c>
      <c r="B29" s="1374">
        <v>1559939</v>
      </c>
      <c r="C29" s="1374">
        <v>1185744</v>
      </c>
      <c r="D29" s="1375">
        <f t="shared" si="2"/>
        <v>2745683</v>
      </c>
      <c r="E29" s="1377">
        <f t="shared" si="3"/>
        <v>0.76012203041272763</v>
      </c>
    </row>
    <row r="30" spans="1:5">
      <c r="A30" s="1348" t="s">
        <v>603</v>
      </c>
      <c r="B30" s="1374">
        <v>1555584</v>
      </c>
      <c r="C30" s="1374">
        <v>1195316</v>
      </c>
      <c r="D30" s="1375">
        <f t="shared" si="2"/>
        <v>2750900</v>
      </c>
      <c r="E30" s="1377">
        <f t="shared" si="3"/>
        <v>0.76840337776680656</v>
      </c>
    </row>
    <row r="31" spans="1:5">
      <c r="A31" s="1348" t="s">
        <v>604</v>
      </c>
      <c r="B31" s="1374">
        <v>1550134</v>
      </c>
      <c r="C31" s="1374">
        <v>1208033</v>
      </c>
      <c r="D31" s="1375">
        <f t="shared" si="2"/>
        <v>2758167</v>
      </c>
      <c r="E31" s="1377">
        <f t="shared" si="3"/>
        <v>0.77930875653330611</v>
      </c>
    </row>
    <row r="32" spans="1:5">
      <c r="A32" s="1348" t="s">
        <v>605</v>
      </c>
      <c r="B32" s="1374">
        <v>1545541</v>
      </c>
      <c r="C32" s="1374">
        <v>1209278</v>
      </c>
      <c r="D32" s="1375">
        <f t="shared" si="2"/>
        <v>2754819</v>
      </c>
      <c r="E32" s="1377">
        <f t="shared" si="3"/>
        <v>0.78243022993243139</v>
      </c>
    </row>
    <row r="33" spans="1:5">
      <c r="A33" s="1348" t="s">
        <v>606</v>
      </c>
      <c r="B33" s="1374">
        <v>1539520</v>
      </c>
      <c r="C33" s="1374">
        <v>1211525</v>
      </c>
      <c r="D33" s="1375">
        <f t="shared" si="2"/>
        <v>2751045</v>
      </c>
      <c r="E33" s="1377">
        <f t="shared" si="3"/>
        <v>0.78694982851797968</v>
      </c>
    </row>
    <row r="34" spans="1:5">
      <c r="A34" s="1348" t="s">
        <v>607</v>
      </c>
      <c r="B34" s="1374">
        <v>1534933</v>
      </c>
      <c r="C34" s="1374">
        <v>1213460</v>
      </c>
      <c r="D34" s="1375">
        <f t="shared" si="2"/>
        <v>2748393</v>
      </c>
      <c r="E34" s="1377">
        <f t="shared" si="3"/>
        <v>0.79056219391986493</v>
      </c>
    </row>
    <row r="35" spans="1:5">
      <c r="A35" s="1348" t="s">
        <v>608</v>
      </c>
      <c r="B35" s="1374">
        <v>1538413</v>
      </c>
      <c r="C35" s="1374">
        <v>1213532</v>
      </c>
      <c r="D35" s="1375">
        <f t="shared" si="2"/>
        <v>2751945</v>
      </c>
      <c r="E35" s="1377">
        <f t="shared" si="3"/>
        <v>0.78882068729268406</v>
      </c>
    </row>
    <row r="36" spans="1:5">
      <c r="A36" s="1348" t="s">
        <v>571</v>
      </c>
      <c r="B36" s="1374">
        <v>1598142</v>
      </c>
      <c r="C36" s="1374">
        <v>1240613</v>
      </c>
      <c r="D36" s="1375">
        <f t="shared" si="2"/>
        <v>2838755</v>
      </c>
      <c r="E36" s="1377">
        <f t="shared" si="3"/>
        <v>0.77628458547488266</v>
      </c>
    </row>
    <row r="37" spans="1:5">
      <c r="A37" s="1348" t="s">
        <v>637</v>
      </c>
      <c r="B37" s="1374">
        <v>1627454</v>
      </c>
      <c r="C37" s="1374">
        <v>1204555</v>
      </c>
      <c r="D37" s="1375">
        <f t="shared" si="2"/>
        <v>2832009</v>
      </c>
      <c r="E37" s="1377">
        <f t="shared" si="3"/>
        <v>0.74014687972747617</v>
      </c>
    </row>
    <row r="38" spans="1:5">
      <c r="A38" s="1348" t="s">
        <v>635</v>
      </c>
      <c r="B38" s="1374">
        <v>1795214</v>
      </c>
      <c r="C38" s="1374">
        <v>1220432</v>
      </c>
      <c r="D38" s="1375">
        <f t="shared" si="2"/>
        <v>3015646</v>
      </c>
      <c r="E38" s="1377">
        <f t="shared" si="3"/>
        <v>0.67982535786819842</v>
      </c>
    </row>
    <row r="39" spans="1:5">
      <c r="A39" s="1349" t="s">
        <v>636</v>
      </c>
      <c r="B39" s="1378">
        <v>1786117</v>
      </c>
      <c r="C39" s="1378">
        <v>1214864</v>
      </c>
      <c r="D39" s="1379">
        <f t="shared" si="2"/>
        <v>3000981</v>
      </c>
      <c r="E39" s="1380">
        <f t="shared" si="3"/>
        <v>0.68017044796057591</v>
      </c>
    </row>
    <row r="60" ht="38.25" customHeight="1"/>
    <row r="61" ht="59.25" customHeight="1"/>
  </sheetData>
  <mergeCells count="1">
    <mergeCell ref="A1:N1"/>
  </mergeCells>
  <printOptions horizontalCentered="1" verticalCentered="1"/>
  <pageMargins left="0.4" right="0.4" top="0.25" bottom="0.25" header="0.31496062992126" footer="0.31496062992126"/>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9"/>
  <sheetViews>
    <sheetView showGridLines="0" view="pageBreakPreview" zoomScale="85" zoomScaleNormal="100" zoomScaleSheetLayoutView="85" workbookViewId="0">
      <pane ySplit="1" topLeftCell="A2" activePane="bottomLeft" state="frozen"/>
      <selection activeCell="M22" sqref="M22"/>
      <selection pane="bottomLeft" activeCell="L11" sqref="L11"/>
    </sheetView>
  </sheetViews>
  <sheetFormatPr baseColWidth="10" defaultColWidth="11.42578125" defaultRowHeight="15"/>
  <cols>
    <col min="1" max="1" width="11" style="84" customWidth="1"/>
    <col min="2" max="2" width="15.5703125" style="84" customWidth="1"/>
    <col min="3" max="3" width="17" style="84" customWidth="1"/>
    <col min="4" max="4" width="12.7109375" style="84" customWidth="1"/>
    <col min="5" max="5" width="11.28515625" style="84" bestFit="1" customWidth="1"/>
    <col min="6" max="6" width="12.7109375" style="84" bestFit="1" customWidth="1"/>
    <col min="7" max="7" width="13.7109375" style="84" bestFit="1"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71.25" customHeight="1">
      <c r="A1" s="1780"/>
      <c r="B1" s="1780"/>
      <c r="C1" s="1780"/>
      <c r="D1" s="1780"/>
      <c r="E1" s="1780"/>
      <c r="F1" s="1780"/>
      <c r="G1" s="1780"/>
      <c r="H1" s="1780"/>
      <c r="I1" s="1780"/>
      <c r="J1" s="1780"/>
      <c r="K1" s="1780"/>
      <c r="L1" s="1780"/>
      <c r="M1" s="1780"/>
      <c r="N1" s="1780"/>
      <c r="P1" s="1325"/>
    </row>
    <row r="2" spans="1:16" s="44" customFormat="1" ht="3" customHeight="1">
      <c r="A2" s="203"/>
      <c r="B2" s="203"/>
      <c r="C2" s="203"/>
      <c r="D2" s="203"/>
      <c r="E2" s="203"/>
      <c r="F2" s="203"/>
      <c r="G2" s="203"/>
      <c r="H2" s="203"/>
      <c r="I2" s="203"/>
      <c r="J2" s="203"/>
      <c r="K2" s="203"/>
      <c r="L2" s="203"/>
      <c r="M2" s="203"/>
      <c r="N2" s="203"/>
      <c r="P2" s="202"/>
    </row>
    <row r="3" spans="1:16" ht="53.25" customHeight="1">
      <c r="A3" s="467" t="s">
        <v>25</v>
      </c>
      <c r="B3" s="1422" t="s">
        <v>828</v>
      </c>
      <c r="C3" s="1346" t="s">
        <v>829</v>
      </c>
      <c r="D3" s="1346" t="s">
        <v>830</v>
      </c>
      <c r="E3" s="1347" t="s">
        <v>587</v>
      </c>
    </row>
    <row r="4" spans="1:16" hidden="1">
      <c r="A4" s="1420" t="s">
        <v>26</v>
      </c>
      <c r="B4" s="1357"/>
      <c r="C4" s="1358"/>
      <c r="D4" s="1359">
        <v>44000</v>
      </c>
      <c r="E4" s="1360"/>
    </row>
    <row r="5" spans="1:16" hidden="1">
      <c r="A5" s="1420" t="s">
        <v>27</v>
      </c>
      <c r="B5" s="1361"/>
      <c r="C5" s="1350"/>
      <c r="D5" s="1351">
        <v>65017</v>
      </c>
      <c r="E5" s="1352"/>
    </row>
    <row r="6" spans="1:16">
      <c r="A6" s="1420" t="s">
        <v>28</v>
      </c>
      <c r="B6" s="1361"/>
      <c r="C6" s="1350"/>
      <c r="D6" s="1351">
        <v>266531</v>
      </c>
      <c r="E6" s="1353"/>
    </row>
    <row r="7" spans="1:16">
      <c r="A7" s="1420" t="s">
        <v>29</v>
      </c>
      <c r="B7" s="1361">
        <v>254831</v>
      </c>
      <c r="C7" s="1350">
        <v>258585</v>
      </c>
      <c r="D7" s="1351">
        <f t="shared" ref="D7:D14" si="0">B7+C7</f>
        <v>513416</v>
      </c>
      <c r="E7" s="1353">
        <f>C7/B7</f>
        <v>1.0147313317453528</v>
      </c>
    </row>
    <row r="8" spans="1:16">
      <c r="A8" s="1420" t="s">
        <v>30</v>
      </c>
      <c r="B8" s="1361">
        <v>473647</v>
      </c>
      <c r="C8" s="1350">
        <v>608289</v>
      </c>
      <c r="D8" s="1351">
        <f t="shared" si="0"/>
        <v>1081936</v>
      </c>
      <c r="E8" s="1353">
        <f t="shared" ref="E8:E14" si="1">C8/B8</f>
        <v>1.2842665529392143</v>
      </c>
    </row>
    <row r="9" spans="1:16">
      <c r="A9" s="1420" t="s">
        <v>31</v>
      </c>
      <c r="B9" s="1361">
        <v>489949</v>
      </c>
      <c r="C9" s="1350">
        <v>734694</v>
      </c>
      <c r="D9" s="1351">
        <f t="shared" si="0"/>
        <v>1224643</v>
      </c>
      <c r="E9" s="1353">
        <f t="shared" si="1"/>
        <v>1.4995315838995487</v>
      </c>
      <c r="O9" s="19"/>
    </row>
    <row r="10" spans="1:16">
      <c r="A10" s="1420" t="s">
        <v>32</v>
      </c>
      <c r="B10" s="1361">
        <v>575190</v>
      </c>
      <c r="C10" s="1350">
        <v>770976</v>
      </c>
      <c r="D10" s="1351">
        <f t="shared" si="0"/>
        <v>1346166</v>
      </c>
      <c r="E10" s="1353">
        <f t="shared" si="1"/>
        <v>1.3403849162885308</v>
      </c>
    </row>
    <row r="11" spans="1:16" ht="15" customHeight="1">
      <c r="A11" s="1420" t="s">
        <v>196</v>
      </c>
      <c r="B11" s="1361">
        <v>880620</v>
      </c>
      <c r="C11" s="1350">
        <v>967213</v>
      </c>
      <c r="D11" s="1351">
        <f t="shared" si="0"/>
        <v>1847833</v>
      </c>
      <c r="E11" s="1353">
        <f t="shared" si="1"/>
        <v>1.098331857100679</v>
      </c>
    </row>
    <row r="12" spans="1:16">
      <c r="A12" s="1420" t="s">
        <v>244</v>
      </c>
      <c r="B12" s="1361">
        <v>885431</v>
      </c>
      <c r="C12" s="1350">
        <v>1110904</v>
      </c>
      <c r="D12" s="1351">
        <f t="shared" si="0"/>
        <v>1996335</v>
      </c>
      <c r="E12" s="1353">
        <f t="shared" si="1"/>
        <v>1.2546477365260533</v>
      </c>
    </row>
    <row r="13" spans="1:16">
      <c r="A13" s="1420" t="s">
        <v>498</v>
      </c>
      <c r="B13" s="1361">
        <v>1170009</v>
      </c>
      <c r="C13" s="1350">
        <v>1124347</v>
      </c>
      <c r="D13" s="1351">
        <f t="shared" si="0"/>
        <v>2294356</v>
      </c>
      <c r="E13" s="1353">
        <f t="shared" si="1"/>
        <v>0.96097294978072823</v>
      </c>
    </row>
    <row r="14" spans="1:16">
      <c r="A14" s="1420" t="s">
        <v>589</v>
      </c>
      <c r="B14" s="1361">
        <v>1467184</v>
      </c>
      <c r="C14" s="1350">
        <v>1179715</v>
      </c>
      <c r="D14" s="1351">
        <f t="shared" si="0"/>
        <v>2646899</v>
      </c>
      <c r="E14" s="1353">
        <f t="shared" si="1"/>
        <v>0.80406751982028157</v>
      </c>
    </row>
    <row r="15" spans="1:16">
      <c r="A15" s="1420" t="s">
        <v>630</v>
      </c>
      <c r="B15" s="1361">
        <v>1795214</v>
      </c>
      <c r="C15" s="1350">
        <v>1220432</v>
      </c>
      <c r="D15" s="1351">
        <f>B15+C15</f>
        <v>3015646</v>
      </c>
      <c r="E15" s="1353">
        <f>C15/B15</f>
        <v>0.67982535786819842</v>
      </c>
    </row>
    <row r="16" spans="1:16">
      <c r="A16" s="1421" t="s">
        <v>632</v>
      </c>
      <c r="B16" s="1362">
        <v>1795214</v>
      </c>
      <c r="C16" s="1354">
        <v>1220432</v>
      </c>
      <c r="D16" s="1355">
        <f>B16+C16</f>
        <v>3015646</v>
      </c>
      <c r="E16" s="1356">
        <f>C16/B16</f>
        <v>0.67982535786819842</v>
      </c>
    </row>
    <row r="17" spans="1:15">
      <c r="A17" s="1782" t="s">
        <v>902</v>
      </c>
      <c r="B17" s="1782"/>
      <c r="C17" s="1782"/>
      <c r="D17" s="1782"/>
      <c r="E17" s="1782"/>
    </row>
    <row r="29" spans="1:15">
      <c r="O29" s="84" t="s">
        <v>33</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2"/>
  <sheetViews>
    <sheetView showGridLines="0" view="pageBreakPreview" zoomScale="70" zoomScaleNormal="70" zoomScaleSheetLayoutView="70" workbookViewId="0">
      <selection activeCell="J30" sqref="J30"/>
    </sheetView>
  </sheetViews>
  <sheetFormatPr baseColWidth="10" defaultColWidth="11.42578125" defaultRowHeight="15"/>
  <cols>
    <col min="1" max="1" width="11.42578125" style="84" customWidth="1"/>
    <col min="2" max="2" width="17.42578125" style="84" customWidth="1"/>
    <col min="3" max="3" width="18.85546875" style="84" customWidth="1"/>
    <col min="4" max="4" width="17.28515625" style="84" customWidth="1"/>
    <col min="5" max="5" width="14.8554687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4.5703125" style="84" customWidth="1"/>
    <col min="15" max="15" width="20" style="84" customWidth="1"/>
    <col min="16" max="16384" width="11.42578125" style="84"/>
  </cols>
  <sheetData>
    <row r="1" spans="1:14" ht="67.5" customHeight="1">
      <c r="A1" s="1783"/>
      <c r="B1" s="1783"/>
      <c r="C1" s="1783"/>
      <c r="D1" s="1783"/>
      <c r="E1" s="1783"/>
      <c r="F1" s="1783"/>
      <c r="G1" s="1783"/>
      <c r="H1" s="1783"/>
      <c r="I1" s="1783"/>
      <c r="J1" s="1783"/>
      <c r="K1" s="1783"/>
      <c r="L1" s="1783"/>
      <c r="M1" s="1783"/>
      <c r="N1" s="1783"/>
    </row>
    <row r="2" spans="1:14" s="44" customFormat="1" ht="3" customHeight="1">
      <c r="A2" s="203"/>
      <c r="B2" s="203"/>
      <c r="C2" s="203"/>
      <c r="D2" s="203"/>
      <c r="E2" s="203"/>
      <c r="F2" s="203"/>
      <c r="G2" s="203"/>
      <c r="H2" s="203"/>
      <c r="I2" s="203"/>
      <c r="J2" s="203"/>
      <c r="K2" s="203"/>
      <c r="L2" s="203"/>
    </row>
    <row r="3" spans="1:14" ht="47.25">
      <c r="A3" s="449" t="s">
        <v>250</v>
      </c>
      <c r="B3" s="449" t="s">
        <v>828</v>
      </c>
      <c r="C3" s="450" t="s">
        <v>829</v>
      </c>
      <c r="D3" s="449" t="s">
        <v>830</v>
      </c>
      <c r="E3" s="451" t="s">
        <v>587</v>
      </c>
      <c r="F3"/>
      <c r="G3"/>
      <c r="H3"/>
      <c r="I3"/>
      <c r="J3"/>
      <c r="K3"/>
      <c r="L3"/>
    </row>
    <row r="4" spans="1:14" ht="15.75" hidden="1">
      <c r="A4" s="452" t="s">
        <v>478</v>
      </c>
      <c r="B4" s="453">
        <v>846161</v>
      </c>
      <c r="C4" s="454">
        <v>1164478</v>
      </c>
      <c r="D4" s="455">
        <f t="shared" ref="D4:D18" si="0">B4+C4</f>
        <v>2010639</v>
      </c>
      <c r="E4" s="456">
        <f t="shared" ref="E4:E25" si="1">B4/D4</f>
        <v>0.42084183187533913</v>
      </c>
      <c r="F4"/>
      <c r="G4"/>
      <c r="H4"/>
      <c r="I4"/>
      <c r="J4"/>
      <c r="K4"/>
      <c r="L4"/>
    </row>
    <row r="5" spans="1:14" ht="15.75" hidden="1">
      <c r="A5" s="452" t="s">
        <v>441</v>
      </c>
      <c r="B5" s="453">
        <v>842157</v>
      </c>
      <c r="C5" s="454">
        <v>1175266</v>
      </c>
      <c r="D5" s="455">
        <f t="shared" si="0"/>
        <v>2017423</v>
      </c>
      <c r="E5" s="456">
        <f t="shared" si="1"/>
        <v>0.41744195441412141</v>
      </c>
      <c r="F5"/>
      <c r="G5"/>
      <c r="H5"/>
      <c r="I5"/>
      <c r="J5"/>
      <c r="K5"/>
      <c r="L5"/>
    </row>
    <row r="6" spans="1:14" ht="15.75" hidden="1">
      <c r="A6" s="452" t="s">
        <v>479</v>
      </c>
      <c r="B6" s="453">
        <v>838987</v>
      </c>
      <c r="C6" s="454">
        <f>+'[3]IV.2.1.1 fil anual SFS RS '!C12</f>
        <v>1206294</v>
      </c>
      <c r="D6" s="455">
        <f t="shared" si="0"/>
        <v>2045281</v>
      </c>
      <c r="E6" s="456">
        <f t="shared" si="1"/>
        <v>0.41020622594156991</v>
      </c>
      <c r="F6"/>
      <c r="G6"/>
      <c r="H6"/>
      <c r="I6"/>
      <c r="J6"/>
      <c r="K6"/>
      <c r="L6"/>
    </row>
    <row r="7" spans="1:14" ht="15.75" hidden="1">
      <c r="A7" s="452" t="s">
        <v>480</v>
      </c>
      <c r="B7" s="453">
        <v>873387</v>
      </c>
      <c r="C7" s="454">
        <v>1184802</v>
      </c>
      <c r="D7" s="455">
        <f t="shared" si="0"/>
        <v>2058189</v>
      </c>
      <c r="E7" s="456">
        <f t="shared" si="1"/>
        <v>0.42434732670323277</v>
      </c>
      <c r="F7"/>
      <c r="G7"/>
      <c r="H7"/>
      <c r="I7"/>
      <c r="J7"/>
      <c r="K7"/>
      <c r="L7"/>
    </row>
    <row r="8" spans="1:14" ht="15.75" hidden="1">
      <c r="A8" s="452" t="s">
        <v>438</v>
      </c>
      <c r="B8" s="453">
        <v>953495</v>
      </c>
      <c r="C8" s="454">
        <v>1198586</v>
      </c>
      <c r="D8" s="455">
        <f t="shared" si="0"/>
        <v>2152081</v>
      </c>
      <c r="E8" s="456">
        <f t="shared" si="1"/>
        <v>0.44305720834857054</v>
      </c>
      <c r="F8"/>
      <c r="G8"/>
      <c r="H8"/>
      <c r="I8"/>
      <c r="J8"/>
      <c r="K8"/>
      <c r="L8"/>
    </row>
    <row r="9" spans="1:14" ht="15.75" hidden="1">
      <c r="A9" s="452" t="s">
        <v>449</v>
      </c>
      <c r="B9" s="453">
        <v>1001323</v>
      </c>
      <c r="C9" s="454">
        <v>1206294</v>
      </c>
      <c r="D9" s="455">
        <f t="shared" si="0"/>
        <v>2207617</v>
      </c>
      <c r="E9" s="456">
        <f t="shared" si="1"/>
        <v>0.45357641293757023</v>
      </c>
      <c r="F9"/>
      <c r="G9"/>
      <c r="H9"/>
      <c r="I9"/>
      <c r="J9"/>
      <c r="K9"/>
      <c r="L9"/>
    </row>
    <row r="10" spans="1:14" ht="15.75" hidden="1">
      <c r="A10" s="452" t="s">
        <v>481</v>
      </c>
      <c r="B10" s="453">
        <v>1096860</v>
      </c>
      <c r="C10" s="454">
        <v>1236076</v>
      </c>
      <c r="D10" s="455">
        <f t="shared" si="0"/>
        <v>2332936</v>
      </c>
      <c r="E10" s="456">
        <f t="shared" si="1"/>
        <v>0.47016291917137892</v>
      </c>
      <c r="F10"/>
      <c r="G10"/>
      <c r="H10"/>
      <c r="I10"/>
      <c r="J10"/>
      <c r="K10"/>
      <c r="L10"/>
    </row>
    <row r="11" spans="1:14" ht="15.75" hidden="1">
      <c r="A11" s="452" t="s">
        <v>482</v>
      </c>
      <c r="B11" s="453">
        <v>1096881</v>
      </c>
      <c r="C11" s="454">
        <v>1248700</v>
      </c>
      <c r="D11" s="455">
        <f t="shared" si="0"/>
        <v>2345581</v>
      </c>
      <c r="E11" s="456">
        <f t="shared" si="1"/>
        <v>0.46763722932612434</v>
      </c>
      <c r="F11"/>
      <c r="G11"/>
      <c r="H11"/>
      <c r="I11"/>
      <c r="J11"/>
      <c r="K11"/>
      <c r="L11"/>
    </row>
    <row r="12" spans="1:14" ht="15.75" hidden="1">
      <c r="A12" s="452" t="s">
        <v>483</v>
      </c>
      <c r="B12" s="453">
        <v>1084285</v>
      </c>
      <c r="C12" s="454">
        <v>1251614</v>
      </c>
      <c r="D12" s="455">
        <f t="shared" si="0"/>
        <v>2335899</v>
      </c>
      <c r="E12" s="456">
        <f t="shared" si="1"/>
        <v>0.46418316887844896</v>
      </c>
      <c r="F12"/>
      <c r="G12"/>
      <c r="H12"/>
      <c r="I12"/>
      <c r="J12"/>
      <c r="K12"/>
      <c r="L12"/>
    </row>
    <row r="13" spans="1:14" ht="15.75" hidden="1">
      <c r="A13" s="452" t="s">
        <v>474</v>
      </c>
      <c r="B13" s="453">
        <v>1083846</v>
      </c>
      <c r="C13" s="454">
        <v>1259929</v>
      </c>
      <c r="D13" s="455">
        <f t="shared" si="0"/>
        <v>2343775</v>
      </c>
      <c r="E13" s="456">
        <f t="shared" si="1"/>
        <v>0.4624360273490416</v>
      </c>
      <c r="F13"/>
      <c r="G13"/>
      <c r="H13"/>
      <c r="I13"/>
      <c r="J13"/>
      <c r="K13"/>
      <c r="L13"/>
    </row>
    <row r="14" spans="1:14" ht="15.75" hidden="1">
      <c r="A14" s="452" t="s">
        <v>484</v>
      </c>
      <c r="B14" s="453">
        <v>1080519</v>
      </c>
      <c r="C14" s="454">
        <v>1210740</v>
      </c>
      <c r="D14" s="455">
        <f t="shared" si="0"/>
        <v>2291259</v>
      </c>
      <c r="E14" s="456">
        <f t="shared" si="1"/>
        <v>0.47158309034465329</v>
      </c>
      <c r="F14"/>
      <c r="G14"/>
      <c r="H14"/>
      <c r="I14"/>
      <c r="J14"/>
      <c r="K14"/>
      <c r="L14"/>
    </row>
    <row r="15" spans="1:14" ht="15.75" hidden="1">
      <c r="A15" s="452" t="s">
        <v>496</v>
      </c>
      <c r="B15" s="453">
        <v>1087248</v>
      </c>
      <c r="C15" s="454">
        <v>1216986</v>
      </c>
      <c r="D15" s="455">
        <f t="shared" si="0"/>
        <v>2304234</v>
      </c>
      <c r="E15" s="456">
        <f t="shared" si="1"/>
        <v>0.47184791127984399</v>
      </c>
      <c r="F15"/>
      <c r="G15"/>
      <c r="H15"/>
      <c r="I15"/>
      <c r="J15"/>
      <c r="K15"/>
      <c r="L15"/>
      <c r="M15" s="76"/>
    </row>
    <row r="16" spans="1:14" ht="15.75" hidden="1">
      <c r="A16" s="452" t="s">
        <v>495</v>
      </c>
      <c r="B16" s="453">
        <v>1099083</v>
      </c>
      <c r="C16" s="454">
        <v>1222513</v>
      </c>
      <c r="D16" s="455">
        <f t="shared" si="0"/>
        <v>2321596</v>
      </c>
      <c r="E16" s="456">
        <f t="shared" si="1"/>
        <v>0.47341699417125116</v>
      </c>
      <c r="F16"/>
      <c r="G16"/>
      <c r="H16"/>
      <c r="I16"/>
      <c r="J16"/>
      <c r="K16"/>
      <c r="L16"/>
      <c r="M16" s="76"/>
    </row>
    <row r="17" spans="1:12" ht="15.75" hidden="1">
      <c r="A17" s="452" t="s">
        <v>501</v>
      </c>
      <c r="B17" s="453">
        <v>1112659</v>
      </c>
      <c r="C17" s="454">
        <v>1222633</v>
      </c>
      <c r="D17" s="455">
        <f t="shared" si="0"/>
        <v>2335292</v>
      </c>
      <c r="E17" s="456">
        <f t="shared" si="1"/>
        <v>0.47645390811941291</v>
      </c>
      <c r="F17"/>
      <c r="G17"/>
      <c r="H17"/>
      <c r="I17"/>
      <c r="J17"/>
      <c r="K17"/>
      <c r="L17"/>
    </row>
    <row r="18" spans="1:12" ht="15.75" hidden="1">
      <c r="A18" s="452" t="s">
        <v>509</v>
      </c>
      <c r="B18" s="453">
        <v>1111005</v>
      </c>
      <c r="C18" s="454">
        <v>1223172</v>
      </c>
      <c r="D18" s="455">
        <f t="shared" si="0"/>
        <v>2334177</v>
      </c>
      <c r="E18" s="456">
        <f t="shared" si="1"/>
        <v>0.47597290179793561</v>
      </c>
      <c r="F18"/>
      <c r="G18"/>
      <c r="H18"/>
      <c r="I18"/>
      <c r="J18"/>
      <c r="K18"/>
      <c r="L18"/>
    </row>
    <row r="19" spans="1:12" ht="15.75" hidden="1">
      <c r="A19" s="452" t="s">
        <v>590</v>
      </c>
      <c r="B19" s="453">
        <v>1132226</v>
      </c>
      <c r="C19" s="454">
        <v>1224863</v>
      </c>
      <c r="D19" s="455">
        <f>B19+C19</f>
        <v>2357089</v>
      </c>
      <c r="E19" s="456">
        <f t="shared" si="1"/>
        <v>0.48034927828350987</v>
      </c>
      <c r="F19"/>
      <c r="G19"/>
      <c r="H19"/>
      <c r="I19"/>
      <c r="J19"/>
      <c r="K19"/>
      <c r="L19"/>
    </row>
    <row r="20" spans="1:12" ht="15.75" hidden="1">
      <c r="A20" s="452" t="s">
        <v>591</v>
      </c>
      <c r="B20" s="453">
        <v>1128997</v>
      </c>
      <c r="C20" s="454">
        <v>1225192</v>
      </c>
      <c r="D20" s="455">
        <f t="shared" ref="D20:D29" si="2">B20+C20</f>
        <v>2354189</v>
      </c>
      <c r="E20" s="456">
        <f t="shared" si="1"/>
        <v>0.4795693973593454</v>
      </c>
      <c r="F20"/>
      <c r="G20"/>
      <c r="H20"/>
      <c r="I20"/>
      <c r="J20"/>
      <c r="K20"/>
      <c r="L20"/>
    </row>
    <row r="21" spans="1:12" ht="15.75" hidden="1">
      <c r="A21" s="452" t="s">
        <v>592</v>
      </c>
      <c r="B21" s="453">
        <v>1152495</v>
      </c>
      <c r="C21" s="454">
        <v>1215777</v>
      </c>
      <c r="D21" s="455">
        <f t="shared" si="2"/>
        <v>2368272</v>
      </c>
      <c r="E21" s="456">
        <f t="shared" si="1"/>
        <v>0.48663962585378706</v>
      </c>
      <c r="F21"/>
      <c r="G21"/>
      <c r="H21"/>
      <c r="I21"/>
      <c r="J21"/>
      <c r="K21"/>
      <c r="L21"/>
    </row>
    <row r="22" spans="1:12" ht="15.75" hidden="1">
      <c r="A22" s="452" t="s">
        <v>593</v>
      </c>
      <c r="B22" s="453">
        <v>1157102</v>
      </c>
      <c r="C22" s="454">
        <v>1228479</v>
      </c>
      <c r="D22" s="455">
        <f t="shared" si="2"/>
        <v>2385581</v>
      </c>
      <c r="E22" s="456">
        <f t="shared" si="1"/>
        <v>0.48503991270889563</v>
      </c>
      <c r="F22"/>
      <c r="G22"/>
      <c r="H22"/>
      <c r="I22"/>
      <c r="J22"/>
      <c r="K22"/>
      <c r="L22"/>
    </row>
    <row r="23" spans="1:12" ht="15.75" hidden="1">
      <c r="A23" s="452" t="s">
        <v>594</v>
      </c>
      <c r="B23" s="453">
        <v>1156074</v>
      </c>
      <c r="C23" s="454">
        <v>1245719</v>
      </c>
      <c r="D23" s="455">
        <f t="shared" si="2"/>
        <v>2401793</v>
      </c>
      <c r="E23" s="456">
        <f t="shared" si="1"/>
        <v>0.4813379004768521</v>
      </c>
      <c r="F23"/>
      <c r="G23"/>
      <c r="H23"/>
      <c r="I23"/>
      <c r="J23"/>
      <c r="K23"/>
      <c r="L23"/>
    </row>
    <row r="24" spans="1:12" ht="15.75" hidden="1">
      <c r="A24" s="452" t="s">
        <v>595</v>
      </c>
      <c r="B24" s="453">
        <v>1154801</v>
      </c>
      <c r="C24" s="454">
        <v>1253355</v>
      </c>
      <c r="D24" s="455">
        <f t="shared" si="2"/>
        <v>2408156</v>
      </c>
      <c r="E24" s="456">
        <f t="shared" si="1"/>
        <v>0.47953745521469537</v>
      </c>
      <c r="F24"/>
      <c r="G24"/>
      <c r="H24"/>
      <c r="I24"/>
      <c r="J24"/>
      <c r="K24"/>
      <c r="L24"/>
    </row>
    <row r="25" spans="1:12" ht="15.75" hidden="1">
      <c r="A25" s="452" t="s">
        <v>596</v>
      </c>
      <c r="B25" s="453">
        <v>1203705</v>
      </c>
      <c r="C25" s="454">
        <v>1244428</v>
      </c>
      <c r="D25" s="455">
        <f t="shared" si="2"/>
        <v>2448133</v>
      </c>
      <c r="E25" s="456">
        <f t="shared" si="1"/>
        <v>0.49168284566238846</v>
      </c>
      <c r="F25"/>
      <c r="G25"/>
      <c r="H25"/>
      <c r="I25"/>
      <c r="J25"/>
      <c r="K25"/>
      <c r="L25"/>
    </row>
    <row r="26" spans="1:12" ht="15.75" hidden="1">
      <c r="A26" s="452" t="s">
        <v>597</v>
      </c>
      <c r="B26" s="453">
        <v>1255349</v>
      </c>
      <c r="C26" s="454">
        <v>1245492</v>
      </c>
      <c r="D26" s="455">
        <f t="shared" si="2"/>
        <v>2500841</v>
      </c>
      <c r="E26" s="456">
        <v>0.50197073704405837</v>
      </c>
      <c r="F26"/>
      <c r="G26"/>
      <c r="H26"/>
      <c r="I26"/>
      <c r="J26"/>
      <c r="K26"/>
      <c r="L26"/>
    </row>
    <row r="27" spans="1:12" ht="15.75" hidden="1">
      <c r="A27" s="452" t="s">
        <v>598</v>
      </c>
      <c r="B27" s="453">
        <v>1321271</v>
      </c>
      <c r="C27" s="454">
        <v>1165303</v>
      </c>
      <c r="D27" s="455">
        <f t="shared" si="2"/>
        <v>2486574</v>
      </c>
      <c r="E27" s="457">
        <f>C27/B27</f>
        <v>0.88195608622303823</v>
      </c>
      <c r="F27"/>
      <c r="G27"/>
      <c r="H27"/>
      <c r="I27"/>
      <c r="J27"/>
      <c r="K27"/>
      <c r="L27"/>
    </row>
    <row r="28" spans="1:12" ht="15.75" hidden="1">
      <c r="A28" s="452" t="s">
        <v>599</v>
      </c>
      <c r="B28" s="453">
        <v>1467184</v>
      </c>
      <c r="C28" s="454">
        <v>1179715</v>
      </c>
      <c r="D28" s="455">
        <f t="shared" si="2"/>
        <v>2646899</v>
      </c>
      <c r="E28" s="457">
        <f>C28/B28</f>
        <v>0.80406751982028157</v>
      </c>
      <c r="F28"/>
      <c r="G28"/>
      <c r="H28"/>
      <c r="I28"/>
      <c r="J28"/>
      <c r="K28"/>
      <c r="L28"/>
    </row>
    <row r="29" spans="1:12" ht="15.75" hidden="1">
      <c r="A29" s="452" t="s">
        <v>570</v>
      </c>
      <c r="B29" s="453">
        <v>1568225</v>
      </c>
      <c r="C29" s="454">
        <v>1183528</v>
      </c>
      <c r="D29" s="455">
        <f t="shared" si="2"/>
        <v>2751753</v>
      </c>
      <c r="E29" s="457">
        <f>C29/B29</f>
        <v>0.75469272585247649</v>
      </c>
      <c r="F29"/>
      <c r="G29"/>
      <c r="H29"/>
      <c r="I29"/>
      <c r="J29"/>
      <c r="K29"/>
      <c r="L29"/>
    </row>
    <row r="30" spans="1:12" ht="15.75">
      <c r="A30" s="452" t="s">
        <v>600</v>
      </c>
      <c r="B30" s="474">
        <v>1568225</v>
      </c>
      <c r="C30" s="475">
        <v>1183528</v>
      </c>
      <c r="D30" s="528">
        <f>+C30+B30</f>
        <v>2751753</v>
      </c>
      <c r="E30" s="476">
        <f>C30/B30</f>
        <v>0.75469272585247649</v>
      </c>
      <c r="F30"/>
      <c r="G30"/>
      <c r="H30"/>
      <c r="I30"/>
      <c r="J30"/>
      <c r="K30"/>
      <c r="L30"/>
    </row>
    <row r="31" spans="1:12" ht="15.75">
      <c r="A31" s="452" t="s">
        <v>601</v>
      </c>
      <c r="B31" s="477">
        <v>1556255</v>
      </c>
      <c r="C31" s="478">
        <v>1185229</v>
      </c>
      <c r="D31" s="529">
        <f>+C31+B31</f>
        <v>2741484</v>
      </c>
      <c r="E31" s="479">
        <f>C31/B31</f>
        <v>0.76159048484984793</v>
      </c>
      <c r="F31"/>
      <c r="G31"/>
      <c r="H31"/>
      <c r="I31" s="293"/>
      <c r="J31" s="293"/>
      <c r="K31" s="293"/>
      <c r="L31"/>
    </row>
    <row r="32" spans="1:12" ht="15.75">
      <c r="A32" s="452" t="s">
        <v>602</v>
      </c>
      <c r="B32" s="477">
        <v>1565351</v>
      </c>
      <c r="C32" s="478">
        <v>1186190</v>
      </c>
      <c r="D32" s="529">
        <f t="shared" ref="D32:D42" si="3">+C32+B32</f>
        <v>2751541</v>
      </c>
      <c r="E32" s="479">
        <f t="shared" ref="E32:E37" si="4">C32/B32</f>
        <v>0.75777892625998899</v>
      </c>
      <c r="F32"/>
      <c r="G32"/>
      <c r="H32"/>
      <c r="I32"/>
      <c r="J32"/>
      <c r="K32"/>
      <c r="L32"/>
    </row>
    <row r="33" spans="1:12" ht="15.75">
      <c r="A33" s="452" t="s">
        <v>603</v>
      </c>
      <c r="B33" s="477">
        <v>1559939</v>
      </c>
      <c r="C33" s="478">
        <v>1185744</v>
      </c>
      <c r="D33" s="529">
        <f t="shared" si="3"/>
        <v>2745683</v>
      </c>
      <c r="E33" s="479">
        <f t="shared" si="4"/>
        <v>0.76012203041272763</v>
      </c>
      <c r="F33"/>
      <c r="G33"/>
      <c r="H33" s="293"/>
      <c r="I33" s="293"/>
      <c r="J33"/>
      <c r="K33"/>
      <c r="L33"/>
    </row>
    <row r="34" spans="1:12" ht="15.75">
      <c r="A34" s="452" t="s">
        <v>604</v>
      </c>
      <c r="B34" s="477">
        <v>1555584</v>
      </c>
      <c r="C34" s="478">
        <v>1195316</v>
      </c>
      <c r="D34" s="529">
        <f t="shared" si="3"/>
        <v>2750900</v>
      </c>
      <c r="E34" s="479">
        <f t="shared" si="4"/>
        <v>0.76840337776680656</v>
      </c>
      <c r="F34"/>
      <c r="G34"/>
      <c r="H34"/>
      <c r="I34"/>
      <c r="J34"/>
      <c r="K34"/>
      <c r="L34"/>
    </row>
    <row r="35" spans="1:12" ht="15.75">
      <c r="A35" s="452" t="s">
        <v>605</v>
      </c>
      <c r="B35" s="477">
        <v>1550134</v>
      </c>
      <c r="C35" s="478">
        <v>1208033</v>
      </c>
      <c r="D35" s="529">
        <f t="shared" si="3"/>
        <v>2758167</v>
      </c>
      <c r="E35" s="479">
        <f t="shared" si="4"/>
        <v>0.77930875653330611</v>
      </c>
      <c r="F35"/>
      <c r="G35"/>
      <c r="H35"/>
      <c r="I35"/>
      <c r="J35"/>
      <c r="K35"/>
      <c r="L35"/>
    </row>
    <row r="36" spans="1:12" ht="15.75">
      <c r="A36" s="452" t="s">
        <v>606</v>
      </c>
      <c r="B36" s="477">
        <v>1545541</v>
      </c>
      <c r="C36" s="478">
        <v>1209278</v>
      </c>
      <c r="D36" s="529">
        <f t="shared" si="3"/>
        <v>2754819</v>
      </c>
      <c r="E36" s="479">
        <f t="shared" si="4"/>
        <v>0.78243022993243139</v>
      </c>
      <c r="F36"/>
      <c r="G36"/>
      <c r="H36"/>
      <c r="I36"/>
      <c r="J36"/>
      <c r="K36"/>
      <c r="L36"/>
    </row>
    <row r="37" spans="1:12" ht="15.75">
      <c r="A37" s="452" t="s">
        <v>607</v>
      </c>
      <c r="B37" s="477">
        <v>1539520</v>
      </c>
      <c r="C37" s="478">
        <v>1211525</v>
      </c>
      <c r="D37" s="529">
        <f t="shared" si="3"/>
        <v>2751045</v>
      </c>
      <c r="E37" s="479">
        <f t="shared" si="4"/>
        <v>0.78694982851797968</v>
      </c>
      <c r="F37"/>
      <c r="G37"/>
      <c r="H37"/>
      <c r="I37"/>
      <c r="J37"/>
      <c r="K37"/>
      <c r="L37"/>
    </row>
    <row r="38" spans="1:12" ht="15.75">
      <c r="A38" s="452" t="s">
        <v>608</v>
      </c>
      <c r="B38" s="477">
        <v>1534933</v>
      </c>
      <c r="C38" s="478">
        <v>1213460</v>
      </c>
      <c r="D38" s="529">
        <f t="shared" si="3"/>
        <v>2748393</v>
      </c>
      <c r="E38" s="479">
        <f>C38/B38</f>
        <v>0.79056219391986493</v>
      </c>
      <c r="F38"/>
      <c r="G38"/>
      <c r="H38"/>
      <c r="K38"/>
      <c r="L38"/>
    </row>
    <row r="39" spans="1:12" ht="15.75">
      <c r="A39" s="452" t="s">
        <v>571</v>
      </c>
      <c r="B39" s="477">
        <v>1538413</v>
      </c>
      <c r="C39" s="478">
        <v>1213532</v>
      </c>
      <c r="D39" s="529">
        <f t="shared" si="3"/>
        <v>2751945</v>
      </c>
      <c r="E39" s="479">
        <f>C39/B39</f>
        <v>0.78882068729268406</v>
      </c>
    </row>
    <row r="40" spans="1:12" ht="15.75">
      <c r="A40" s="452" t="s">
        <v>637</v>
      </c>
      <c r="B40" s="477">
        <v>1636967</v>
      </c>
      <c r="C40" s="478">
        <v>1211292</v>
      </c>
      <c r="D40" s="529">
        <f t="shared" si="3"/>
        <v>2848259</v>
      </c>
      <c r="E40" s="479">
        <f>C40/B40</f>
        <v>0.73996115987677213</v>
      </c>
    </row>
    <row r="41" spans="1:12" ht="15.75">
      <c r="A41" s="452" t="s">
        <v>635</v>
      </c>
      <c r="B41" s="477">
        <v>1795214</v>
      </c>
      <c r="C41" s="478">
        <v>1220432</v>
      </c>
      <c r="D41" s="529">
        <f t="shared" si="3"/>
        <v>3015646</v>
      </c>
      <c r="E41" s="479">
        <f>C41/B41</f>
        <v>0.67982535786819842</v>
      </c>
    </row>
    <row r="42" spans="1:12" ht="15.75">
      <c r="A42" s="473" t="s">
        <v>636</v>
      </c>
      <c r="B42" s="480">
        <v>1795214</v>
      </c>
      <c r="C42" s="481">
        <v>1220432</v>
      </c>
      <c r="D42" s="530">
        <f t="shared" si="3"/>
        <v>3015646</v>
      </c>
      <c r="E42" s="482">
        <f>C42/B42</f>
        <v>0.67982535786819842</v>
      </c>
    </row>
  </sheetData>
  <mergeCells count="1">
    <mergeCell ref="A1:N1"/>
  </mergeCells>
  <printOptions horizontalCentered="1" verticalCentered="1"/>
  <pageMargins left="0.4" right="0.4" top="0.25" bottom="0.25" header="0.31496062992126" footer="0.31496062992126"/>
  <pageSetup scale="6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95"/>
  <sheetViews>
    <sheetView showGridLines="0" view="pageBreakPreview" zoomScale="70" zoomScaleNormal="100" zoomScaleSheetLayoutView="70" zoomScalePageLayoutView="62" workbookViewId="0">
      <selection activeCell="J34" sqref="J34"/>
    </sheetView>
  </sheetViews>
  <sheetFormatPr baseColWidth="10" defaultColWidth="11.42578125" defaultRowHeight="15"/>
  <cols>
    <col min="1" max="1" width="14.140625" style="84" customWidth="1"/>
    <col min="2" max="2" width="13.7109375" style="84" customWidth="1"/>
    <col min="3" max="3" width="19.5703125" style="84" customWidth="1"/>
    <col min="4" max="4" width="16.85546875" style="84" customWidth="1"/>
    <col min="5" max="5" width="19.140625" style="84" bestFit="1" customWidth="1"/>
    <col min="6" max="6" width="20.85546875" style="84" customWidth="1"/>
    <col min="7" max="7" width="17" style="84" customWidth="1"/>
    <col min="8" max="8" width="22.28515625" style="84" bestFit="1" customWidth="1"/>
    <col min="9" max="9" width="14.85546875" style="84" customWidth="1"/>
    <col min="10" max="10" width="16.140625" style="84" customWidth="1"/>
    <col min="11" max="11" width="10.5703125" style="84" customWidth="1"/>
    <col min="12" max="12" width="10.28515625" style="84" customWidth="1"/>
    <col min="13" max="13" width="13.140625" style="84" customWidth="1"/>
    <col min="14" max="15" width="11.140625" style="84" customWidth="1"/>
    <col min="16" max="16" width="13.7109375" style="84" customWidth="1"/>
    <col min="17" max="17" width="19.7109375" style="84" customWidth="1"/>
    <col min="18" max="18" width="16.140625" style="84" customWidth="1"/>
    <col min="19" max="19" width="14" style="84" customWidth="1"/>
    <col min="20" max="25" width="11.42578125" style="84"/>
    <col min="26" max="26" width="18.7109375" style="84" bestFit="1" customWidth="1"/>
    <col min="27" max="16384" width="11.42578125" style="84"/>
  </cols>
  <sheetData>
    <row r="1" spans="1:18" ht="109.5" customHeight="1">
      <c r="A1" s="1768"/>
      <c r="B1" s="1768"/>
      <c r="C1" s="1768"/>
      <c r="D1" s="1768"/>
      <c r="E1" s="1768"/>
      <c r="F1" s="1768"/>
      <c r="G1" s="1768"/>
      <c r="H1" s="1768"/>
      <c r="I1" s="1768"/>
      <c r="J1" s="1768"/>
      <c r="K1" s="1768"/>
      <c r="L1" s="1768"/>
      <c r="M1" s="1768"/>
      <c r="N1" s="1768"/>
      <c r="O1" s="1768"/>
      <c r="P1" s="1768"/>
    </row>
    <row r="2" spans="1:18" ht="9" customHeight="1">
      <c r="A2" s="1388"/>
      <c r="B2" s="1388"/>
      <c r="C2" s="1388"/>
      <c r="D2" s="1388"/>
      <c r="E2" s="1388"/>
      <c r="F2" s="1388"/>
      <c r="G2" s="1388"/>
      <c r="H2" s="1388"/>
      <c r="I2" s="1388"/>
      <c r="J2" s="1388"/>
      <c r="K2" s="1388"/>
      <c r="L2" s="1388"/>
      <c r="M2" s="1388"/>
      <c r="N2" s="1388"/>
      <c r="O2" s="1388"/>
      <c r="P2" s="1388"/>
    </row>
    <row r="3" spans="1:18" ht="28.5">
      <c r="A3" s="1778" t="s">
        <v>47</v>
      </c>
      <c r="B3" s="1784" t="s">
        <v>50</v>
      </c>
      <c r="C3" s="1785"/>
      <c r="D3" s="1776" t="s">
        <v>835</v>
      </c>
      <c r="E3" s="1785" t="s">
        <v>51</v>
      </c>
      <c r="F3" s="1785"/>
      <c r="G3" s="1776" t="s">
        <v>836</v>
      </c>
      <c r="H3" s="1770" t="s">
        <v>896</v>
      </c>
      <c r="I3" s="1388"/>
      <c r="J3" s="1388"/>
      <c r="K3" s="1388"/>
      <c r="L3" s="1388"/>
      <c r="M3" s="1388"/>
      <c r="N3" s="1388"/>
      <c r="O3" s="1388"/>
      <c r="P3" s="1388"/>
      <c r="Q3" s="19"/>
      <c r="R3" s="19"/>
    </row>
    <row r="4" spans="1:18" s="55" customFormat="1" ht="31.5">
      <c r="A4" s="1779"/>
      <c r="B4" s="627" t="s">
        <v>831</v>
      </c>
      <c r="C4" s="627" t="s">
        <v>832</v>
      </c>
      <c r="D4" s="1777"/>
      <c r="E4" s="352" t="s">
        <v>831</v>
      </c>
      <c r="F4" s="352" t="s">
        <v>832</v>
      </c>
      <c r="G4" s="1777"/>
      <c r="H4" s="1771"/>
      <c r="I4" s="84"/>
      <c r="J4" s="84"/>
      <c r="K4" s="84"/>
      <c r="L4" s="84"/>
      <c r="M4" s="84"/>
      <c r="N4" s="84"/>
      <c r="O4" s="84"/>
      <c r="P4" s="84"/>
      <c r="Q4" s="1397"/>
    </row>
    <row r="5" spans="1:18" ht="15.75" hidden="1">
      <c r="A5" s="1448">
        <v>40940</v>
      </c>
      <c r="B5" s="1449">
        <v>1190787</v>
      </c>
      <c r="C5" s="1450" t="e">
        <f>#REF!+D5</f>
        <v>#REF!</v>
      </c>
      <c r="D5" s="1534">
        <v>98742</v>
      </c>
      <c r="E5" s="1451" t="e">
        <f t="shared" ref="E5:E15" si="0">B5+C5</f>
        <v>#REF!</v>
      </c>
      <c r="F5" s="1389" t="e">
        <f t="shared" ref="F5:F23" si="1">B5/E5</f>
        <v>#REF!</v>
      </c>
      <c r="G5" s="1538"/>
      <c r="H5" s="1452"/>
      <c r="Q5" s="1397"/>
    </row>
    <row r="6" spans="1:18" ht="15.75" hidden="1">
      <c r="A6" s="1448">
        <v>40969</v>
      </c>
      <c r="B6" s="1449">
        <v>1205800</v>
      </c>
      <c r="C6" s="1450" t="e">
        <f>#REF!+D6</f>
        <v>#REF!</v>
      </c>
      <c r="D6" s="1534">
        <v>101573</v>
      </c>
      <c r="E6" s="1451" t="e">
        <f t="shared" si="0"/>
        <v>#REF!</v>
      </c>
      <c r="F6" s="1389" t="e">
        <f t="shared" si="1"/>
        <v>#REF!</v>
      </c>
      <c r="G6" s="1538"/>
      <c r="H6" s="1452"/>
      <c r="Q6" s="1397"/>
    </row>
    <row r="7" spans="1:18" ht="15.75" hidden="1">
      <c r="A7" s="1448">
        <v>41000</v>
      </c>
      <c r="B7" s="1449">
        <v>1211245</v>
      </c>
      <c r="C7" s="1450" t="e">
        <f>#REF!+D7</f>
        <v>#REF!</v>
      </c>
      <c r="D7" s="1534">
        <v>103266</v>
      </c>
      <c r="E7" s="1451" t="e">
        <f t="shared" si="0"/>
        <v>#REF!</v>
      </c>
      <c r="F7" s="1389" t="e">
        <f t="shared" si="1"/>
        <v>#REF!</v>
      </c>
      <c r="G7" s="1538"/>
      <c r="H7" s="1452"/>
      <c r="Q7" s="1397"/>
    </row>
    <row r="8" spans="1:18" ht="15.75" hidden="1">
      <c r="A8" s="1448">
        <v>41030</v>
      </c>
      <c r="B8" s="1449">
        <v>1214917</v>
      </c>
      <c r="C8" s="1450" t="e">
        <f>#REF!+D8</f>
        <v>#REF!</v>
      </c>
      <c r="D8" s="1534">
        <v>105374</v>
      </c>
      <c r="E8" s="1451" t="e">
        <f t="shared" si="0"/>
        <v>#REF!</v>
      </c>
      <c r="F8" s="1389" t="e">
        <f t="shared" si="1"/>
        <v>#REF!</v>
      </c>
      <c r="G8" s="1538"/>
      <c r="H8" s="1452"/>
      <c r="Q8" s="1397"/>
    </row>
    <row r="9" spans="1:18" ht="15.75" hidden="1">
      <c r="A9" s="1448">
        <v>41061</v>
      </c>
      <c r="B9" s="1449">
        <v>1223012</v>
      </c>
      <c r="C9" s="1450" t="e">
        <f>#REF!+D9</f>
        <v>#REF!</v>
      </c>
      <c r="D9" s="1534">
        <v>107326</v>
      </c>
      <c r="E9" s="1451" t="e">
        <f t="shared" si="0"/>
        <v>#REF!</v>
      </c>
      <c r="F9" s="1389" t="e">
        <f t="shared" si="1"/>
        <v>#REF!</v>
      </c>
      <c r="G9" s="1538"/>
      <c r="H9" s="1452"/>
      <c r="Q9" s="1397"/>
    </row>
    <row r="10" spans="1:18" ht="15.75" hidden="1">
      <c r="A10" s="1448">
        <v>41122</v>
      </c>
      <c r="B10" s="1449">
        <v>1221877</v>
      </c>
      <c r="C10" s="1450" t="e">
        <f>#REF!+D10</f>
        <v>#REF!</v>
      </c>
      <c r="D10" s="1534">
        <v>108545</v>
      </c>
      <c r="E10" s="1451" t="e">
        <f t="shared" si="0"/>
        <v>#REF!</v>
      </c>
      <c r="F10" s="1389" t="e">
        <f t="shared" si="1"/>
        <v>#REF!</v>
      </c>
      <c r="G10" s="1538"/>
      <c r="H10" s="1452"/>
      <c r="Q10" s="1397"/>
    </row>
    <row r="11" spans="1:18" ht="15.75" hidden="1">
      <c r="A11" s="1448">
        <v>41153</v>
      </c>
      <c r="B11" s="1449">
        <f>+'[2]IV.1.1.1 Afil. SFS RC Anual '!B9</f>
        <v>1242830</v>
      </c>
      <c r="C11" s="1450" t="e">
        <f>#REF!+D11</f>
        <v>#REF!</v>
      </c>
      <c r="D11" s="1534">
        <v>111375</v>
      </c>
      <c r="E11" s="1451" t="e">
        <f t="shared" si="0"/>
        <v>#REF!</v>
      </c>
      <c r="F11" s="1389" t="e">
        <f t="shared" si="1"/>
        <v>#REF!</v>
      </c>
      <c r="G11" s="1538"/>
      <c r="H11" s="1452"/>
      <c r="Q11" s="1397"/>
    </row>
    <row r="12" spans="1:18" ht="15.75" hidden="1">
      <c r="A12" s="1448">
        <v>41183</v>
      </c>
      <c r="B12" s="1453">
        <v>1229165</v>
      </c>
      <c r="C12" s="1450" t="e">
        <f>#REF!+D12</f>
        <v>#REF!</v>
      </c>
      <c r="D12" s="1534">
        <v>111078</v>
      </c>
      <c r="E12" s="1451" t="e">
        <f t="shared" si="0"/>
        <v>#REF!</v>
      </c>
      <c r="F12" s="1389" t="e">
        <f t="shared" si="1"/>
        <v>#REF!</v>
      </c>
      <c r="G12" s="1538"/>
      <c r="H12" s="1452"/>
      <c r="Q12" s="1397"/>
    </row>
    <row r="13" spans="1:18" s="144" customFormat="1" ht="15.75" hidden="1">
      <c r="A13" s="1448">
        <v>41214</v>
      </c>
      <c r="B13" s="1453">
        <v>1237619</v>
      </c>
      <c r="C13" s="1450" t="e">
        <f>#REF!+D13</f>
        <v>#REF!</v>
      </c>
      <c r="D13" s="1534">
        <v>112188</v>
      </c>
      <c r="E13" s="1451" t="e">
        <f t="shared" si="0"/>
        <v>#REF!</v>
      </c>
      <c r="F13" s="1389" t="e">
        <f t="shared" si="1"/>
        <v>#REF!</v>
      </c>
      <c r="G13" s="1538"/>
      <c r="H13" s="1452"/>
      <c r="I13" s="84"/>
      <c r="J13" s="84"/>
      <c r="K13" s="84"/>
      <c r="L13" s="84"/>
      <c r="M13" s="84"/>
      <c r="N13" s="84"/>
      <c r="O13" s="84"/>
      <c r="P13" s="84"/>
      <c r="Q13" s="1397"/>
    </row>
    <row r="14" spans="1:18" ht="15.75" hidden="1">
      <c r="A14" s="1448">
        <v>41244</v>
      </c>
      <c r="B14" s="1453">
        <v>1242830</v>
      </c>
      <c r="C14" s="1450" t="e">
        <f>#REF!+D14</f>
        <v>#REF!</v>
      </c>
      <c r="D14" s="1534">
        <v>113103</v>
      </c>
      <c r="E14" s="1451" t="e">
        <f t="shared" si="0"/>
        <v>#REF!</v>
      </c>
      <c r="F14" s="1389" t="e">
        <f t="shared" si="1"/>
        <v>#REF!</v>
      </c>
      <c r="G14" s="1538"/>
      <c r="H14" s="1452"/>
      <c r="Q14" s="1397"/>
    </row>
    <row r="15" spans="1:18" ht="15.75" hidden="1">
      <c r="A15" s="1448">
        <v>41275</v>
      </c>
      <c r="B15" s="1453">
        <v>1240536</v>
      </c>
      <c r="C15" s="1450" t="e">
        <f>#REF!+D15</f>
        <v>#REF!</v>
      </c>
      <c r="D15" s="1534">
        <v>113923</v>
      </c>
      <c r="E15" s="1451" t="e">
        <f t="shared" si="0"/>
        <v>#REF!</v>
      </c>
      <c r="F15" s="1389" t="e">
        <f t="shared" si="1"/>
        <v>#REF!</v>
      </c>
      <c r="G15" s="1538"/>
      <c r="H15" s="1452"/>
      <c r="Q15" s="1397"/>
    </row>
    <row r="16" spans="1:18" ht="15.75" hidden="1">
      <c r="A16" s="1448">
        <v>41306</v>
      </c>
      <c r="B16" s="1453">
        <v>1249039</v>
      </c>
      <c r="C16" s="1450" t="e">
        <f>#REF!+D16</f>
        <v>#REF!</v>
      </c>
      <c r="D16" s="1534">
        <v>115450</v>
      </c>
      <c r="E16" s="1451" t="e">
        <f>+B16+#REF!+D16</f>
        <v>#REF!</v>
      </c>
      <c r="F16" s="1389" t="e">
        <f t="shared" si="1"/>
        <v>#REF!</v>
      </c>
      <c r="G16" s="1538"/>
      <c r="H16" s="1452"/>
      <c r="Q16" s="1397"/>
    </row>
    <row r="17" spans="1:20" ht="15.75" hidden="1">
      <c r="A17" s="1448">
        <v>41334</v>
      </c>
      <c r="B17" s="1453">
        <v>1260455</v>
      </c>
      <c r="C17" s="1450" t="e">
        <f>#REF!+D17</f>
        <v>#REF!</v>
      </c>
      <c r="D17" s="1534">
        <v>118102</v>
      </c>
      <c r="E17" s="1451" t="e">
        <f>+B17+#REF!+D17</f>
        <v>#REF!</v>
      </c>
      <c r="F17" s="1389" t="e">
        <f t="shared" si="1"/>
        <v>#REF!</v>
      </c>
      <c r="G17" s="1538"/>
      <c r="H17" s="1452"/>
      <c r="Q17" s="1397"/>
    </row>
    <row r="18" spans="1:20" ht="18.75" hidden="1" customHeight="1">
      <c r="A18" s="1448">
        <v>41365</v>
      </c>
      <c r="B18" s="1453">
        <v>1264822</v>
      </c>
      <c r="C18" s="1450" t="e">
        <f>#REF!+D18</f>
        <v>#REF!</v>
      </c>
      <c r="D18" s="1534">
        <v>119727</v>
      </c>
      <c r="E18" s="1451" t="e">
        <f>+B18+#REF!+D18</f>
        <v>#REF!</v>
      </c>
      <c r="F18" s="1389" t="e">
        <f t="shared" si="1"/>
        <v>#REF!</v>
      </c>
      <c r="G18" s="1538"/>
      <c r="H18" s="1452"/>
      <c r="Q18" s="1397"/>
    </row>
    <row r="19" spans="1:20" ht="15.75" hidden="1">
      <c r="A19" s="1448">
        <v>41395</v>
      </c>
      <c r="B19" s="1453">
        <v>1277798</v>
      </c>
      <c r="C19" s="1450" t="e">
        <f>#REF!+D19</f>
        <v>#REF!</v>
      </c>
      <c r="D19" s="1534">
        <v>122271</v>
      </c>
      <c r="E19" s="1451" t="e">
        <f>+B19+#REF!+D19</f>
        <v>#REF!</v>
      </c>
      <c r="F19" s="1389" t="e">
        <f t="shared" si="1"/>
        <v>#REF!</v>
      </c>
      <c r="G19" s="1538"/>
      <c r="H19" s="1452"/>
      <c r="Q19" s="1397"/>
    </row>
    <row r="20" spans="1:20" ht="15.75" hidden="1">
      <c r="A20" s="1448">
        <v>41426</v>
      </c>
      <c r="B20" s="1453">
        <v>1287291</v>
      </c>
      <c r="C20" s="1450" t="e">
        <f>#REF!+D20</f>
        <v>#REF!</v>
      </c>
      <c r="D20" s="1534">
        <v>124468</v>
      </c>
      <c r="E20" s="1451" t="e">
        <f>+B20+#REF!+D20</f>
        <v>#REF!</v>
      </c>
      <c r="F20" s="1389" t="e">
        <f t="shared" si="1"/>
        <v>#REF!</v>
      </c>
      <c r="G20" s="1538"/>
      <c r="H20" s="1452"/>
      <c r="Q20" s="1397"/>
    </row>
    <row r="21" spans="1:20" ht="15.75" hidden="1">
      <c r="A21" s="1448">
        <v>41456</v>
      </c>
      <c r="B21" s="1453">
        <v>1291631</v>
      </c>
      <c r="C21" s="1450" t="e">
        <f>#REF!+D21</f>
        <v>#REF!</v>
      </c>
      <c r="D21" s="1534">
        <v>126105</v>
      </c>
      <c r="E21" s="1451" t="e">
        <f>+B21+#REF!+D21</f>
        <v>#REF!</v>
      </c>
      <c r="F21" s="1389" t="e">
        <f t="shared" si="1"/>
        <v>#REF!</v>
      </c>
      <c r="G21" s="1538"/>
      <c r="H21" s="1452"/>
      <c r="Q21" s="1397"/>
    </row>
    <row r="22" spans="1:20" ht="15.75" hidden="1">
      <c r="A22" s="1448">
        <v>41487</v>
      </c>
      <c r="B22" s="1453">
        <v>1300657</v>
      </c>
      <c r="C22" s="1450" t="e">
        <f>#REF!+D22</f>
        <v>#REF!</v>
      </c>
      <c r="D22" s="1534">
        <v>127579</v>
      </c>
      <c r="E22" s="1451" t="e">
        <f>+B22+#REF!+D22</f>
        <v>#REF!</v>
      </c>
      <c r="F22" s="1389" t="e">
        <f t="shared" si="1"/>
        <v>#REF!</v>
      </c>
      <c r="G22" s="1538"/>
      <c r="H22" s="1452"/>
      <c r="Q22" s="1397"/>
    </row>
    <row r="23" spans="1:20" ht="15.75" hidden="1">
      <c r="A23" s="1448">
        <v>41518</v>
      </c>
      <c r="B23" s="1453">
        <v>1303324</v>
      </c>
      <c r="C23" s="1450" t="e">
        <f>#REF!+D23</f>
        <v>#REF!</v>
      </c>
      <c r="D23" s="1534">
        <v>128961</v>
      </c>
      <c r="E23" s="1451" t="e">
        <f>+B23+#REF!+D23</f>
        <v>#REF!</v>
      </c>
      <c r="F23" s="1389" t="e">
        <f t="shared" si="1"/>
        <v>#REF!</v>
      </c>
      <c r="G23" s="1538"/>
      <c r="H23" s="1452"/>
      <c r="Q23" s="1397"/>
    </row>
    <row r="24" spans="1:20" ht="15.75" hidden="1">
      <c r="A24" s="1448">
        <v>41548</v>
      </c>
      <c r="B24" s="1453">
        <v>1299098</v>
      </c>
      <c r="C24" s="1450" t="e">
        <f>#REF!+D24</f>
        <v>#REF!</v>
      </c>
      <c r="D24" s="1534">
        <v>130089</v>
      </c>
      <c r="E24" s="1451" t="e">
        <f>+B24+#REF!+D24</f>
        <v>#REF!</v>
      </c>
      <c r="F24" s="1454" t="e">
        <f>C24/B24</f>
        <v>#REF!</v>
      </c>
      <c r="G24" s="1538"/>
      <c r="H24" s="1452"/>
      <c r="Q24" s="1397"/>
    </row>
    <row r="25" spans="1:20" ht="15.75" hidden="1">
      <c r="A25" s="1448">
        <v>41579</v>
      </c>
      <c r="B25" s="1453">
        <v>1312472</v>
      </c>
      <c r="C25" s="1450" t="e">
        <f>#REF!+D25</f>
        <v>#REF!</v>
      </c>
      <c r="D25" s="1534">
        <v>131856</v>
      </c>
      <c r="E25" s="1451" t="e">
        <f>+B25+#REF!+D25</f>
        <v>#REF!</v>
      </c>
      <c r="F25" s="1454" t="e">
        <f>C25/B25</f>
        <v>#REF!</v>
      </c>
      <c r="G25" s="1538"/>
      <c r="H25" s="1452"/>
      <c r="Q25" s="1397"/>
    </row>
    <row r="26" spans="1:20" ht="15.75" hidden="1">
      <c r="A26" s="1448">
        <v>41609</v>
      </c>
      <c r="B26" s="1453">
        <v>1297821</v>
      </c>
      <c r="C26" s="1450" t="e">
        <f>#REF!+D26</f>
        <v>#REF!</v>
      </c>
      <c r="D26" s="1534">
        <v>132011</v>
      </c>
      <c r="E26" s="1451" t="e">
        <f>+B26+#REF!+D26</f>
        <v>#REF!</v>
      </c>
      <c r="F26" s="1454" t="e">
        <f>C26/B26</f>
        <v>#REF!</v>
      </c>
      <c r="G26" s="1538"/>
      <c r="H26" s="1452"/>
      <c r="Q26" s="1397"/>
    </row>
    <row r="27" spans="1:20" ht="15.75">
      <c r="A27" s="1455" t="s">
        <v>530</v>
      </c>
      <c r="B27" s="1456">
        <v>169757</v>
      </c>
      <c r="C27" s="1457">
        <v>310064</v>
      </c>
      <c r="D27" s="1535">
        <f>B27+C27</f>
        <v>479821</v>
      </c>
      <c r="E27" s="1457">
        <v>303890</v>
      </c>
      <c r="F27" s="1457">
        <v>298225</v>
      </c>
      <c r="G27" s="1535">
        <f>E27+F27</f>
        <v>602115</v>
      </c>
      <c r="H27" s="1458">
        <f t="shared" ref="H27:H35" si="2">D27+G27</f>
        <v>1081936</v>
      </c>
      <c r="Q27" s="1397"/>
      <c r="R27" s="130"/>
      <c r="T27" s="1173"/>
    </row>
    <row r="28" spans="1:20" ht="15.75">
      <c r="A28" s="723" t="s">
        <v>500</v>
      </c>
      <c r="B28" s="1453">
        <v>169198</v>
      </c>
      <c r="C28" s="1450">
        <v>376240</v>
      </c>
      <c r="D28" s="1536">
        <f t="shared" ref="D28:D34" si="3">B28+C28</f>
        <v>545438</v>
      </c>
      <c r="E28" s="1450">
        <v>320751</v>
      </c>
      <c r="F28" s="1450">
        <v>358454</v>
      </c>
      <c r="G28" s="1536">
        <f t="shared" ref="G28:G35" si="4">E28+F28</f>
        <v>679205</v>
      </c>
      <c r="H28" s="1459">
        <f t="shared" si="2"/>
        <v>1224643</v>
      </c>
      <c r="Q28" s="1397"/>
      <c r="R28" s="130"/>
      <c r="T28" s="1173"/>
    </row>
    <row r="29" spans="1:20" ht="15.75">
      <c r="A29" s="618" t="s">
        <v>439</v>
      </c>
      <c r="B29" s="1453">
        <v>213701</v>
      </c>
      <c r="C29" s="1450">
        <v>401930</v>
      </c>
      <c r="D29" s="1536">
        <f t="shared" si="3"/>
        <v>615631</v>
      </c>
      <c r="E29" s="1450">
        <v>408348</v>
      </c>
      <c r="F29" s="1450">
        <v>380246</v>
      </c>
      <c r="G29" s="1536">
        <f t="shared" si="4"/>
        <v>788594</v>
      </c>
      <c r="H29" s="1459">
        <f t="shared" si="2"/>
        <v>1404225</v>
      </c>
      <c r="Q29" s="1397"/>
      <c r="R29" s="130"/>
      <c r="T29" s="1173"/>
    </row>
    <row r="30" spans="1:20" ht="15.75">
      <c r="A30" s="723" t="s">
        <v>440</v>
      </c>
      <c r="B30" s="1453">
        <v>328922</v>
      </c>
      <c r="C30" s="1450">
        <v>575714</v>
      </c>
      <c r="D30" s="1536">
        <f t="shared" si="3"/>
        <v>904636</v>
      </c>
      <c r="E30" s="1450">
        <v>574328</v>
      </c>
      <c r="F30" s="1450">
        <v>534822</v>
      </c>
      <c r="G30" s="1536">
        <f t="shared" si="4"/>
        <v>1109150</v>
      </c>
      <c r="H30" s="1459">
        <f t="shared" si="2"/>
        <v>2013786</v>
      </c>
      <c r="Q30" s="1397"/>
      <c r="R30" s="130"/>
      <c r="T30" s="1173"/>
    </row>
    <row r="31" spans="1:20" ht="15.75">
      <c r="A31" s="618" t="s">
        <v>441</v>
      </c>
      <c r="B31" s="1453">
        <v>319816</v>
      </c>
      <c r="C31" s="1450">
        <v>579358</v>
      </c>
      <c r="D31" s="1536">
        <f t="shared" si="3"/>
        <v>899174</v>
      </c>
      <c r="E31" s="1450">
        <v>563959</v>
      </c>
      <c r="F31" s="1450">
        <v>540294</v>
      </c>
      <c r="G31" s="1536">
        <f t="shared" si="4"/>
        <v>1104253</v>
      </c>
      <c r="H31" s="1459">
        <f t="shared" si="2"/>
        <v>2003427</v>
      </c>
      <c r="Q31" s="1397"/>
      <c r="R31" s="130"/>
      <c r="T31" s="1173"/>
    </row>
    <row r="32" spans="1:20" ht="15.75">
      <c r="A32" s="723" t="s">
        <v>501</v>
      </c>
      <c r="B32" s="1453">
        <v>446880</v>
      </c>
      <c r="C32" s="1450">
        <v>584446</v>
      </c>
      <c r="D32" s="1536">
        <f t="shared" si="3"/>
        <v>1031326</v>
      </c>
      <c r="E32" s="1450">
        <v>731160</v>
      </c>
      <c r="F32" s="1450">
        <v>540865</v>
      </c>
      <c r="G32" s="1536">
        <f t="shared" si="4"/>
        <v>1272025</v>
      </c>
      <c r="H32" s="1459">
        <f t="shared" si="2"/>
        <v>2303351</v>
      </c>
      <c r="Q32" s="1397"/>
      <c r="R32" s="130"/>
      <c r="T32" s="1173"/>
    </row>
    <row r="33" spans="1:20" ht="15.75">
      <c r="A33" s="618" t="s">
        <v>570</v>
      </c>
      <c r="B33" s="1453">
        <v>625451</v>
      </c>
      <c r="C33" s="1450">
        <v>617980</v>
      </c>
      <c r="D33" s="1536">
        <f t="shared" si="3"/>
        <v>1243431</v>
      </c>
      <c r="E33" s="1450">
        <v>942774</v>
      </c>
      <c r="F33" s="1450">
        <v>565548</v>
      </c>
      <c r="G33" s="1536">
        <f t="shared" si="4"/>
        <v>1508322</v>
      </c>
      <c r="H33" s="1459">
        <f t="shared" si="2"/>
        <v>2751753</v>
      </c>
      <c r="Q33" s="1397"/>
      <c r="R33" s="130"/>
      <c r="T33" s="1173"/>
    </row>
    <row r="34" spans="1:20" ht="15.75">
      <c r="A34" s="723" t="s">
        <v>635</v>
      </c>
      <c r="B34" s="1453">
        <v>760801</v>
      </c>
      <c r="C34" s="1450">
        <v>639717</v>
      </c>
      <c r="D34" s="1536">
        <f t="shared" si="3"/>
        <v>1400518</v>
      </c>
      <c r="E34" s="1450">
        <v>1034413</v>
      </c>
      <c r="F34" s="1450">
        <v>580715</v>
      </c>
      <c r="G34" s="1536">
        <f t="shared" si="4"/>
        <v>1615128</v>
      </c>
      <c r="H34" s="1459">
        <f t="shared" si="2"/>
        <v>3015646</v>
      </c>
      <c r="Q34" s="1397"/>
      <c r="R34" s="130"/>
      <c r="T34" s="1173"/>
    </row>
    <row r="35" spans="1:20" ht="15.75">
      <c r="A35" s="634" t="s">
        <v>636</v>
      </c>
      <c r="B35" s="1460">
        <v>756929</v>
      </c>
      <c r="C35" s="1461">
        <v>636801</v>
      </c>
      <c r="D35" s="1537">
        <f>B35+C35</f>
        <v>1393730</v>
      </c>
      <c r="E35" s="1461">
        <v>1029188</v>
      </c>
      <c r="F35" s="1461">
        <v>578063</v>
      </c>
      <c r="G35" s="1537">
        <f t="shared" si="4"/>
        <v>1607251</v>
      </c>
      <c r="H35" s="1462">
        <f t="shared" si="2"/>
        <v>3000981</v>
      </c>
      <c r="Q35" s="1397"/>
      <c r="R35" s="130"/>
      <c r="T35" s="1173"/>
    </row>
    <row r="36" spans="1:20" ht="25.5" customHeight="1">
      <c r="A36" s="1754" t="s">
        <v>588</v>
      </c>
      <c r="B36" s="1754"/>
      <c r="C36" s="1754"/>
      <c r="D36" s="1754"/>
      <c r="E36" s="1754"/>
      <c r="F36" s="1754"/>
      <c r="H36" s="34"/>
      <c r="I36" s="34"/>
      <c r="J36" s="34"/>
      <c r="K36" s="34"/>
      <c r="L36" s="34"/>
      <c r="M36" s="34"/>
      <c r="N36" s="34"/>
      <c r="O36" s="34"/>
      <c r="P36" s="34"/>
    </row>
    <row r="37" spans="1:20" ht="25.5" customHeight="1">
      <c r="A37" s="34"/>
      <c r="B37" s="34"/>
      <c r="C37" s="34"/>
      <c r="D37" s="34"/>
      <c r="E37" s="34"/>
      <c r="F37" s="34"/>
      <c r="H37" s="34"/>
      <c r="I37" s="34"/>
      <c r="J37" s="34"/>
      <c r="K37" s="34"/>
      <c r="L37" s="34"/>
      <c r="M37" s="34"/>
      <c r="N37" s="34"/>
      <c r="O37" s="34"/>
      <c r="P37" s="34"/>
    </row>
    <row r="38" spans="1:20" ht="25.5" customHeight="1">
      <c r="A38" s="34"/>
      <c r="B38" s="34"/>
      <c r="C38" s="34"/>
      <c r="D38" s="34"/>
      <c r="E38" s="34"/>
      <c r="F38" s="34"/>
      <c r="H38" s="34"/>
      <c r="I38" s="34"/>
      <c r="J38" s="34"/>
      <c r="K38" s="34"/>
      <c r="L38" s="34"/>
      <c r="M38" s="34"/>
      <c r="N38" s="34"/>
      <c r="O38" s="34"/>
      <c r="P38" s="34"/>
      <c r="Q38" s="130"/>
    </row>
    <row r="39" spans="1:20" ht="25.5" customHeight="1">
      <c r="H39" s="34"/>
      <c r="I39" s="34"/>
      <c r="J39" s="34"/>
      <c r="K39" s="34"/>
      <c r="L39" s="34"/>
      <c r="M39" s="34"/>
      <c r="N39" s="34"/>
      <c r="O39" s="34"/>
      <c r="P39" s="34"/>
      <c r="Q39" s="130"/>
    </row>
    <row r="40" spans="1:20" ht="25.5" customHeight="1">
      <c r="A40" s="34"/>
      <c r="B40" s="34"/>
      <c r="C40" s="34"/>
      <c r="D40" s="34"/>
      <c r="E40" s="34"/>
      <c r="F40" s="34"/>
      <c r="H40" s="34"/>
      <c r="I40" s="34"/>
      <c r="J40" s="34"/>
      <c r="K40" s="34"/>
      <c r="L40" s="34"/>
      <c r="M40" s="34"/>
      <c r="N40" s="34"/>
      <c r="O40" s="34"/>
      <c r="P40" s="34"/>
      <c r="Q40" s="130"/>
      <c r="R40" s="293"/>
    </row>
    <row r="41" spans="1:20" ht="25.5" customHeight="1">
      <c r="A41" s="34"/>
      <c r="B41" s="34"/>
      <c r="C41" s="34"/>
      <c r="D41" s="34"/>
      <c r="E41" s="34"/>
      <c r="F41" s="34"/>
      <c r="H41" s="34"/>
      <c r="I41" s="34"/>
      <c r="J41" s="34"/>
      <c r="K41" s="34"/>
      <c r="L41" s="34"/>
      <c r="M41" s="34"/>
      <c r="N41" s="34"/>
      <c r="O41" s="34"/>
      <c r="P41" s="34"/>
      <c r="Q41" s="130"/>
      <c r="R41" s="293"/>
    </row>
    <row r="42" spans="1:20" ht="25.5" customHeight="1">
      <c r="A42" s="34"/>
      <c r="B42" s="34"/>
      <c r="C42" s="34"/>
      <c r="D42" s="34"/>
      <c r="E42" s="34"/>
      <c r="F42" s="34"/>
      <c r="G42" s="34"/>
      <c r="H42" s="34"/>
      <c r="I42" s="34"/>
      <c r="J42" s="34"/>
      <c r="K42" s="34"/>
      <c r="L42" s="34"/>
      <c r="M42" s="34"/>
      <c r="N42" s="34"/>
      <c r="O42" s="34"/>
      <c r="P42" s="34"/>
      <c r="Q42" s="130"/>
      <c r="R42" s="293"/>
    </row>
    <row r="43" spans="1:20" ht="25.5" customHeight="1">
      <c r="A43" s="34"/>
      <c r="B43" s="34"/>
      <c r="C43" s="34"/>
      <c r="D43" s="34"/>
      <c r="E43" s="34"/>
      <c r="F43" s="34"/>
      <c r="G43" s="34"/>
      <c r="H43" s="34"/>
      <c r="I43" s="34"/>
      <c r="J43" s="34"/>
      <c r="K43" s="34"/>
      <c r="L43" s="34"/>
      <c r="M43" s="34"/>
      <c r="N43" s="34"/>
      <c r="O43" s="34"/>
      <c r="P43" s="34"/>
      <c r="Q43" s="130"/>
      <c r="R43" s="293"/>
    </row>
    <row r="44" spans="1:20" ht="25.5" customHeight="1">
      <c r="A44" s="34"/>
      <c r="B44" s="34"/>
      <c r="C44" s="34"/>
      <c r="D44" s="34"/>
      <c r="E44" s="34"/>
      <c r="F44" s="34"/>
      <c r="G44" s="34"/>
      <c r="H44" s="34"/>
      <c r="I44" s="34"/>
      <c r="J44" s="34"/>
      <c r="K44" s="34"/>
      <c r="L44" s="34"/>
      <c r="M44" s="34"/>
      <c r="N44" s="34"/>
      <c r="O44" s="34"/>
      <c r="P44" s="34"/>
      <c r="Q44" s="130"/>
      <c r="R44" s="293"/>
    </row>
    <row r="45" spans="1:20" ht="25.5" customHeight="1">
      <c r="A45" s="34"/>
      <c r="B45" s="34"/>
      <c r="C45" s="34"/>
      <c r="D45" s="34"/>
      <c r="E45" s="34"/>
      <c r="F45" s="34"/>
      <c r="G45" s="34"/>
      <c r="H45" s="34"/>
      <c r="I45" s="34"/>
      <c r="J45" s="34"/>
      <c r="K45" s="34"/>
      <c r="L45" s="34"/>
      <c r="M45" s="34"/>
      <c r="N45" s="34"/>
      <c r="O45" s="34"/>
      <c r="P45" s="34"/>
      <c r="Q45" s="130"/>
      <c r="R45" s="293"/>
    </row>
    <row r="46" spans="1:20" ht="25.5" customHeight="1">
      <c r="A46" s="34"/>
      <c r="B46" s="34"/>
      <c r="C46" s="34"/>
      <c r="D46" s="34"/>
      <c r="E46" s="34"/>
      <c r="F46" s="34"/>
      <c r="G46" s="34"/>
      <c r="H46" s="34"/>
      <c r="I46" s="34"/>
      <c r="J46" s="34"/>
      <c r="K46" s="34"/>
      <c r="L46" s="34"/>
      <c r="M46" s="34"/>
      <c r="N46" s="34"/>
      <c r="O46" s="34"/>
      <c r="P46" s="34"/>
      <c r="Q46" s="130"/>
      <c r="R46" s="293"/>
      <c r="S46" s="130"/>
    </row>
    <row r="47" spans="1:20" ht="25.5" customHeight="1">
      <c r="A47" s="34"/>
      <c r="B47" s="34"/>
      <c r="C47" s="34"/>
      <c r="D47" s="34"/>
      <c r="E47" s="34"/>
      <c r="F47" s="34"/>
      <c r="G47" s="34"/>
      <c r="H47" s="34"/>
      <c r="I47" s="34"/>
      <c r="J47" s="34"/>
      <c r="K47" s="34"/>
      <c r="L47" s="34"/>
      <c r="M47" s="34"/>
      <c r="N47" s="34"/>
      <c r="O47" s="34"/>
      <c r="P47" s="34"/>
      <c r="Q47" s="130"/>
      <c r="R47" s="293"/>
    </row>
    <row r="48" spans="1:20" ht="25.5" customHeight="1">
      <c r="A48" s="34"/>
      <c r="B48" s="34"/>
      <c r="C48" s="34"/>
      <c r="D48" s="34"/>
      <c r="E48" s="34"/>
      <c r="F48" s="34"/>
      <c r="G48" s="34"/>
      <c r="H48" s="34"/>
      <c r="I48" s="34"/>
      <c r="J48" s="34"/>
      <c r="K48" s="34"/>
      <c r="L48" s="34"/>
      <c r="M48" s="34"/>
      <c r="N48" s="34"/>
      <c r="O48" s="34"/>
      <c r="P48" s="34"/>
      <c r="Q48" s="293"/>
      <c r="R48" s="293"/>
    </row>
    <row r="49" spans="1:26">
      <c r="M49" s="103"/>
      <c r="N49" s="103"/>
      <c r="O49" s="103"/>
      <c r="P49" s="103"/>
      <c r="Q49" s="293"/>
      <c r="R49" s="19"/>
      <c r="S49" s="104"/>
      <c r="T49" s="104"/>
      <c r="U49" s="104"/>
      <c r="V49" s="104"/>
      <c r="W49" s="104"/>
      <c r="X49" s="104"/>
      <c r="Y49" s="104"/>
      <c r="Z49" s="104"/>
    </row>
    <row r="50" spans="1:26">
      <c r="M50" s="103"/>
      <c r="N50" s="103"/>
      <c r="O50" s="103"/>
      <c r="P50" s="103"/>
      <c r="Q50" s="293"/>
      <c r="R50" s="104"/>
      <c r="S50" s="104"/>
      <c r="T50" s="104"/>
      <c r="U50" s="104"/>
      <c r="V50" s="104"/>
      <c r="W50" s="104"/>
      <c r="X50" s="104"/>
      <c r="Y50" s="104"/>
      <c r="Z50" s="104"/>
    </row>
    <row r="51" spans="1:26">
      <c r="M51" s="103"/>
      <c r="N51" s="103"/>
      <c r="O51" s="103"/>
      <c r="P51" s="103"/>
      <c r="Q51" s="104"/>
      <c r="R51" s="104"/>
      <c r="S51" s="104"/>
      <c r="T51" s="104"/>
      <c r="U51" s="104"/>
      <c r="V51" s="104"/>
      <c r="W51" s="104"/>
      <c r="X51" s="104"/>
      <c r="Y51" s="104"/>
      <c r="Z51" s="104"/>
    </row>
    <row r="52" spans="1:26">
      <c r="M52" s="103"/>
      <c r="N52" s="103"/>
      <c r="O52" s="103"/>
      <c r="P52" s="103"/>
      <c r="Q52" s="104"/>
      <c r="R52" s="104"/>
      <c r="S52" s="104"/>
      <c r="T52" s="104"/>
      <c r="U52" s="104"/>
      <c r="V52" s="104"/>
      <c r="W52" s="104"/>
      <c r="X52" s="104"/>
      <c r="Y52" s="104"/>
      <c r="Z52" s="104"/>
    </row>
    <row r="53" spans="1:26" ht="51" customHeight="1">
      <c r="M53" s="103"/>
      <c r="N53" s="103"/>
      <c r="O53" s="103"/>
      <c r="P53" s="103"/>
      <c r="Q53" s="104"/>
      <c r="R53" s="104"/>
      <c r="S53" s="19"/>
      <c r="T53" s="19"/>
      <c r="U53" s="104"/>
      <c r="V53" s="104"/>
      <c r="W53" s="104"/>
      <c r="X53" s="104"/>
      <c r="Y53" s="104"/>
      <c r="Z53" s="104"/>
    </row>
    <row r="54" spans="1:26" ht="78" customHeight="1">
      <c r="A54" s="1755"/>
      <c r="B54" s="1755"/>
      <c r="C54" s="1755"/>
      <c r="D54" s="1755"/>
      <c r="E54" s="1755"/>
      <c r="F54" s="1755"/>
      <c r="G54" s="1755"/>
      <c r="H54" s="1755"/>
      <c r="I54" s="1755"/>
      <c r="J54" s="1755"/>
      <c r="K54" s="1755"/>
      <c r="L54" s="1755"/>
      <c r="M54" s="1755"/>
      <c r="N54" s="1755"/>
      <c r="O54" s="1755"/>
      <c r="P54" s="1755"/>
      <c r="Q54" s="1755"/>
      <c r="R54" s="1755"/>
      <c r="S54" s="1755"/>
      <c r="T54" s="1755"/>
      <c r="U54" s="1755"/>
      <c r="V54" s="1755"/>
      <c r="W54" s="1755"/>
      <c r="X54" s="1755"/>
      <c r="Y54" s="104"/>
      <c r="Z54" s="104"/>
    </row>
    <row r="55" spans="1:26">
      <c r="M55" s="104"/>
      <c r="N55" s="104"/>
      <c r="O55" s="104"/>
      <c r="P55" s="104"/>
      <c r="Q55" s="104"/>
    </row>
    <row r="56" spans="1:26">
      <c r="M56" s="104"/>
      <c r="N56" s="104"/>
      <c r="O56" s="104"/>
      <c r="P56" s="104"/>
      <c r="Q56" s="104"/>
    </row>
    <row r="57" spans="1:26">
      <c r="M57" s="104"/>
      <c r="N57" s="104"/>
      <c r="O57" s="104"/>
      <c r="P57" s="104"/>
      <c r="Q57" s="104"/>
    </row>
    <row r="58" spans="1:26">
      <c r="M58" s="104"/>
      <c r="N58" s="104"/>
      <c r="O58" s="104"/>
      <c r="P58" s="104"/>
      <c r="Q58" s="104"/>
    </row>
    <row r="59" spans="1:26">
      <c r="M59" s="104"/>
      <c r="N59" s="104"/>
      <c r="O59" s="104"/>
      <c r="P59" s="104"/>
      <c r="Q59" s="104"/>
    </row>
    <row r="60" spans="1:26">
      <c r="M60" s="104"/>
      <c r="N60" s="104"/>
      <c r="O60" s="104"/>
      <c r="P60" s="104"/>
      <c r="Q60" s="104"/>
      <c r="R60" s="104"/>
      <c r="S60" s="104"/>
      <c r="T60" s="104"/>
      <c r="U60" s="104"/>
      <c r="V60" s="104"/>
      <c r="W60" s="104"/>
      <c r="X60" s="104"/>
      <c r="Y60" s="104"/>
      <c r="Z60" s="104"/>
    </row>
    <row r="61" spans="1:26">
      <c r="M61" s="104"/>
      <c r="N61" s="104"/>
      <c r="O61" s="104"/>
      <c r="P61" s="104"/>
      <c r="Q61" s="104"/>
      <c r="R61" s="104"/>
      <c r="S61" s="104"/>
      <c r="T61" s="104"/>
      <c r="U61" s="104"/>
      <c r="V61" s="104"/>
      <c r="W61" s="104"/>
      <c r="X61" s="104"/>
      <c r="Y61" s="104"/>
      <c r="Z61" s="104"/>
    </row>
    <row r="62" spans="1:26">
      <c r="M62" s="104"/>
      <c r="N62" s="104"/>
      <c r="O62" s="104"/>
      <c r="P62" s="104"/>
      <c r="Q62" s="104"/>
      <c r="R62" s="104"/>
      <c r="S62" s="104"/>
      <c r="T62" s="104"/>
      <c r="U62" s="104"/>
      <c r="V62" s="104"/>
      <c r="W62" s="104"/>
      <c r="X62" s="104"/>
      <c r="Y62" s="104"/>
      <c r="Z62" s="104"/>
    </row>
    <row r="75" spans="18:23">
      <c r="R75" s="104"/>
      <c r="S75" s="104"/>
      <c r="T75" s="104"/>
      <c r="U75" s="104"/>
      <c r="V75" s="104"/>
      <c r="W75" s="104"/>
    </row>
    <row r="76" spans="18:23">
      <c r="R76" s="104"/>
      <c r="S76" s="104"/>
      <c r="T76" s="104"/>
      <c r="U76" s="104"/>
      <c r="V76" s="104"/>
      <c r="W76" s="104"/>
    </row>
    <row r="77" spans="18:23">
      <c r="R77" s="104"/>
      <c r="S77" s="104"/>
      <c r="T77" s="104"/>
      <c r="U77" s="104"/>
      <c r="V77" s="104"/>
      <c r="W77" s="104"/>
    </row>
    <row r="78" spans="18:23">
      <c r="R78" s="104"/>
      <c r="S78" s="104"/>
      <c r="T78" s="104"/>
      <c r="U78" s="104"/>
      <c r="V78" s="104"/>
      <c r="W78" s="104"/>
    </row>
    <row r="79" spans="18:23">
      <c r="R79" s="104"/>
      <c r="S79" s="104"/>
      <c r="T79" s="104"/>
      <c r="U79" s="104"/>
      <c r="V79" s="104"/>
      <c r="W79" s="104"/>
    </row>
    <row r="80" spans="18:23">
      <c r="R80" s="104"/>
      <c r="S80" s="104"/>
      <c r="T80" s="104"/>
      <c r="U80" s="104"/>
      <c r="V80" s="104"/>
      <c r="W80" s="104"/>
    </row>
    <row r="81" spans="18:23">
      <c r="R81" s="104"/>
      <c r="S81" s="104"/>
      <c r="T81" s="104"/>
      <c r="U81" s="104"/>
      <c r="V81" s="104"/>
      <c r="W81" s="104"/>
    </row>
    <row r="82" spans="18:23">
      <c r="R82" s="104"/>
      <c r="S82" s="104"/>
      <c r="T82" s="104"/>
      <c r="U82" s="104"/>
      <c r="V82" s="104"/>
      <c r="W82" s="104"/>
    </row>
    <row r="92" spans="18:23">
      <c r="R92" s="104"/>
      <c r="S92" s="104"/>
      <c r="T92" s="104"/>
      <c r="U92" s="104"/>
      <c r="V92" s="104"/>
      <c r="W92" s="104"/>
    </row>
    <row r="93" spans="18:23">
      <c r="R93" s="104"/>
      <c r="S93" s="104"/>
      <c r="T93" s="104"/>
      <c r="U93" s="104"/>
      <c r="V93" s="104"/>
      <c r="W93" s="104"/>
    </row>
    <row r="94" spans="18:23">
      <c r="R94" s="104"/>
      <c r="S94" s="104"/>
      <c r="T94" s="104"/>
      <c r="U94" s="104"/>
      <c r="V94" s="104"/>
      <c r="W94" s="104"/>
    </row>
    <row r="95" spans="18:23">
      <c r="R95" s="104"/>
      <c r="S95" s="104"/>
      <c r="T95" s="104"/>
      <c r="U95" s="104"/>
      <c r="V95" s="104"/>
      <c r="W95" s="104"/>
    </row>
  </sheetData>
  <mergeCells count="9">
    <mergeCell ref="A36:F36"/>
    <mergeCell ref="A54:X54"/>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I10" sqref="I10"/>
    </sheetView>
  </sheetViews>
  <sheetFormatPr baseColWidth="10" defaultColWidth="11.5703125" defaultRowHeight="15"/>
  <cols>
    <col min="1" max="1" width="15.42578125" customWidth="1"/>
    <col min="2" max="2" width="18.28515625" customWidth="1"/>
    <col min="3" max="3" width="23.85546875" style="84" customWidth="1"/>
    <col min="4" max="4" width="22.42578125" customWidth="1"/>
    <col min="5" max="5" width="17.28515625" customWidth="1"/>
    <col min="6" max="6" width="21.140625" customWidth="1"/>
    <col min="7" max="7" width="11.42578125" customWidth="1"/>
    <col min="8" max="8" width="17.85546875" customWidth="1"/>
    <col min="9" max="9" width="25" customWidth="1"/>
    <col min="11" max="11" width="21.5703125" customWidth="1"/>
    <col min="12" max="12" width="18.42578125" customWidth="1"/>
    <col min="13" max="13" width="17" customWidth="1"/>
  </cols>
  <sheetData>
    <row r="1" spans="1:13" ht="78" customHeight="1">
      <c r="A1" s="1786"/>
      <c r="B1" s="1786"/>
      <c r="C1" s="1786"/>
      <c r="D1" s="1786"/>
      <c r="E1" s="1786"/>
      <c r="F1" s="1786"/>
      <c r="G1" s="1786"/>
      <c r="H1" s="1786"/>
      <c r="I1" s="1786"/>
      <c r="J1" s="1786"/>
      <c r="K1" s="1786"/>
    </row>
    <row r="2" spans="1:13" ht="3.75" customHeight="1">
      <c r="A2" s="1787" t="s">
        <v>230</v>
      </c>
      <c r="B2" s="1787"/>
      <c r="C2" s="1787"/>
      <c r="D2" s="1787"/>
      <c r="E2" s="1787"/>
      <c r="F2" s="1787"/>
      <c r="G2" s="1787"/>
      <c r="H2" s="1787"/>
      <c r="I2" s="1787"/>
      <c r="J2" s="1787"/>
      <c r="K2" s="1787"/>
    </row>
    <row r="3" spans="1:13" ht="84" hidden="1" customHeight="1">
      <c r="A3" s="1787"/>
      <c r="B3" s="1787"/>
      <c r="C3" s="1787"/>
      <c r="D3" s="1787"/>
      <c r="E3" s="1787"/>
      <c r="F3" s="1787"/>
      <c r="G3" s="1787"/>
      <c r="H3" s="1787"/>
      <c r="I3" s="1787"/>
      <c r="J3" s="1787"/>
      <c r="K3" s="1787"/>
    </row>
    <row r="4" spans="1:13" ht="65.25" customHeight="1">
      <c r="A4" s="360" t="s">
        <v>25</v>
      </c>
      <c r="B4" s="359" t="s">
        <v>559</v>
      </c>
      <c r="C4" s="359" t="s">
        <v>465</v>
      </c>
      <c r="D4" s="359" t="s">
        <v>650</v>
      </c>
      <c r="E4" s="359" t="s">
        <v>560</v>
      </c>
      <c r="F4" s="358" t="s">
        <v>198</v>
      </c>
      <c r="G4" s="133"/>
      <c r="H4" s="133"/>
      <c r="I4" s="133"/>
      <c r="J4" s="133"/>
      <c r="K4" s="134"/>
    </row>
    <row r="5" spans="1:13" ht="22.5" hidden="1" customHeight="1">
      <c r="A5" s="361" t="s">
        <v>27</v>
      </c>
      <c r="B5" s="362">
        <v>67418</v>
      </c>
      <c r="C5" s="363">
        <v>0.498</v>
      </c>
      <c r="D5" s="362">
        <f>F5*C5</f>
        <v>4370036.6519999998</v>
      </c>
      <c r="E5" s="364">
        <f>B5/D5</f>
        <v>1.5427330562352456E-2</v>
      </c>
      <c r="F5" s="365">
        <v>8775174</v>
      </c>
      <c r="G5" s="133"/>
      <c r="H5" s="133"/>
      <c r="I5" s="133"/>
      <c r="J5" s="133"/>
      <c r="K5" s="134"/>
    </row>
    <row r="6" spans="1:13" ht="18.75">
      <c r="A6" s="468" t="s">
        <v>28</v>
      </c>
      <c r="B6" s="1433">
        <f>+' Afil anual SFS RS '!D6</f>
        <v>253374</v>
      </c>
      <c r="C6" s="1434">
        <v>0.47899999999999998</v>
      </c>
      <c r="D6" s="1435">
        <f>F6*C6</f>
        <v>4295740.9759999998</v>
      </c>
      <c r="E6" s="1436">
        <f>B6/D6</f>
        <v>5.8982606590011498E-2</v>
      </c>
      <c r="F6" s="1437">
        <v>8968144</v>
      </c>
      <c r="H6" s="133"/>
      <c r="I6" s="133"/>
      <c r="J6" s="133"/>
      <c r="K6" s="134"/>
    </row>
    <row r="7" spans="1:13" ht="20.25" customHeight="1">
      <c r="A7" s="468" t="s">
        <v>29</v>
      </c>
      <c r="B7" s="1438">
        <f>+' Afil anual SFS RS '!D7</f>
        <v>514040</v>
      </c>
      <c r="C7" s="1439">
        <v>0.442</v>
      </c>
      <c r="D7" s="1440">
        <f t="shared" ref="D7:D16" si="0">F7*C7</f>
        <v>4009960.1359999999</v>
      </c>
      <c r="E7" s="1441">
        <f t="shared" ref="E7:E16" si="1">B7/D7</f>
        <v>0.12819080054814788</v>
      </c>
      <c r="F7" s="1442">
        <v>9072308</v>
      </c>
      <c r="G7" s="133"/>
      <c r="H7" s="133"/>
      <c r="I7" s="133"/>
      <c r="J7" s="133"/>
      <c r="K7" s="134"/>
      <c r="L7" s="133"/>
      <c r="M7" s="133"/>
    </row>
    <row r="8" spans="1:13" ht="20.25" customHeight="1">
      <c r="A8" s="468" t="s">
        <v>30</v>
      </c>
      <c r="B8" s="1438">
        <f>+' Afil anual SFS RS '!D8</f>
        <v>1081936</v>
      </c>
      <c r="C8" s="1439">
        <v>0.436</v>
      </c>
      <c r="D8" s="1440">
        <f t="shared" si="0"/>
        <v>4000415.54</v>
      </c>
      <c r="E8" s="1441">
        <f t="shared" si="1"/>
        <v>0.2704559036884453</v>
      </c>
      <c r="F8" s="1442">
        <v>9175265</v>
      </c>
      <c r="H8" s="133"/>
      <c r="I8" s="133"/>
      <c r="J8" s="133"/>
      <c r="K8" s="134"/>
      <c r="L8" s="133"/>
      <c r="M8" s="133"/>
    </row>
    <row r="9" spans="1:13" ht="20.25" customHeight="1">
      <c r="A9" s="468" t="s">
        <v>31</v>
      </c>
      <c r="B9" s="1438">
        <f>+' Afil anual SFS RS '!D9</f>
        <v>1224898</v>
      </c>
      <c r="C9" s="1439">
        <v>0.442</v>
      </c>
      <c r="D9" s="1440">
        <f t="shared" si="0"/>
        <v>4100514.0019999999</v>
      </c>
      <c r="E9" s="1441">
        <f t="shared" si="1"/>
        <v>0.29871816055318035</v>
      </c>
      <c r="F9" s="1442">
        <v>9277181</v>
      </c>
      <c r="H9" s="133"/>
      <c r="I9" s="133"/>
      <c r="J9" s="133"/>
      <c r="K9" s="134"/>
      <c r="L9" s="133"/>
      <c r="M9" s="133"/>
    </row>
    <row r="10" spans="1:13" ht="18.75" customHeight="1">
      <c r="A10" s="468" t="s">
        <v>32</v>
      </c>
      <c r="B10" s="1438">
        <f>+' Afil anual SFS RS '!D10</f>
        <v>1404225</v>
      </c>
      <c r="C10" s="1439">
        <v>0.42099999999999999</v>
      </c>
      <c r="D10" s="1440">
        <f t="shared" si="0"/>
        <v>3948329.5549999997</v>
      </c>
      <c r="E10" s="1441">
        <f t="shared" si="1"/>
        <v>0.35565040365532508</v>
      </c>
      <c r="F10" s="1442">
        <v>9378455</v>
      </c>
      <c r="G10" s="133"/>
      <c r="H10" s="133"/>
      <c r="I10" s="133"/>
      <c r="J10" s="133"/>
      <c r="K10" s="134"/>
    </row>
    <row r="11" spans="1:13" ht="20.25" customHeight="1">
      <c r="A11" s="468" t="s">
        <v>196</v>
      </c>
      <c r="B11" s="1438">
        <f>+' Afil anual SFS RS '!D11</f>
        <v>2013786</v>
      </c>
      <c r="C11" s="1439">
        <v>0.41599999999999998</v>
      </c>
      <c r="D11" s="1440">
        <f t="shared" si="0"/>
        <v>3943102.5919999997</v>
      </c>
      <c r="E11" s="1441">
        <f t="shared" si="1"/>
        <v>0.51071103351094349</v>
      </c>
      <c r="F11" s="1442">
        <v>9478612</v>
      </c>
      <c r="G11" s="133"/>
      <c r="H11" s="133"/>
      <c r="I11" s="133"/>
      <c r="J11" s="133"/>
      <c r="K11" s="134"/>
      <c r="L11" s="140"/>
    </row>
    <row r="12" spans="1:13" ht="18.75">
      <c r="A12" s="468" t="s">
        <v>244</v>
      </c>
      <c r="B12" s="1438">
        <f>+' Afil anual SFS RS '!D12</f>
        <v>2003427</v>
      </c>
      <c r="C12" s="1439">
        <v>0.40400000000000003</v>
      </c>
      <c r="D12" s="1440">
        <f t="shared" si="0"/>
        <v>3870313.1320000002</v>
      </c>
      <c r="E12" s="1441">
        <f t="shared" si="1"/>
        <v>0.51763951175824396</v>
      </c>
      <c r="F12" s="1442">
        <v>9579983</v>
      </c>
      <c r="G12" s="25"/>
      <c r="H12" s="133"/>
      <c r="I12" s="133"/>
      <c r="J12" s="25"/>
      <c r="K12" s="25"/>
    </row>
    <row r="13" spans="1:13" s="84" customFormat="1" ht="18.75">
      <c r="A13" s="468" t="s">
        <v>498</v>
      </c>
      <c r="B13" s="1438">
        <f>+' Afil anual SFS RS '!D13</f>
        <v>2303351</v>
      </c>
      <c r="C13" s="1439">
        <v>0.40899999999999997</v>
      </c>
      <c r="D13" s="1440">
        <f t="shared" si="0"/>
        <v>3959338.406</v>
      </c>
      <c r="E13" s="1441">
        <f t="shared" si="1"/>
        <v>0.58175148567990331</v>
      </c>
      <c r="F13" s="1442">
        <v>9680534</v>
      </c>
      <c r="G13" s="25"/>
      <c r="H13" s="133"/>
      <c r="I13" s="133"/>
      <c r="J13" s="25"/>
      <c r="K13" s="25"/>
    </row>
    <row r="14" spans="1:13" s="84" customFormat="1" ht="18.75">
      <c r="A14" s="468" t="s">
        <v>589</v>
      </c>
      <c r="B14" s="1438">
        <f>+' Afil anual SFS RS '!D14</f>
        <v>2751753</v>
      </c>
      <c r="C14" s="1439">
        <v>0.41199999999999998</v>
      </c>
      <c r="D14" s="1440">
        <f t="shared" si="0"/>
        <v>4029666.1159999999</v>
      </c>
      <c r="E14" s="1441">
        <f t="shared" si="1"/>
        <v>0.68287369741974924</v>
      </c>
      <c r="F14" s="1442">
        <v>9780743</v>
      </c>
      <c r="G14" s="25"/>
      <c r="H14" s="133"/>
      <c r="I14" s="133"/>
      <c r="J14" s="25"/>
      <c r="K14" s="25"/>
    </row>
    <row r="15" spans="1:13" s="84" customFormat="1" ht="18.75">
      <c r="A15" s="468" t="s">
        <v>630</v>
      </c>
      <c r="B15" s="1438">
        <f>+' Afil anual SFS RS '!D15</f>
        <v>3015646</v>
      </c>
      <c r="C15" s="1439">
        <v>0.40799999999999997</v>
      </c>
      <c r="D15" s="1440">
        <f t="shared" si="0"/>
        <v>4031246.0399999996</v>
      </c>
      <c r="E15" s="1441">
        <f t="shared" si="1"/>
        <v>0.74806795965249506</v>
      </c>
      <c r="F15" s="1442">
        <v>9880505</v>
      </c>
      <c r="G15" s="25"/>
      <c r="H15" s="133"/>
      <c r="I15" s="25"/>
      <c r="J15" s="25"/>
      <c r="K15" s="25"/>
    </row>
    <row r="16" spans="1:13" ht="18.75">
      <c r="A16" s="469" t="s">
        <v>632</v>
      </c>
      <c r="B16" s="1443">
        <f>+' Afil.mensual SFS RS '!D39</f>
        <v>3000981</v>
      </c>
      <c r="C16" s="1444">
        <v>0.41799999999999998</v>
      </c>
      <c r="D16" s="1445">
        <f t="shared" si="0"/>
        <v>4133525.5060000001</v>
      </c>
      <c r="E16" s="1446">
        <f t="shared" si="1"/>
        <v>0.72601003565695665</v>
      </c>
      <c r="F16" s="1447">
        <f>+Afil.SFSPob.Nac.!C16</f>
        <v>9888817</v>
      </c>
      <c r="G16" s="25"/>
      <c r="H16" s="133"/>
      <c r="I16" s="25"/>
      <c r="J16" s="25"/>
      <c r="K16" s="25"/>
    </row>
    <row r="17" spans="1:12" ht="23.25">
      <c r="A17" s="1409" t="s">
        <v>912</v>
      </c>
      <c r="B17" s="25"/>
      <c r="C17" s="25"/>
      <c r="D17" s="37"/>
      <c r="E17" s="25"/>
      <c r="F17" s="25"/>
      <c r="G17" s="25"/>
      <c r="H17" s="25"/>
      <c r="I17" s="25"/>
      <c r="J17" s="25"/>
      <c r="K17" s="25"/>
    </row>
    <row r="18" spans="1:12" ht="23.25">
      <c r="A18" s="25"/>
      <c r="B18" s="25"/>
      <c r="C18" s="25"/>
      <c r="D18" s="37"/>
      <c r="E18" s="25"/>
      <c r="F18" s="25"/>
      <c r="G18" s="25"/>
      <c r="H18" s="25"/>
      <c r="I18" s="25"/>
      <c r="J18" s="25"/>
      <c r="K18" s="25"/>
      <c r="L18" t="s">
        <v>33</v>
      </c>
    </row>
    <row r="19" spans="1:12" ht="23.25">
      <c r="A19" s="25"/>
      <c r="B19" s="25"/>
      <c r="C19" s="25"/>
      <c r="D19" s="37"/>
      <c r="E19" s="25"/>
      <c r="F19" s="25"/>
      <c r="G19" s="25"/>
      <c r="H19" s="25"/>
      <c r="I19" s="25"/>
      <c r="J19" s="25"/>
      <c r="K19" s="25"/>
    </row>
    <row r="20" spans="1:12" ht="23.25">
      <c r="A20" s="25"/>
      <c r="B20" s="25"/>
      <c r="C20" s="25"/>
      <c r="D20" s="37"/>
      <c r="E20" s="25"/>
      <c r="F20" s="25"/>
      <c r="G20" s="25"/>
      <c r="H20" s="25"/>
      <c r="I20" s="25"/>
      <c r="J20" s="25"/>
      <c r="K20" s="25"/>
    </row>
    <row r="21" spans="1:12" ht="23.25">
      <c r="A21" s="25"/>
      <c r="B21" s="25"/>
      <c r="C21" s="25"/>
      <c r="D21" s="37"/>
      <c r="E21" s="25"/>
      <c r="F21" s="25"/>
      <c r="G21" s="25"/>
      <c r="H21" s="25"/>
      <c r="I21" s="25"/>
      <c r="J21" s="25"/>
      <c r="K21" s="25"/>
    </row>
    <row r="22" spans="1:12" ht="23.25">
      <c r="A22" s="25"/>
      <c r="B22" s="25"/>
      <c r="C22" s="25"/>
      <c r="D22" s="37"/>
      <c r="E22" s="25"/>
      <c r="F22" s="25"/>
      <c r="G22" s="25"/>
      <c r="H22" s="25"/>
      <c r="I22" s="25"/>
      <c r="J22" s="25"/>
      <c r="K22" s="25"/>
    </row>
    <row r="35" spans="1:1">
      <c r="A35" s="52"/>
    </row>
  </sheetData>
  <mergeCells count="2">
    <mergeCell ref="A1:K1"/>
    <mergeCell ref="A2:K3"/>
  </mergeCells>
  <printOptions horizontalCentered="1" verticalCentered="1"/>
  <pageMargins left="0.4" right="0.4" top="0.25" bottom="0.25" header="0.31496062992126" footer="0.31496062992126"/>
  <pageSetup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70" zoomScaleNormal="100" zoomScaleSheetLayoutView="70" workbookViewId="0">
      <selection activeCell="R31" sqref="R31"/>
    </sheetView>
  </sheetViews>
  <sheetFormatPr baseColWidth="10" defaultColWidth="11.42578125" defaultRowHeight="15"/>
  <cols>
    <col min="1" max="6" width="11.42578125" style="84"/>
    <col min="7" max="7" width="15" style="84" customWidth="1"/>
    <col min="8" max="16384" width="11.42578125" style="84"/>
  </cols>
  <sheetData/>
  <pageMargins left="0.7" right="0.7" top="0.75" bottom="0.75" header="0.3" footer="0.3"/>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P19:P22"/>
  <sheetViews>
    <sheetView showGridLines="0" view="pageBreakPreview" zoomScale="85" zoomScaleNormal="100" zoomScaleSheetLayoutView="85" workbookViewId="0">
      <selection activeCell="O18" sqref="O18:P23"/>
    </sheetView>
  </sheetViews>
  <sheetFormatPr baseColWidth="10" defaultColWidth="11.42578125" defaultRowHeight="15"/>
  <cols>
    <col min="1" max="6" width="11.42578125" style="84"/>
    <col min="7" max="7" width="15" style="84" customWidth="1"/>
    <col min="8" max="16384" width="11.42578125" style="84"/>
  </cols>
  <sheetData>
    <row r="19" spans="16:16">
      <c r="P19" s="185"/>
    </row>
    <row r="20" spans="16:16">
      <c r="P20" s="185"/>
    </row>
    <row r="21" spans="16:16">
      <c r="P21" s="185"/>
    </row>
    <row r="22" spans="16:16">
      <c r="P22" s="185"/>
    </row>
  </sheetData>
  <pageMargins left="0.7" right="0.7" top="0.75" bottom="0.75" header="0.3" footer="0.3"/>
  <pageSetup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O46" sqref="O46"/>
    </sheetView>
  </sheetViews>
  <sheetFormatPr baseColWidth="10" defaultColWidth="11.42578125" defaultRowHeight="15"/>
  <cols>
    <col min="1" max="6" width="11.42578125" style="84"/>
    <col min="7" max="7" width="13.42578125" style="84" customWidth="1"/>
    <col min="8" max="9" width="24.140625" style="84" customWidth="1"/>
    <col min="10" max="10" width="11.42578125" style="84"/>
    <col min="11" max="11" width="25.140625" style="84" customWidth="1"/>
    <col min="12" max="12" width="30.85546875" style="84" customWidth="1"/>
    <col min="13" max="13" width="27.85546875" style="84" customWidth="1"/>
    <col min="14" max="16384" width="11.42578125" style="84"/>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9"/>
  <sheetViews>
    <sheetView showGridLines="0" view="pageBreakPreview" zoomScale="85" zoomScaleNormal="100" zoomScaleSheetLayoutView="85" workbookViewId="0">
      <selection activeCell="R12" sqref="R12"/>
    </sheetView>
  </sheetViews>
  <sheetFormatPr baseColWidth="10" defaultRowHeight="15"/>
  <cols>
    <col min="1" max="1" width="10.28515625" style="247" customWidth="1"/>
    <col min="2" max="2" width="11.85546875" style="247" customWidth="1"/>
    <col min="3" max="3" width="13.140625" style="247" customWidth="1"/>
    <col min="4" max="4" width="14.7109375" style="247" customWidth="1"/>
    <col min="5" max="5" width="11.28515625" style="247" customWidth="1"/>
    <col min="6" max="7" width="0" style="247" hidden="1" customWidth="1"/>
    <col min="8" max="16384" width="11.42578125" style="247"/>
  </cols>
  <sheetData>
    <row r="1" spans="1:15" s="245" customFormat="1" ht="72.75" customHeight="1">
      <c r="A1" s="1788" t="s">
        <v>652</v>
      </c>
      <c r="B1" s="1789"/>
      <c r="C1" s="1789"/>
      <c r="D1" s="1789"/>
      <c r="E1" s="1789"/>
      <c r="F1" s="1789"/>
      <c r="G1" s="1789"/>
      <c r="H1" s="1789"/>
      <c r="I1" s="1789"/>
      <c r="J1" s="1789"/>
      <c r="K1" s="1789"/>
      <c r="L1" s="1789"/>
      <c r="M1" s="1789"/>
      <c r="N1" s="1789"/>
    </row>
    <row r="2" spans="1:15" s="245" customFormat="1" ht="3" customHeight="1">
      <c r="A2" s="246"/>
      <c r="B2" s="246"/>
      <c r="C2" s="246"/>
      <c r="D2" s="246"/>
      <c r="E2" s="246"/>
    </row>
    <row r="3" spans="1:15" s="245" customFormat="1" ht="54.75" customHeight="1">
      <c r="A3" s="370" t="s">
        <v>47</v>
      </c>
      <c r="B3" s="373" t="s">
        <v>561</v>
      </c>
      <c r="C3" s="368" t="s">
        <v>564</v>
      </c>
      <c r="D3" s="368" t="s">
        <v>565</v>
      </c>
      <c r="E3" s="369" t="s">
        <v>566</v>
      </c>
      <c r="F3" s="374" t="s">
        <v>562</v>
      </c>
      <c r="G3" s="369" t="s">
        <v>563</v>
      </c>
      <c r="H3" s="247"/>
      <c r="I3" s="248"/>
      <c r="J3" s="248"/>
      <c r="K3" s="248"/>
      <c r="L3" s="248"/>
    </row>
    <row r="4" spans="1:15" s="245" customFormat="1" ht="15.75">
      <c r="A4" s="371" t="s">
        <v>32</v>
      </c>
      <c r="B4" s="485">
        <f>+C4+D4+E4</f>
        <v>21982</v>
      </c>
      <c r="C4" s="486">
        <v>12775</v>
      </c>
      <c r="D4" s="486">
        <v>7188</v>
      </c>
      <c r="E4" s="487">
        <v>2019</v>
      </c>
      <c r="F4" s="375"/>
      <c r="G4" s="366" t="e">
        <f>B4/$F$10</f>
        <v>#DIV/0!</v>
      </c>
      <c r="H4" s="249"/>
      <c r="I4" s="248"/>
      <c r="J4" s="248"/>
      <c r="K4" s="248"/>
      <c r="L4" s="248"/>
    </row>
    <row r="5" spans="1:15" s="245" customFormat="1" ht="15.75">
      <c r="A5" s="371" t="s">
        <v>196</v>
      </c>
      <c r="B5" s="484">
        <f t="shared" ref="B5:B10" si="0">+C5+D5+E5</f>
        <v>27354</v>
      </c>
      <c r="C5" s="281">
        <v>14927</v>
      </c>
      <c r="D5" s="281">
        <v>9946</v>
      </c>
      <c r="E5" s="483">
        <v>2481</v>
      </c>
      <c r="F5" s="376"/>
      <c r="G5" s="366" t="e">
        <f t="shared" ref="G5:G10" si="1">B5/$F$10</f>
        <v>#DIV/0!</v>
      </c>
      <c r="H5" s="248"/>
      <c r="I5" s="248"/>
      <c r="J5" s="248"/>
      <c r="K5" s="248"/>
    </row>
    <row r="6" spans="1:15" s="245" customFormat="1" ht="15.75">
      <c r="A6" s="371" t="s">
        <v>244</v>
      </c>
      <c r="B6" s="531">
        <f t="shared" si="0"/>
        <v>29726</v>
      </c>
      <c r="C6" s="532">
        <v>16317</v>
      </c>
      <c r="D6" s="532">
        <v>10524</v>
      </c>
      <c r="E6" s="533">
        <v>2885</v>
      </c>
      <c r="F6" s="376"/>
      <c r="G6" s="366" t="e">
        <f t="shared" si="1"/>
        <v>#DIV/0!</v>
      </c>
      <c r="H6" s="248"/>
      <c r="I6" s="248"/>
      <c r="J6" s="248"/>
      <c r="K6" s="248"/>
      <c r="O6" s="252"/>
    </row>
    <row r="7" spans="1:15" s="245" customFormat="1" ht="15.75">
      <c r="A7" s="371" t="s">
        <v>498</v>
      </c>
      <c r="B7" s="531">
        <f t="shared" si="0"/>
        <v>34097.999999999971</v>
      </c>
      <c r="C7" s="532">
        <v>18215</v>
      </c>
      <c r="D7" s="532">
        <v>12555.333333333299</v>
      </c>
      <c r="E7" s="533">
        <v>3327.6666666666702</v>
      </c>
      <c r="F7" s="376"/>
      <c r="G7" s="366" t="e">
        <f t="shared" si="1"/>
        <v>#DIV/0!</v>
      </c>
      <c r="H7" s="248"/>
      <c r="I7" s="248"/>
      <c r="J7" s="248"/>
      <c r="K7" s="248"/>
      <c r="O7" s="252"/>
    </row>
    <row r="8" spans="1:15" s="245" customFormat="1" ht="15.75">
      <c r="A8" s="371" t="s">
        <v>589</v>
      </c>
      <c r="B8" s="531">
        <f t="shared" si="0"/>
        <v>37969.999999999971</v>
      </c>
      <c r="C8" s="532">
        <v>19986</v>
      </c>
      <c r="D8" s="532">
        <v>14223.333333333299</v>
      </c>
      <c r="E8" s="533">
        <v>3760.6666666666702</v>
      </c>
      <c r="F8" s="376"/>
      <c r="G8" s="366" t="e">
        <f t="shared" si="1"/>
        <v>#DIV/0!</v>
      </c>
      <c r="H8" s="248"/>
      <c r="I8" s="248"/>
      <c r="J8" s="248"/>
      <c r="K8" s="248"/>
      <c r="O8" s="252"/>
    </row>
    <row r="9" spans="1:15" s="245" customFormat="1" ht="15.75">
      <c r="A9" s="371" t="s">
        <v>630</v>
      </c>
      <c r="B9" s="531">
        <f t="shared" si="0"/>
        <v>41841.999999999971</v>
      </c>
      <c r="C9" s="532">
        <v>21757</v>
      </c>
      <c r="D9" s="532">
        <v>15891.333333333299</v>
      </c>
      <c r="E9" s="533">
        <v>4193.6666666666697</v>
      </c>
      <c r="F9" s="376"/>
      <c r="G9" s="366" t="e">
        <f t="shared" si="1"/>
        <v>#DIV/0!</v>
      </c>
      <c r="H9" s="248"/>
      <c r="I9" s="248"/>
      <c r="J9" s="248"/>
      <c r="K9" s="248"/>
      <c r="O9" s="252"/>
    </row>
    <row r="10" spans="1:15" s="245" customFormat="1" ht="15.75">
      <c r="A10" s="372" t="s">
        <v>632</v>
      </c>
      <c r="B10" s="534">
        <f t="shared" si="0"/>
        <v>45713.999999999971</v>
      </c>
      <c r="C10" s="535">
        <v>23528</v>
      </c>
      <c r="D10" s="535">
        <v>17559.333333333299</v>
      </c>
      <c r="E10" s="536">
        <v>4626.6666666666697</v>
      </c>
      <c r="F10" s="377"/>
      <c r="G10" s="367" t="e">
        <f t="shared" si="1"/>
        <v>#DIV/0!</v>
      </c>
      <c r="H10" s="248"/>
      <c r="I10" s="248"/>
      <c r="J10" s="248"/>
      <c r="K10" s="248"/>
      <c r="O10" s="252"/>
    </row>
    <row r="11" spans="1:15" s="245" customFormat="1" ht="15.75">
      <c r="C11" s="250"/>
      <c r="D11" s="250"/>
      <c r="E11" s="250"/>
      <c r="F11" s="249"/>
      <c r="G11" s="249"/>
      <c r="H11" s="248"/>
      <c r="I11" s="248"/>
      <c r="J11" s="248"/>
      <c r="K11" s="248"/>
      <c r="O11" s="252"/>
    </row>
    <row r="12" spans="1:15" s="245" customFormat="1" ht="15.75">
      <c r="C12" s="250"/>
      <c r="D12" s="250"/>
      <c r="E12" s="250"/>
      <c r="F12" s="249"/>
      <c r="G12" s="249"/>
      <c r="H12" s="248"/>
      <c r="I12" s="248"/>
      <c r="J12" s="248"/>
      <c r="K12" s="248"/>
    </row>
    <row r="13" spans="1:15" s="245" customFormat="1" ht="15.75">
      <c r="C13" s="250"/>
      <c r="D13" s="250"/>
      <c r="E13" s="250"/>
      <c r="F13" s="249"/>
      <c r="G13" s="249"/>
      <c r="H13" s="249"/>
      <c r="I13" s="249"/>
      <c r="J13" s="249"/>
      <c r="K13" s="249"/>
      <c r="L13" s="248"/>
    </row>
    <row r="14" spans="1:15" s="245" customFormat="1" ht="15.75">
      <c r="C14" s="250"/>
      <c r="D14" s="250"/>
      <c r="E14" s="250"/>
      <c r="F14" s="249"/>
      <c r="G14" s="249"/>
      <c r="H14" s="249"/>
      <c r="I14" s="249"/>
      <c r="J14" s="249"/>
      <c r="K14" s="249"/>
      <c r="L14" s="248"/>
    </row>
    <row r="15" spans="1:15" s="245" customFormat="1" ht="15.75">
      <c r="C15" s="250"/>
      <c r="D15" s="250"/>
      <c r="E15" s="250"/>
      <c r="F15" s="249"/>
      <c r="G15" s="249"/>
      <c r="H15" s="249"/>
      <c r="I15" s="249"/>
      <c r="J15" s="249"/>
      <c r="K15" s="249"/>
      <c r="L15" s="248"/>
    </row>
    <row r="16" spans="1:15" s="245" customFormat="1" ht="15.75">
      <c r="C16" s="251"/>
      <c r="D16" s="251"/>
      <c r="E16" s="251"/>
      <c r="F16" s="251"/>
      <c r="G16" s="251"/>
      <c r="H16" s="251"/>
      <c r="I16" s="251"/>
      <c r="J16" s="251"/>
      <c r="K16" s="251"/>
    </row>
    <row r="17" spans="3:11" s="245" customFormat="1" ht="15.75">
      <c r="C17" s="251"/>
      <c r="D17" s="251"/>
      <c r="E17" s="251"/>
      <c r="F17" s="251"/>
      <c r="G17" s="251"/>
      <c r="H17" s="251"/>
      <c r="I17" s="251"/>
      <c r="J17" s="251"/>
      <c r="K17" s="251"/>
    </row>
    <row r="18" spans="3:11" s="245" customFormat="1" ht="15.75">
      <c r="C18" s="251"/>
      <c r="D18" s="251"/>
      <c r="E18" s="251"/>
      <c r="F18" s="251"/>
      <c r="G18" s="251"/>
      <c r="H18" s="251"/>
      <c r="I18" s="251"/>
      <c r="J18" s="251"/>
      <c r="K18" s="251"/>
    </row>
    <row r="19" spans="3:11" s="245" customFormat="1" ht="15.75">
      <c r="C19" s="251"/>
      <c r="D19" s="251"/>
      <c r="E19" s="251"/>
      <c r="F19" s="251"/>
      <c r="G19" s="251"/>
      <c r="H19" s="251"/>
      <c r="I19" s="251"/>
      <c r="J19" s="251"/>
      <c r="K19" s="251"/>
    </row>
    <row r="20" spans="3:11" s="245" customFormat="1" ht="15.75">
      <c r="C20" s="251"/>
      <c r="D20" s="251"/>
      <c r="E20" s="251"/>
      <c r="F20" s="251"/>
      <c r="G20" s="251"/>
      <c r="H20" s="251"/>
      <c r="I20" s="251"/>
      <c r="J20" s="251"/>
      <c r="K20" s="251"/>
    </row>
    <row r="21" spans="3:11" s="245" customFormat="1" ht="15.75">
      <c r="C21" s="251"/>
      <c r="D21" s="251"/>
      <c r="E21" s="251"/>
      <c r="F21" s="251"/>
      <c r="G21" s="251"/>
      <c r="H21" s="251"/>
      <c r="I21" s="251"/>
      <c r="J21" s="251"/>
      <c r="K21" s="251"/>
    </row>
    <row r="22" spans="3:11" s="245" customFormat="1" ht="15.75">
      <c r="C22" s="251"/>
      <c r="D22" s="251"/>
      <c r="E22" s="251"/>
      <c r="F22" s="251"/>
      <c r="G22" s="251"/>
      <c r="H22" s="251"/>
      <c r="I22" s="251"/>
      <c r="J22" s="251"/>
      <c r="K22" s="251"/>
    </row>
    <row r="23" spans="3:11" s="245" customFormat="1"/>
    <row r="24" spans="3:11" s="245" customFormat="1"/>
    <row r="25" spans="3:11" s="245" customFormat="1"/>
    <row r="26" spans="3:11" s="245" customFormat="1"/>
    <row r="27" spans="3:11" s="245" customFormat="1"/>
    <row r="28" spans="3:11" s="245" customFormat="1"/>
    <row r="29" spans="3:11" s="245" customFormat="1"/>
    <row r="30" spans="3:11" s="245" customFormat="1"/>
    <row r="31" spans="3:11" s="245" customFormat="1"/>
    <row r="32" spans="3:11" s="245" customFormat="1"/>
    <row r="33" s="245" customFormat="1"/>
    <row r="34" s="245" customFormat="1"/>
    <row r="35" s="245" customFormat="1"/>
    <row r="36" s="245" customFormat="1"/>
    <row r="37" s="245" customFormat="1"/>
    <row r="38" s="245" customFormat="1"/>
    <row r="39" s="245" customFormat="1"/>
    <row r="40" s="245" customFormat="1"/>
    <row r="41" s="245" customFormat="1"/>
    <row r="42" s="245" customFormat="1"/>
    <row r="49" spans="1:12" ht="29.25" customHeight="1">
      <c r="A49" s="1790"/>
      <c r="B49" s="1790"/>
      <c r="C49" s="1790"/>
      <c r="D49" s="1790"/>
      <c r="E49" s="1790"/>
      <c r="F49" s="1790"/>
      <c r="G49" s="1790"/>
      <c r="H49" s="1790"/>
      <c r="I49" s="1790"/>
      <c r="J49" s="1790"/>
      <c r="K49" s="1790"/>
      <c r="L49" s="1790"/>
    </row>
  </sheetData>
  <mergeCells count="2">
    <mergeCell ref="A1:N1"/>
    <mergeCell ref="A49:L49"/>
  </mergeCells>
  <printOptions horizontalCentered="1" verticalCentered="1"/>
  <pageMargins left="0.4" right="0.4" top="0.25" bottom="0.25" header="0.31496062992126" footer="0.31496062992126"/>
  <pageSetup scale="8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H36" sqref="H36"/>
    </sheetView>
  </sheetViews>
  <sheetFormatPr baseColWidth="10" defaultColWidth="11.42578125" defaultRowHeight="15"/>
  <cols>
    <col min="1" max="1" width="11" style="44" customWidth="1"/>
    <col min="2" max="5" width="15" style="44" customWidth="1"/>
    <col min="6" max="6" width="13.42578125" style="44" customWidth="1"/>
    <col min="7" max="7" width="14" style="44" customWidth="1"/>
    <col min="8" max="8" width="15.5703125" style="44" customWidth="1"/>
    <col min="9" max="9" width="17" style="44" customWidth="1"/>
    <col min="10" max="10" width="13.140625" style="44" bestFit="1" customWidth="1"/>
    <col min="11" max="11" width="7.140625" style="44" customWidth="1"/>
    <col min="12" max="12" width="18.42578125" style="44" customWidth="1"/>
    <col min="13" max="13" width="27.28515625" style="44" customWidth="1"/>
    <col min="14" max="16384" width="11.42578125" style="44"/>
  </cols>
  <sheetData>
    <row r="1" spans="1:14" s="84" customFormat="1" ht="72" customHeight="1">
      <c r="A1" s="1791"/>
      <c r="B1" s="1791"/>
      <c r="C1" s="1791"/>
      <c r="D1" s="1791"/>
      <c r="E1" s="1791"/>
      <c r="F1" s="1791"/>
      <c r="G1" s="1791"/>
      <c r="H1" s="1791"/>
      <c r="I1" s="1791"/>
      <c r="J1" s="1791"/>
      <c r="K1" s="1791"/>
      <c r="L1" s="1791"/>
    </row>
    <row r="2" spans="1:14" s="84" customFormat="1" ht="9.75" customHeight="1">
      <c r="A2" s="164"/>
      <c r="B2" s="164"/>
      <c r="C2" s="164"/>
      <c r="D2" s="164"/>
      <c r="E2" s="164"/>
      <c r="F2" s="164"/>
      <c r="G2" s="164"/>
      <c r="H2" s="164"/>
    </row>
    <row r="3" spans="1:14" s="84" customFormat="1" ht="50.25" customHeight="1">
      <c r="A3" s="1699" t="s">
        <v>250</v>
      </c>
      <c r="B3" s="1700" t="s">
        <v>561</v>
      </c>
      <c r="C3" s="1700" t="s">
        <v>564</v>
      </c>
      <c r="D3" s="1700" t="s">
        <v>565</v>
      </c>
      <c r="E3" s="1701" t="s">
        <v>566</v>
      </c>
      <c r="F3"/>
      <c r="G3"/>
      <c r="H3"/>
      <c r="I3" s="73"/>
      <c r="J3" s="73"/>
      <c r="K3" s="44"/>
      <c r="L3" s="44"/>
      <c r="M3" s="102"/>
      <c r="N3" s="102"/>
    </row>
    <row r="4" spans="1:14" s="84" customFormat="1" ht="15.75" hidden="1">
      <c r="A4" s="381" t="s">
        <v>478</v>
      </c>
      <c r="B4" s="470">
        <f>C4+D4+E4</f>
        <v>29646</v>
      </c>
      <c r="C4" s="471">
        <v>16233</v>
      </c>
      <c r="D4" s="471">
        <v>10524</v>
      </c>
      <c r="E4" s="472">
        <v>2889</v>
      </c>
      <c r="F4"/>
      <c r="G4"/>
      <c r="H4"/>
      <c r="I4" s="12"/>
      <c r="J4" s="12"/>
      <c r="K4" s="12"/>
      <c r="L4" s="44"/>
      <c r="M4" s="102"/>
      <c r="N4" s="102"/>
    </row>
    <row r="5" spans="1:14" s="84" customFormat="1" ht="15.75" hidden="1">
      <c r="A5" s="381" t="s">
        <v>441</v>
      </c>
      <c r="B5" s="470">
        <f>C5+E5+D5</f>
        <v>29726</v>
      </c>
      <c r="C5" s="471">
        <v>16317</v>
      </c>
      <c r="D5" s="471">
        <v>10524</v>
      </c>
      <c r="E5" s="472">
        <v>2885</v>
      </c>
      <c r="F5"/>
      <c r="G5"/>
      <c r="H5"/>
      <c r="I5" s="12"/>
      <c r="J5" s="12"/>
      <c r="K5" s="12"/>
      <c r="L5" s="44"/>
      <c r="M5" s="102"/>
      <c r="N5" s="102"/>
    </row>
    <row r="6" spans="1:14" s="84" customFormat="1" ht="15.75" hidden="1">
      <c r="A6" s="381" t="s">
        <v>479</v>
      </c>
      <c r="B6" s="470">
        <f t="shared" ref="B6:B42" si="0">+C6+D6+E6</f>
        <v>29695</v>
      </c>
      <c r="C6" s="471">
        <v>16315</v>
      </c>
      <c r="D6" s="471">
        <v>10503</v>
      </c>
      <c r="E6" s="472">
        <v>2877</v>
      </c>
      <c r="F6"/>
      <c r="G6"/>
      <c r="H6"/>
      <c r="I6" s="12"/>
      <c r="J6" s="12"/>
      <c r="K6" s="12"/>
      <c r="L6" s="44"/>
      <c r="M6" s="102"/>
      <c r="N6" s="102"/>
    </row>
    <row r="7" spans="1:14" s="84" customFormat="1" ht="15.75" hidden="1">
      <c r="A7" s="381" t="s">
        <v>480</v>
      </c>
      <c r="B7" s="470">
        <f t="shared" si="0"/>
        <v>29700</v>
      </c>
      <c r="C7" s="471">
        <v>16310</v>
      </c>
      <c r="D7" s="471">
        <v>10519</v>
      </c>
      <c r="E7" s="472">
        <v>2871</v>
      </c>
      <c r="F7"/>
      <c r="G7"/>
      <c r="H7"/>
      <c r="I7" s="12"/>
      <c r="K7" s="12"/>
      <c r="L7" s="44"/>
      <c r="M7" s="102"/>
      <c r="N7" s="102"/>
    </row>
    <row r="8" spans="1:14" s="84" customFormat="1" ht="15.75" hidden="1">
      <c r="A8" s="381" t="s">
        <v>438</v>
      </c>
      <c r="B8" s="470">
        <f t="shared" si="0"/>
        <v>29761</v>
      </c>
      <c r="C8" s="471">
        <v>16401</v>
      </c>
      <c r="D8" s="471">
        <v>10511</v>
      </c>
      <c r="E8" s="472">
        <v>2849</v>
      </c>
      <c r="F8"/>
      <c r="G8"/>
      <c r="H8"/>
      <c r="I8" s="12"/>
      <c r="J8" s="12"/>
      <c r="K8" s="12"/>
      <c r="L8" s="44"/>
      <c r="M8" s="102"/>
      <c r="N8" s="102"/>
    </row>
    <row r="9" spans="1:14" s="84" customFormat="1" ht="15.75" hidden="1">
      <c r="A9" s="381" t="s">
        <v>449</v>
      </c>
      <c r="B9" s="470">
        <f t="shared" si="0"/>
        <v>29920</v>
      </c>
      <c r="C9" s="471">
        <v>16280</v>
      </c>
      <c r="D9" s="471">
        <v>10509</v>
      </c>
      <c r="E9" s="472">
        <v>3131</v>
      </c>
      <c r="F9"/>
      <c r="G9"/>
      <c r="H9"/>
      <c r="I9" s="12"/>
      <c r="J9" s="12"/>
      <c r="K9" s="12"/>
      <c r="L9" s="44"/>
      <c r="M9" s="102"/>
      <c r="N9" s="102"/>
    </row>
    <row r="10" spans="1:14" s="84" customFormat="1" ht="15.75" hidden="1">
      <c r="A10" s="381" t="s">
        <v>481</v>
      </c>
      <c r="B10" s="470">
        <f t="shared" si="0"/>
        <v>29965</v>
      </c>
      <c r="C10" s="471">
        <v>16352</v>
      </c>
      <c r="D10" s="471">
        <v>10507</v>
      </c>
      <c r="E10" s="472">
        <v>3106</v>
      </c>
      <c r="F10"/>
      <c r="G10"/>
      <c r="H10"/>
      <c r="I10" s="12"/>
      <c r="J10" s="12"/>
      <c r="K10" s="12"/>
      <c r="L10" s="44"/>
      <c r="M10" s="102"/>
      <c r="N10" s="102"/>
    </row>
    <row r="11" spans="1:14" s="84" customFormat="1" ht="15.75" hidden="1">
      <c r="A11" s="381" t="s">
        <v>482</v>
      </c>
      <c r="B11" s="470">
        <f t="shared" si="0"/>
        <v>29539</v>
      </c>
      <c r="C11" s="471">
        <v>15888</v>
      </c>
      <c r="D11" s="471">
        <v>10300</v>
      </c>
      <c r="E11" s="472">
        <v>3351</v>
      </c>
      <c r="F11"/>
      <c r="G11"/>
      <c r="H11"/>
      <c r="L11" s="44"/>
      <c r="M11" s="102"/>
      <c r="N11" s="102"/>
    </row>
    <row r="12" spans="1:14" s="84" customFormat="1" ht="15.75" hidden="1">
      <c r="A12" s="381" t="s">
        <v>483</v>
      </c>
      <c r="B12" s="470">
        <f t="shared" si="0"/>
        <v>29732</v>
      </c>
      <c r="C12" s="471">
        <v>15983</v>
      </c>
      <c r="D12" s="471">
        <v>10347</v>
      </c>
      <c r="E12" s="472">
        <v>3402</v>
      </c>
      <c r="F12"/>
      <c r="G12"/>
      <c r="H12"/>
      <c r="L12" s="44"/>
      <c r="M12" s="102"/>
      <c r="N12" s="102"/>
    </row>
    <row r="13" spans="1:14" s="84" customFormat="1" ht="15.75" hidden="1">
      <c r="A13" s="381" t="s">
        <v>474</v>
      </c>
      <c r="B13" s="470">
        <f t="shared" si="0"/>
        <v>29791</v>
      </c>
      <c r="C13" s="471">
        <v>15934</v>
      </c>
      <c r="D13" s="471">
        <v>10323</v>
      </c>
      <c r="E13" s="472">
        <v>3534</v>
      </c>
      <c r="F13"/>
      <c r="G13"/>
      <c r="H13"/>
      <c r="L13" s="44"/>
      <c r="M13" s="102"/>
      <c r="N13" s="102"/>
    </row>
    <row r="14" spans="1:14" s="84" customFormat="1" ht="15.75" hidden="1">
      <c r="A14" s="381" t="s">
        <v>484</v>
      </c>
      <c r="B14" s="470">
        <f t="shared" si="0"/>
        <v>29882</v>
      </c>
      <c r="C14" s="471">
        <v>16018</v>
      </c>
      <c r="D14" s="471">
        <v>10304</v>
      </c>
      <c r="E14" s="472">
        <v>3560</v>
      </c>
      <c r="F14"/>
      <c r="G14"/>
      <c r="H14"/>
      <c r="L14" s="44"/>
      <c r="M14" s="102"/>
      <c r="N14" s="102"/>
    </row>
    <row r="15" spans="1:14" s="84" customFormat="1" ht="15.75" hidden="1">
      <c r="A15" s="381" t="s">
        <v>496</v>
      </c>
      <c r="B15" s="470">
        <f t="shared" si="0"/>
        <v>30324</v>
      </c>
      <c r="C15" s="471">
        <v>16231</v>
      </c>
      <c r="D15" s="471">
        <v>10370</v>
      </c>
      <c r="E15" s="472">
        <v>3723</v>
      </c>
      <c r="F15"/>
      <c r="G15"/>
      <c r="H15"/>
      <c r="L15" s="44"/>
      <c r="M15" s="102"/>
      <c r="N15" s="102"/>
    </row>
    <row r="16" spans="1:14" s="84" customFormat="1" ht="15.75" hidden="1">
      <c r="A16" s="381" t="s">
        <v>478</v>
      </c>
      <c r="B16" s="470">
        <f t="shared" si="0"/>
        <v>30528</v>
      </c>
      <c r="C16" s="471">
        <v>16328</v>
      </c>
      <c r="D16" s="471">
        <v>10425</v>
      </c>
      <c r="E16" s="472">
        <v>3775</v>
      </c>
      <c r="F16"/>
      <c r="G16"/>
      <c r="H16"/>
      <c r="L16" s="44"/>
      <c r="M16" s="102"/>
      <c r="N16" s="102"/>
    </row>
    <row r="17" spans="1:15" s="84" customFormat="1" ht="15.75" hidden="1">
      <c r="A17" s="381" t="s">
        <v>501</v>
      </c>
      <c r="B17" s="470">
        <f t="shared" si="0"/>
        <v>30703</v>
      </c>
      <c r="C17" s="471">
        <v>16189</v>
      </c>
      <c r="D17" s="471">
        <v>10515</v>
      </c>
      <c r="E17" s="472">
        <v>3999</v>
      </c>
      <c r="F17"/>
      <c r="G17"/>
      <c r="H17"/>
      <c r="L17" s="44"/>
      <c r="M17" s="102"/>
      <c r="N17" s="102"/>
    </row>
    <row r="18" spans="1:15" s="84" customFormat="1" ht="15.75" hidden="1">
      <c r="A18" s="381" t="s">
        <v>509</v>
      </c>
      <c r="B18" s="470">
        <f t="shared" si="0"/>
        <v>30659</v>
      </c>
      <c r="C18" s="471">
        <v>16142</v>
      </c>
      <c r="D18" s="471">
        <v>10510</v>
      </c>
      <c r="E18" s="472">
        <v>4007</v>
      </c>
      <c r="F18"/>
      <c r="G18"/>
      <c r="H18"/>
      <c r="L18" s="44"/>
      <c r="M18" s="102"/>
      <c r="N18" s="102"/>
    </row>
    <row r="19" spans="1:15" s="84" customFormat="1" ht="15.75" hidden="1">
      <c r="A19" s="381" t="s">
        <v>590</v>
      </c>
      <c r="B19" s="470">
        <f t="shared" si="0"/>
        <v>30621</v>
      </c>
      <c r="C19" s="471">
        <v>16108</v>
      </c>
      <c r="D19" s="471">
        <v>10531</v>
      </c>
      <c r="E19" s="472">
        <v>3982</v>
      </c>
      <c r="F19"/>
      <c r="G19"/>
      <c r="H19"/>
      <c r="L19" s="44"/>
      <c r="M19" s="102"/>
      <c r="N19" s="102"/>
    </row>
    <row r="20" spans="1:15" s="84" customFormat="1" ht="15.75" hidden="1">
      <c r="A20" s="381" t="s">
        <v>591</v>
      </c>
      <c r="B20" s="470">
        <f t="shared" si="0"/>
        <v>30728</v>
      </c>
      <c r="C20" s="471">
        <v>16188</v>
      </c>
      <c r="D20" s="471">
        <v>10512</v>
      </c>
      <c r="E20" s="472">
        <v>4028</v>
      </c>
      <c r="F20"/>
      <c r="G20"/>
      <c r="H20"/>
      <c r="L20" s="44"/>
      <c r="M20" s="102"/>
      <c r="N20" s="102"/>
    </row>
    <row r="21" spans="1:15" s="84" customFormat="1" ht="15.75" hidden="1">
      <c r="A21" s="381" t="s">
        <v>592</v>
      </c>
      <c r="B21" s="470">
        <f t="shared" si="0"/>
        <v>30810</v>
      </c>
      <c r="C21" s="471">
        <v>16181</v>
      </c>
      <c r="D21" s="471">
        <v>10525</v>
      </c>
      <c r="E21" s="472">
        <v>4104</v>
      </c>
      <c r="F21"/>
      <c r="G21"/>
      <c r="H21"/>
      <c r="L21" s="44"/>
      <c r="M21" s="102"/>
      <c r="N21" s="102"/>
    </row>
    <row r="22" spans="1:15" s="84" customFormat="1" ht="14.25" hidden="1" customHeight="1">
      <c r="A22" s="381" t="s">
        <v>593</v>
      </c>
      <c r="B22" s="470">
        <f t="shared" si="0"/>
        <v>30689</v>
      </c>
      <c r="C22" s="471">
        <v>15815</v>
      </c>
      <c r="D22" s="471">
        <v>10535</v>
      </c>
      <c r="E22" s="472">
        <v>4339</v>
      </c>
      <c r="F22"/>
      <c r="G22"/>
      <c r="H22"/>
      <c r="L22" s="44"/>
      <c r="M22" s="102"/>
      <c r="N22" s="102"/>
    </row>
    <row r="23" spans="1:15" s="84" customFormat="1" ht="15.75" hidden="1">
      <c r="A23" s="381" t="s">
        <v>594</v>
      </c>
      <c r="B23" s="470">
        <f t="shared" si="0"/>
        <v>30868</v>
      </c>
      <c r="C23" s="471">
        <v>15871</v>
      </c>
      <c r="D23" s="471">
        <v>10536</v>
      </c>
      <c r="E23" s="472">
        <v>4461</v>
      </c>
      <c r="F23"/>
      <c r="G23"/>
      <c r="H23"/>
      <c r="L23" s="44"/>
      <c r="M23" s="102"/>
      <c r="N23" s="102"/>
    </row>
    <row r="24" spans="1:15" s="84" customFormat="1" ht="15.75" hidden="1">
      <c r="A24" s="381" t="s">
        <v>595</v>
      </c>
      <c r="B24" s="470">
        <f t="shared" si="0"/>
        <v>30022</v>
      </c>
      <c r="C24" s="471">
        <v>15252</v>
      </c>
      <c r="D24" s="471">
        <v>10313</v>
      </c>
      <c r="E24" s="472">
        <v>4457</v>
      </c>
      <c r="F24"/>
      <c r="G24"/>
      <c r="H24"/>
      <c r="L24" s="44"/>
      <c r="M24" s="102"/>
      <c r="N24" s="102"/>
    </row>
    <row r="25" spans="1:15" s="84" customFormat="1" ht="15.75" hidden="1">
      <c r="A25" s="381" t="s">
        <v>596</v>
      </c>
      <c r="B25" s="470">
        <f t="shared" si="0"/>
        <v>29598</v>
      </c>
      <c r="C25" s="471">
        <v>14905</v>
      </c>
      <c r="D25" s="471">
        <v>10322</v>
      </c>
      <c r="E25" s="472">
        <v>4371</v>
      </c>
      <c r="F25"/>
      <c r="G25"/>
      <c r="H25"/>
      <c r="L25" s="44"/>
      <c r="M25" s="102"/>
      <c r="N25" s="102"/>
    </row>
    <row r="26" spans="1:15" s="84" customFormat="1" ht="15.75" hidden="1">
      <c r="A26" s="381" t="s">
        <v>597</v>
      </c>
      <c r="B26" s="470">
        <f t="shared" si="0"/>
        <v>29457</v>
      </c>
      <c r="C26" s="471">
        <v>14622</v>
      </c>
      <c r="D26" s="471">
        <v>10471</v>
      </c>
      <c r="E26" s="472">
        <v>4364</v>
      </c>
      <c r="F26"/>
      <c r="G26"/>
      <c r="H26"/>
      <c r="L26" s="44"/>
      <c r="M26" s="102"/>
      <c r="N26" s="102"/>
    </row>
    <row r="27" spans="1:15" s="84" customFormat="1" ht="15.75" hidden="1">
      <c r="A27" s="381" t="s">
        <v>598</v>
      </c>
      <c r="B27" s="470">
        <f t="shared" si="0"/>
        <v>29695</v>
      </c>
      <c r="C27" s="471">
        <v>14723</v>
      </c>
      <c r="D27" s="471">
        <v>10552</v>
      </c>
      <c r="E27" s="472">
        <v>4420</v>
      </c>
      <c r="F27"/>
      <c r="G27"/>
      <c r="H27"/>
      <c r="L27" s="44"/>
      <c r="M27" s="102"/>
      <c r="N27" s="102"/>
    </row>
    <row r="28" spans="1:15" s="84" customFormat="1" ht="15.75" hidden="1">
      <c r="A28" s="381" t="s">
        <v>599</v>
      </c>
      <c r="B28" s="470">
        <f t="shared" si="0"/>
        <v>28854</v>
      </c>
      <c r="C28" s="471">
        <v>14112</v>
      </c>
      <c r="D28" s="471">
        <v>10546</v>
      </c>
      <c r="E28" s="472">
        <v>4196</v>
      </c>
      <c r="F28"/>
      <c r="G28"/>
      <c r="H28"/>
      <c r="L28" s="44"/>
      <c r="M28" s="102"/>
      <c r="N28" s="102"/>
    </row>
    <row r="29" spans="1:15" s="84" customFormat="1" ht="15.75" hidden="1">
      <c r="A29" s="381" t="s">
        <v>570</v>
      </c>
      <c r="B29" s="470">
        <f t="shared" si="0"/>
        <v>27273</v>
      </c>
      <c r="C29" s="471">
        <v>13249</v>
      </c>
      <c r="D29" s="471">
        <v>10016</v>
      </c>
      <c r="E29" s="472">
        <v>4008</v>
      </c>
      <c r="F29"/>
      <c r="G29"/>
      <c r="H29"/>
      <c r="L29" s="44"/>
      <c r="M29" s="102"/>
      <c r="N29" s="102"/>
    </row>
    <row r="30" spans="1:15" s="84" customFormat="1" ht="15.75">
      <c r="A30" s="381" t="s">
        <v>600</v>
      </c>
      <c r="B30" s="537">
        <f t="shared" si="0"/>
        <v>28811</v>
      </c>
      <c r="C30" s="538">
        <v>14156</v>
      </c>
      <c r="D30" s="538">
        <v>10406.000000000002</v>
      </c>
      <c r="E30" s="539">
        <v>4249</v>
      </c>
      <c r="F30"/>
      <c r="G30"/>
      <c r="H30"/>
      <c r="L30" s="44"/>
      <c r="M30" s="102"/>
      <c r="N30" s="102"/>
    </row>
    <row r="31" spans="1:15" ht="15.75">
      <c r="A31" s="381" t="s">
        <v>613</v>
      </c>
      <c r="B31" s="540">
        <f t="shared" si="0"/>
        <v>29094</v>
      </c>
      <c r="C31" s="541">
        <v>14291</v>
      </c>
      <c r="D31" s="541">
        <v>10422</v>
      </c>
      <c r="E31" s="542">
        <v>4381</v>
      </c>
      <c r="F31"/>
      <c r="G31"/>
      <c r="H31"/>
      <c r="M31" s="102"/>
      <c r="N31" s="102"/>
      <c r="O31" s="84"/>
    </row>
    <row r="32" spans="1:15" ht="15.75">
      <c r="A32" s="381" t="s">
        <v>602</v>
      </c>
      <c r="B32" s="540">
        <f t="shared" si="0"/>
        <v>29266</v>
      </c>
      <c r="C32" s="541">
        <v>14375</v>
      </c>
      <c r="D32" s="541">
        <v>10464</v>
      </c>
      <c r="E32" s="542">
        <v>4427</v>
      </c>
      <c r="F32"/>
      <c r="G32"/>
      <c r="H32"/>
      <c r="M32" s="102"/>
      <c r="N32" s="102"/>
      <c r="O32" s="84"/>
    </row>
    <row r="33" spans="1:14" ht="15.75">
      <c r="A33" s="381" t="s">
        <v>614</v>
      </c>
      <c r="B33" s="540">
        <f t="shared" si="0"/>
        <v>29454</v>
      </c>
      <c r="C33" s="541">
        <v>14546</v>
      </c>
      <c r="D33" s="541">
        <v>10460</v>
      </c>
      <c r="E33" s="542">
        <v>4448</v>
      </c>
      <c r="F33"/>
      <c r="G33"/>
      <c r="H33"/>
    </row>
    <row r="34" spans="1:14" ht="15.75">
      <c r="A34" s="381" t="s">
        <v>604</v>
      </c>
      <c r="B34" s="540">
        <f t="shared" si="0"/>
        <v>29662</v>
      </c>
      <c r="C34" s="541">
        <v>14651</v>
      </c>
      <c r="D34" s="541">
        <v>10530</v>
      </c>
      <c r="E34" s="542">
        <v>4481</v>
      </c>
      <c r="F34"/>
      <c r="G34"/>
      <c r="H34"/>
    </row>
    <row r="35" spans="1:14" ht="15.75">
      <c r="A35" s="381" t="s">
        <v>605</v>
      </c>
      <c r="B35" s="540">
        <f t="shared" si="0"/>
        <v>29825</v>
      </c>
      <c r="C35" s="541">
        <v>14726</v>
      </c>
      <c r="D35" s="541">
        <v>10515</v>
      </c>
      <c r="E35" s="542">
        <v>4584</v>
      </c>
      <c r="F35"/>
      <c r="G35"/>
      <c r="H35"/>
    </row>
    <row r="36" spans="1:14" ht="15.75">
      <c r="A36" s="381" t="s">
        <v>606</v>
      </c>
      <c r="B36" s="540">
        <f t="shared" si="0"/>
        <v>29976</v>
      </c>
      <c r="C36" s="541">
        <v>14810</v>
      </c>
      <c r="D36" s="541">
        <v>10545</v>
      </c>
      <c r="E36" s="542">
        <v>4621</v>
      </c>
      <c r="F36"/>
      <c r="G36"/>
      <c r="H36"/>
    </row>
    <row r="37" spans="1:14" ht="15.75">
      <c r="A37" s="381" t="s">
        <v>607</v>
      </c>
      <c r="B37" s="540">
        <f t="shared" si="0"/>
        <v>30032</v>
      </c>
      <c r="C37" s="541">
        <v>14850</v>
      </c>
      <c r="D37" s="541">
        <v>10543</v>
      </c>
      <c r="E37" s="542">
        <v>4639</v>
      </c>
      <c r="F37"/>
      <c r="G37"/>
      <c r="H37"/>
      <c r="I37" s="167"/>
      <c r="J37" s="167"/>
      <c r="K37" s="167"/>
      <c r="L37" s="167"/>
      <c r="M37" s="167"/>
      <c r="N37" s="167"/>
    </row>
    <row r="38" spans="1:14" ht="15.75">
      <c r="A38" s="381" t="s">
        <v>608</v>
      </c>
      <c r="B38" s="540">
        <f t="shared" si="0"/>
        <v>30250</v>
      </c>
      <c r="C38" s="541">
        <v>14943</v>
      </c>
      <c r="D38" s="541">
        <v>10531</v>
      </c>
      <c r="E38" s="542">
        <v>4776</v>
      </c>
      <c r="F38"/>
      <c r="G38"/>
      <c r="H38"/>
    </row>
    <row r="39" spans="1:14" ht="15.75">
      <c r="A39" s="381" t="s">
        <v>571</v>
      </c>
      <c r="B39" s="540">
        <f t="shared" si="0"/>
        <v>30130</v>
      </c>
      <c r="C39" s="541">
        <v>14868</v>
      </c>
      <c r="D39" s="541">
        <v>10485</v>
      </c>
      <c r="E39" s="542">
        <v>4777</v>
      </c>
      <c r="F39" s="84"/>
      <c r="G39" s="84"/>
      <c r="H39" s="84"/>
    </row>
    <row r="40" spans="1:14" ht="15.75">
      <c r="A40" s="381" t="s">
        <v>637</v>
      </c>
      <c r="B40" s="540">
        <f t="shared" si="0"/>
        <v>30169</v>
      </c>
      <c r="C40" s="541">
        <v>14899</v>
      </c>
      <c r="D40" s="541">
        <v>10482</v>
      </c>
      <c r="E40" s="542">
        <v>4788</v>
      </c>
      <c r="F40" s="84"/>
      <c r="G40" s="84"/>
      <c r="H40" s="84"/>
    </row>
    <row r="41" spans="1:14" ht="15.75">
      <c r="A41" s="381" t="s">
        <v>635</v>
      </c>
      <c r="B41" s="540">
        <f t="shared" si="0"/>
        <v>30370</v>
      </c>
      <c r="C41" s="541">
        <v>15039</v>
      </c>
      <c r="D41" s="541">
        <v>10509</v>
      </c>
      <c r="E41" s="542">
        <v>4822</v>
      </c>
      <c r="F41" s="84"/>
      <c r="G41" s="84"/>
      <c r="H41" s="84"/>
    </row>
    <row r="42" spans="1:14" ht="15.75">
      <c r="A42" s="382" t="s">
        <v>636</v>
      </c>
      <c r="B42" s="543">
        <f t="shared" si="0"/>
        <v>30435</v>
      </c>
      <c r="C42" s="544">
        <v>15082</v>
      </c>
      <c r="D42" s="544">
        <v>10519</v>
      </c>
      <c r="E42" s="545">
        <v>4834</v>
      </c>
      <c r="F42"/>
      <c r="G42"/>
      <c r="H42"/>
    </row>
  </sheetData>
  <mergeCells count="1">
    <mergeCell ref="A1:L1"/>
  </mergeCells>
  <printOptions horizontalCentered="1" verticalCentered="1"/>
  <pageMargins left="0.4" right="0.4" top="0.25" bottom="0.25" header="0.31496062992126" footer="0.31496062992126"/>
  <pageSetup scale="7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42"/>
  <sheetViews>
    <sheetView showGridLines="0" view="pageBreakPreview" topLeftCell="D1" zoomScale="85" zoomScaleNormal="100" zoomScaleSheetLayoutView="85" workbookViewId="0">
      <selection activeCell="J39" sqref="J39"/>
    </sheetView>
  </sheetViews>
  <sheetFormatPr baseColWidth="10" defaultColWidth="11.42578125" defaultRowHeight="15"/>
  <cols>
    <col min="1" max="1" width="11.7109375" style="44" customWidth="1"/>
    <col min="2" max="2" width="21.7109375" style="44" customWidth="1"/>
    <col min="3" max="3" width="12.85546875" style="44" customWidth="1"/>
    <col min="4" max="4" width="13.140625" style="44" customWidth="1"/>
    <col min="5" max="5" width="11.28515625" style="44" customWidth="1"/>
    <col min="6" max="6" width="13.5703125" style="44" customWidth="1"/>
    <col min="7" max="7" width="13.140625" style="44" customWidth="1"/>
    <col min="8" max="9" width="11.28515625" style="44" customWidth="1"/>
    <col min="10" max="10" width="13.42578125" style="44" customWidth="1"/>
    <col min="11" max="11" width="14" style="44" customWidth="1"/>
    <col min="12" max="12" width="15.5703125" style="44" customWidth="1"/>
    <col min="13" max="13" width="17" style="44" customWidth="1"/>
    <col min="14" max="14" width="13.140625" style="44" bestFit="1" customWidth="1"/>
    <col min="15" max="15" width="7.140625" style="44" customWidth="1"/>
    <col min="16" max="16" width="18.42578125" style="44" customWidth="1"/>
    <col min="17" max="17" width="27.28515625" style="44" customWidth="1"/>
    <col min="18" max="16384" width="11.42578125" style="44"/>
  </cols>
  <sheetData>
    <row r="1" spans="1:18" s="84" customFormat="1" ht="72" customHeight="1">
      <c r="A1" s="1791"/>
      <c r="B1" s="1791"/>
      <c r="C1" s="1791"/>
      <c r="D1" s="1791"/>
      <c r="E1" s="1791"/>
      <c r="F1" s="1791"/>
      <c r="G1" s="1791"/>
      <c r="H1" s="1791"/>
      <c r="I1" s="1791"/>
      <c r="J1" s="1791"/>
      <c r="K1" s="1791"/>
      <c r="L1" s="1791"/>
      <c r="M1" s="1791"/>
    </row>
    <row r="2" spans="1:18" s="84" customFormat="1" ht="3.75" customHeight="1">
      <c r="A2" s="164"/>
      <c r="B2" s="164"/>
      <c r="C2" s="164"/>
      <c r="D2" s="164"/>
      <c r="E2" s="164"/>
      <c r="F2" s="164"/>
      <c r="G2" s="164"/>
      <c r="H2" s="164"/>
      <c r="I2" s="164"/>
      <c r="J2" s="164"/>
      <c r="K2" s="164"/>
      <c r="L2" s="164"/>
    </row>
    <row r="3" spans="1:18" s="84" customFormat="1" ht="36.75" customHeight="1">
      <c r="A3" s="380" t="s">
        <v>250</v>
      </c>
      <c r="B3" s="378" t="s">
        <v>615</v>
      </c>
      <c r="C3" s="379" t="s">
        <v>638</v>
      </c>
      <c r="D3"/>
      <c r="E3"/>
      <c r="F3"/>
      <c r="G3"/>
      <c r="H3"/>
      <c r="I3"/>
      <c r="L3"/>
      <c r="M3" s="73"/>
      <c r="N3" s="73"/>
      <c r="O3" s="44"/>
      <c r="P3" s="44"/>
      <c r="Q3" s="102"/>
      <c r="R3" s="102"/>
    </row>
    <row r="4" spans="1:18" s="84" customFormat="1" ht="15.75" hidden="1">
      <c r="A4" s="1702" t="s">
        <v>478</v>
      </c>
      <c r="B4" s="1703">
        <v>29731</v>
      </c>
      <c r="C4" s="383"/>
      <c r="D4"/>
      <c r="E4"/>
      <c r="F4"/>
      <c r="G4"/>
      <c r="H4"/>
      <c r="I4"/>
      <c r="L4"/>
      <c r="M4" s="12"/>
      <c r="N4" s="12"/>
      <c r="O4" s="12"/>
      <c r="P4" s="44"/>
      <c r="Q4" s="102"/>
      <c r="R4" s="102"/>
    </row>
    <row r="5" spans="1:18" s="84" customFormat="1" ht="15.75" hidden="1">
      <c r="A5" s="1702" t="s">
        <v>441</v>
      </c>
      <c r="B5" s="1703">
        <v>29648</v>
      </c>
      <c r="C5" s="383">
        <f t="shared" ref="C5:C42" si="0">B5/B4-1</f>
        <v>-2.7916989001378623E-3</v>
      </c>
      <c r="D5"/>
      <c r="E5"/>
      <c r="F5"/>
      <c r="G5"/>
      <c r="H5"/>
      <c r="I5"/>
      <c r="L5"/>
      <c r="M5" s="12"/>
      <c r="N5" s="12"/>
      <c r="O5" s="12"/>
      <c r="P5" s="44"/>
      <c r="Q5" s="102"/>
      <c r="R5" s="102"/>
    </row>
    <row r="6" spans="1:18" s="84" customFormat="1" ht="15.75" hidden="1">
      <c r="A6" s="1702" t="s">
        <v>479</v>
      </c>
      <c r="B6" s="1703">
        <v>29976</v>
      </c>
      <c r="C6" s="383">
        <f t="shared" si="0"/>
        <v>1.1063140852671349E-2</v>
      </c>
      <c r="D6"/>
      <c r="E6"/>
      <c r="F6"/>
      <c r="G6"/>
      <c r="H6"/>
      <c r="I6"/>
      <c r="L6"/>
      <c r="M6" s="12"/>
      <c r="N6" s="12"/>
      <c r="O6" s="12"/>
      <c r="P6" s="44"/>
      <c r="Q6" s="102"/>
      <c r="R6" s="102"/>
    </row>
    <row r="7" spans="1:18" s="84" customFormat="1" ht="15.75" hidden="1">
      <c r="A7" s="1702" t="s">
        <v>480</v>
      </c>
      <c r="B7" s="1703">
        <v>29977</v>
      </c>
      <c r="C7" s="383">
        <f t="shared" si="0"/>
        <v>3.3360021350459235E-5</v>
      </c>
      <c r="D7"/>
      <c r="E7"/>
      <c r="F7"/>
      <c r="G7"/>
      <c r="H7"/>
      <c r="I7"/>
      <c r="L7"/>
      <c r="M7" s="12"/>
      <c r="O7" s="12"/>
      <c r="P7" s="44"/>
      <c r="Q7" s="102"/>
      <c r="R7" s="102"/>
    </row>
    <row r="8" spans="1:18" s="84" customFormat="1" ht="15.75" hidden="1">
      <c r="A8" s="1702" t="s">
        <v>438</v>
      </c>
      <c r="B8" s="1703">
        <v>29984</v>
      </c>
      <c r="C8" s="383">
        <f t="shared" si="0"/>
        <v>2.3351235947566273E-4</v>
      </c>
      <c r="D8"/>
      <c r="E8"/>
      <c r="F8"/>
      <c r="G8"/>
      <c r="H8"/>
      <c r="I8"/>
      <c r="L8"/>
      <c r="M8" s="12"/>
      <c r="N8" s="12"/>
      <c r="O8" s="12"/>
      <c r="P8" s="44"/>
      <c r="Q8" s="102"/>
      <c r="R8" s="102"/>
    </row>
    <row r="9" spans="1:18" s="84" customFormat="1" ht="15.75" hidden="1">
      <c r="A9" s="1702" t="s">
        <v>449</v>
      </c>
      <c r="B9" s="1703">
        <v>30141</v>
      </c>
      <c r="C9" s="383">
        <f t="shared" si="0"/>
        <v>5.2361259338313815E-3</v>
      </c>
      <c r="D9"/>
      <c r="E9"/>
      <c r="F9"/>
      <c r="G9"/>
      <c r="H9"/>
      <c r="I9"/>
      <c r="L9"/>
      <c r="M9" s="12"/>
      <c r="N9" s="12"/>
      <c r="O9" s="12"/>
      <c r="P9" s="44"/>
      <c r="Q9" s="102"/>
      <c r="R9" s="102"/>
    </row>
    <row r="10" spans="1:18" s="84" customFormat="1" ht="15.75" hidden="1">
      <c r="A10" s="1702" t="s">
        <v>481</v>
      </c>
      <c r="B10" s="1703">
        <v>30197</v>
      </c>
      <c r="C10" s="383">
        <f t="shared" si="0"/>
        <v>1.8579343751037314E-3</v>
      </c>
      <c r="D10"/>
      <c r="E10"/>
      <c r="F10"/>
      <c r="G10"/>
      <c r="H10"/>
      <c r="I10"/>
      <c r="L10"/>
      <c r="M10" s="12"/>
      <c r="N10" s="12"/>
      <c r="O10" s="12"/>
      <c r="P10" s="44"/>
      <c r="Q10" s="102"/>
      <c r="R10" s="102"/>
    </row>
    <row r="11" spans="1:18" s="84" customFormat="1" hidden="1">
      <c r="A11" s="1702" t="s">
        <v>482</v>
      </c>
      <c r="B11" s="1703">
        <v>30345</v>
      </c>
      <c r="C11" s="383">
        <f t="shared" si="0"/>
        <v>4.9011491207735514E-3</v>
      </c>
      <c r="D11"/>
      <c r="E11"/>
      <c r="F11"/>
      <c r="G11"/>
      <c r="H11"/>
      <c r="I11"/>
      <c r="L11"/>
      <c r="P11" s="44"/>
      <c r="Q11" s="102"/>
      <c r="R11" s="102"/>
    </row>
    <row r="12" spans="1:18" s="84" customFormat="1" hidden="1">
      <c r="A12" s="1702" t="s">
        <v>483</v>
      </c>
      <c r="B12" s="1703">
        <v>29869</v>
      </c>
      <c r="C12" s="383">
        <f t="shared" si="0"/>
        <v>-1.5686274509803977E-2</v>
      </c>
      <c r="D12"/>
      <c r="E12"/>
      <c r="F12"/>
      <c r="G12"/>
      <c r="H12"/>
      <c r="I12"/>
      <c r="L12"/>
      <c r="P12" s="44"/>
      <c r="Q12" s="102"/>
      <c r="R12" s="102"/>
    </row>
    <row r="13" spans="1:18" s="84" customFormat="1" hidden="1">
      <c r="A13" s="1702" t="s">
        <v>474</v>
      </c>
      <c r="B13" s="1703">
        <v>29898</v>
      </c>
      <c r="C13" s="383">
        <f t="shared" si="0"/>
        <v>9.7090629080320845E-4</v>
      </c>
      <c r="D13"/>
      <c r="E13"/>
      <c r="F13"/>
      <c r="G13"/>
      <c r="H13"/>
      <c r="I13"/>
      <c r="L13"/>
      <c r="P13" s="44"/>
      <c r="Q13" s="102"/>
      <c r="R13" s="102"/>
    </row>
    <row r="14" spans="1:18" s="84" customFormat="1" hidden="1">
      <c r="A14" s="1702" t="s">
        <v>484</v>
      </c>
      <c r="B14" s="1703">
        <v>29943</v>
      </c>
      <c r="C14" s="383">
        <f t="shared" si="0"/>
        <v>1.505117399157152E-3</v>
      </c>
      <c r="D14"/>
      <c r="E14"/>
      <c r="F14"/>
      <c r="G14"/>
      <c r="H14"/>
      <c r="I14"/>
      <c r="L14"/>
      <c r="P14" s="44"/>
      <c r="Q14" s="102"/>
      <c r="R14" s="102"/>
    </row>
    <row r="15" spans="1:18" s="84" customFormat="1" hidden="1">
      <c r="A15" s="1702" t="s">
        <v>496</v>
      </c>
      <c r="B15" s="1703">
        <v>30581</v>
      </c>
      <c r="C15" s="383">
        <f t="shared" si="0"/>
        <v>2.1307150252145801E-2</v>
      </c>
      <c r="D15"/>
      <c r="E15"/>
      <c r="F15"/>
      <c r="G15"/>
      <c r="H15"/>
      <c r="I15"/>
      <c r="L15"/>
      <c r="P15" s="44"/>
      <c r="Q15" s="102"/>
      <c r="R15" s="102"/>
    </row>
    <row r="16" spans="1:18" s="84" customFormat="1" hidden="1">
      <c r="A16" s="1702" t="s">
        <v>478</v>
      </c>
      <c r="B16" s="1703">
        <v>30779</v>
      </c>
      <c r="C16" s="383">
        <f t="shared" si="0"/>
        <v>6.4746084169908791E-3</v>
      </c>
      <c r="D16"/>
      <c r="E16"/>
      <c r="F16"/>
      <c r="G16"/>
      <c r="H16"/>
      <c r="I16"/>
      <c r="L16"/>
      <c r="P16" s="44"/>
      <c r="Q16" s="102"/>
      <c r="R16" s="102"/>
    </row>
    <row r="17" spans="1:19" s="84" customFormat="1" hidden="1">
      <c r="A17" s="1702" t="s">
        <v>501</v>
      </c>
      <c r="B17" s="1703">
        <v>30884</v>
      </c>
      <c r="C17" s="383">
        <f t="shared" si="0"/>
        <v>3.4114168751422369E-3</v>
      </c>
      <c r="D17"/>
      <c r="E17"/>
      <c r="F17"/>
      <c r="G17"/>
      <c r="H17"/>
      <c r="I17"/>
      <c r="L17"/>
      <c r="P17" s="44"/>
      <c r="Q17" s="102"/>
      <c r="R17" s="102"/>
    </row>
    <row r="18" spans="1:19" s="84" customFormat="1" hidden="1">
      <c r="A18" s="1702" t="s">
        <v>509</v>
      </c>
      <c r="B18" s="1703">
        <v>30729</v>
      </c>
      <c r="C18" s="1704">
        <f t="shared" si="0"/>
        <v>-5.0187799507835917E-3</v>
      </c>
      <c r="D18"/>
      <c r="E18"/>
      <c r="F18"/>
      <c r="G18"/>
      <c r="H18"/>
      <c r="I18"/>
      <c r="L18"/>
      <c r="P18" s="44"/>
      <c r="Q18" s="102"/>
      <c r="R18" s="102"/>
    </row>
    <row r="19" spans="1:19" s="84" customFormat="1" hidden="1">
      <c r="A19" s="1702" t="s">
        <v>590</v>
      </c>
      <c r="B19" s="1703">
        <v>30845</v>
      </c>
      <c r="C19" s="1704">
        <f t="shared" si="0"/>
        <v>3.7749357284648788E-3</v>
      </c>
      <c r="D19"/>
      <c r="E19"/>
      <c r="F19"/>
      <c r="G19"/>
      <c r="H19"/>
      <c r="I19"/>
      <c r="L19"/>
      <c r="P19" s="44"/>
      <c r="Q19" s="102"/>
      <c r="R19" s="102"/>
    </row>
    <row r="20" spans="1:19" s="84" customFormat="1" hidden="1">
      <c r="A20" s="1702" t="s">
        <v>591</v>
      </c>
      <c r="B20" s="1703">
        <v>30897</v>
      </c>
      <c r="C20" s="1704">
        <f t="shared" si="0"/>
        <v>1.6858485978279436E-3</v>
      </c>
      <c r="D20"/>
      <c r="E20"/>
      <c r="F20"/>
      <c r="G20"/>
      <c r="H20"/>
      <c r="I20"/>
      <c r="L20"/>
      <c r="P20" s="44"/>
      <c r="Q20" s="102"/>
      <c r="R20" s="102"/>
    </row>
    <row r="21" spans="1:19" s="84" customFormat="1" hidden="1">
      <c r="A21" s="1702" t="s">
        <v>592</v>
      </c>
      <c r="B21" s="1703">
        <v>30824</v>
      </c>
      <c r="C21" s="1704">
        <f t="shared" si="0"/>
        <v>-2.362688934200774E-3</v>
      </c>
      <c r="D21"/>
      <c r="E21"/>
      <c r="F21"/>
      <c r="G21"/>
      <c r="H21"/>
      <c r="I21"/>
      <c r="L21"/>
      <c r="P21" s="44"/>
      <c r="Q21" s="102"/>
      <c r="R21" s="102"/>
    </row>
    <row r="22" spans="1:19" s="84" customFormat="1" ht="14.25" hidden="1" customHeight="1">
      <c r="A22" s="1702" t="s">
        <v>593</v>
      </c>
      <c r="B22" s="1703">
        <v>31248</v>
      </c>
      <c r="C22" s="1704">
        <f t="shared" si="0"/>
        <v>1.3755515182974243E-2</v>
      </c>
      <c r="D22"/>
      <c r="E22"/>
      <c r="F22"/>
      <c r="G22"/>
      <c r="H22"/>
      <c r="I22"/>
      <c r="L22"/>
      <c r="P22" s="44"/>
      <c r="Q22" s="102"/>
      <c r="R22" s="102"/>
    </row>
    <row r="23" spans="1:19" s="84" customFormat="1" hidden="1">
      <c r="A23" s="1702" t="s">
        <v>594</v>
      </c>
      <c r="B23" s="1703">
        <v>30979</v>
      </c>
      <c r="C23" s="1704">
        <f t="shared" si="0"/>
        <v>-8.6085509472606514E-3</v>
      </c>
      <c r="D23"/>
      <c r="E23"/>
      <c r="F23"/>
      <c r="G23"/>
      <c r="H23"/>
      <c r="I23"/>
      <c r="L23"/>
      <c r="P23" s="44"/>
      <c r="Q23" s="102"/>
      <c r="R23" s="102"/>
    </row>
    <row r="24" spans="1:19" s="84" customFormat="1" hidden="1">
      <c r="A24" s="1702" t="s">
        <v>595</v>
      </c>
      <c r="B24" s="1703">
        <v>31187</v>
      </c>
      <c r="C24" s="1704">
        <f t="shared" si="0"/>
        <v>6.7142257658414639E-3</v>
      </c>
      <c r="D24"/>
      <c r="E24"/>
      <c r="F24"/>
      <c r="G24"/>
      <c r="H24"/>
      <c r="I24"/>
      <c r="L24"/>
      <c r="P24" s="44"/>
      <c r="Q24" s="102"/>
      <c r="R24" s="102"/>
    </row>
    <row r="25" spans="1:19" s="84" customFormat="1" hidden="1">
      <c r="A25" s="1702" t="s">
        <v>596</v>
      </c>
      <c r="B25" s="1703">
        <v>30169</v>
      </c>
      <c r="C25" s="1704">
        <f t="shared" si="0"/>
        <v>-3.264180588065535E-2</v>
      </c>
      <c r="D25"/>
      <c r="E25"/>
      <c r="F25"/>
      <c r="G25"/>
      <c r="H25"/>
      <c r="I25"/>
      <c r="L25"/>
      <c r="P25" s="44"/>
      <c r="Q25" s="102"/>
      <c r="R25" s="102"/>
    </row>
    <row r="26" spans="1:19" s="84" customFormat="1" hidden="1">
      <c r="A26" s="1702" t="s">
        <v>597</v>
      </c>
      <c r="B26" s="1703">
        <v>30032</v>
      </c>
      <c r="C26" s="1704">
        <f t="shared" si="0"/>
        <v>-4.5410852199276874E-3</v>
      </c>
      <c r="D26"/>
      <c r="E26"/>
      <c r="F26"/>
      <c r="G26"/>
      <c r="H26"/>
      <c r="I26"/>
      <c r="L26"/>
      <c r="P26" s="44"/>
      <c r="Q26" s="102"/>
      <c r="R26" s="102"/>
    </row>
    <row r="27" spans="1:19" s="84" customFormat="1" hidden="1">
      <c r="A27" s="1702" t="s">
        <v>598</v>
      </c>
      <c r="B27" s="1705">
        <v>29695</v>
      </c>
      <c r="C27" s="1706">
        <f t="shared" si="0"/>
        <v>-1.1221363878529567E-2</v>
      </c>
      <c r="D27"/>
      <c r="E27"/>
      <c r="F27"/>
      <c r="G27"/>
      <c r="H27"/>
      <c r="I27"/>
      <c r="L27"/>
      <c r="P27" s="44"/>
      <c r="Q27" s="102"/>
      <c r="R27" s="102"/>
    </row>
    <row r="28" spans="1:19" s="84" customFormat="1" hidden="1">
      <c r="A28" s="1702" t="s">
        <v>599</v>
      </c>
      <c r="B28" s="1705">
        <v>28854</v>
      </c>
      <c r="C28" s="1706">
        <f t="shared" si="0"/>
        <v>-2.832126620643205E-2</v>
      </c>
      <c r="D28"/>
      <c r="E28"/>
      <c r="F28"/>
      <c r="G28"/>
      <c r="H28"/>
      <c r="I28"/>
      <c r="L28"/>
      <c r="P28" s="44"/>
      <c r="Q28" s="102"/>
      <c r="R28" s="102"/>
    </row>
    <row r="29" spans="1:19" s="84" customFormat="1" hidden="1">
      <c r="A29" s="1702" t="s">
        <v>570</v>
      </c>
      <c r="B29" s="1705">
        <v>29217</v>
      </c>
      <c r="C29" s="1706">
        <f t="shared" si="0"/>
        <v>1.2580578082761473E-2</v>
      </c>
      <c r="D29"/>
      <c r="E29"/>
      <c r="F29"/>
      <c r="G29"/>
      <c r="H29"/>
      <c r="I29"/>
      <c r="L29"/>
      <c r="P29" s="44"/>
      <c r="Q29" s="102"/>
      <c r="R29" s="102"/>
    </row>
    <row r="30" spans="1:19" s="84" customFormat="1">
      <c r="A30" s="1702" t="s">
        <v>600</v>
      </c>
      <c r="B30" s="1707">
        <v>29300</v>
      </c>
      <c r="C30" s="1708">
        <f t="shared" si="0"/>
        <v>2.8408118561111806E-3</v>
      </c>
      <c r="D30"/>
      <c r="E30"/>
      <c r="F30"/>
      <c r="G30"/>
      <c r="H30"/>
      <c r="I30"/>
      <c r="L30"/>
      <c r="P30" s="44"/>
      <c r="Q30" s="102"/>
      <c r="R30" s="102"/>
    </row>
    <row r="31" spans="1:19">
      <c r="A31" s="1702" t="s">
        <v>613</v>
      </c>
      <c r="B31" s="1709">
        <v>29117</v>
      </c>
      <c r="C31" s="1710">
        <f t="shared" si="0"/>
        <v>-6.2457337883958797E-3</v>
      </c>
      <c r="D31"/>
      <c r="E31"/>
      <c r="F31"/>
      <c r="G31"/>
      <c r="H31"/>
      <c r="I31"/>
      <c r="L31"/>
      <c r="Q31" s="102"/>
      <c r="R31" s="102"/>
      <c r="S31" s="84"/>
    </row>
    <row r="32" spans="1:19">
      <c r="A32" s="1702" t="s">
        <v>602</v>
      </c>
      <c r="B32" s="1709">
        <v>29331</v>
      </c>
      <c r="C32" s="1710">
        <f t="shared" si="0"/>
        <v>7.349658275234372E-3</v>
      </c>
      <c r="D32"/>
      <c r="E32"/>
      <c r="F32"/>
      <c r="G32"/>
      <c r="H32"/>
      <c r="I32"/>
      <c r="L32"/>
      <c r="Q32" s="102"/>
      <c r="R32" s="102"/>
      <c r="S32" s="84"/>
    </row>
    <row r="33" spans="1:18">
      <c r="A33" s="1702" t="s">
        <v>614</v>
      </c>
      <c r="B33" s="1709">
        <v>29492</v>
      </c>
      <c r="C33" s="1710">
        <f t="shared" si="0"/>
        <v>5.4890729944427896E-3</v>
      </c>
      <c r="D33"/>
      <c r="E33"/>
      <c r="F33"/>
      <c r="G33"/>
      <c r="H33"/>
      <c r="I33"/>
      <c r="L33"/>
    </row>
    <row r="34" spans="1:18">
      <c r="A34" s="1702" t="s">
        <v>604</v>
      </c>
      <c r="B34" s="1709">
        <v>29716</v>
      </c>
      <c r="C34" s="1710">
        <f t="shared" si="0"/>
        <v>7.5952800759528927E-3</v>
      </c>
      <c r="D34"/>
      <c r="E34"/>
      <c r="F34"/>
      <c r="G34"/>
      <c r="H34"/>
      <c r="I34"/>
      <c r="L34"/>
    </row>
    <row r="35" spans="1:18">
      <c r="A35" s="1702" t="s">
        <v>605</v>
      </c>
      <c r="B35" s="1709">
        <v>29898</v>
      </c>
      <c r="C35" s="1710">
        <f t="shared" si="0"/>
        <v>6.1246466550006762E-3</v>
      </c>
      <c r="D35"/>
      <c r="E35"/>
      <c r="F35"/>
      <c r="G35"/>
      <c r="H35"/>
      <c r="I35"/>
      <c r="L35"/>
    </row>
    <row r="36" spans="1:18">
      <c r="A36" s="1702" t="s">
        <v>606</v>
      </c>
      <c r="B36" s="1709">
        <v>30030</v>
      </c>
      <c r="C36" s="1710">
        <f t="shared" si="0"/>
        <v>4.4150110375276164E-3</v>
      </c>
      <c r="D36"/>
      <c r="E36"/>
      <c r="F36"/>
      <c r="G36"/>
      <c r="H36"/>
      <c r="I36"/>
      <c r="L36"/>
    </row>
    <row r="37" spans="1:18">
      <c r="A37" s="1702" t="s">
        <v>607</v>
      </c>
      <c r="B37" s="1709">
        <v>30087</v>
      </c>
      <c r="C37" s="1710">
        <f t="shared" si="0"/>
        <v>1.8981018981019115E-3</v>
      </c>
      <c r="D37"/>
      <c r="E37"/>
      <c r="F37"/>
      <c r="G37"/>
      <c r="H37"/>
      <c r="I37"/>
      <c r="L37"/>
      <c r="M37" s="167"/>
      <c r="N37" s="167"/>
      <c r="O37" s="167"/>
      <c r="P37" s="167"/>
      <c r="Q37" s="167"/>
      <c r="R37" s="167"/>
    </row>
    <row r="38" spans="1:18">
      <c r="A38" s="1702" t="s">
        <v>608</v>
      </c>
      <c r="B38" s="1709">
        <v>30316</v>
      </c>
      <c r="C38" s="1710">
        <f>B38/B37-1</f>
        <v>7.6112606773690583E-3</v>
      </c>
      <c r="D38"/>
      <c r="E38"/>
      <c r="F38"/>
      <c r="G38"/>
      <c r="H38"/>
      <c r="I38"/>
      <c r="L38"/>
    </row>
    <row r="39" spans="1:18">
      <c r="A39" s="1702" t="s">
        <v>571</v>
      </c>
      <c r="B39" s="1709">
        <v>30389</v>
      </c>
      <c r="C39" s="1710">
        <f t="shared" si="0"/>
        <v>2.4079693891014831E-3</v>
      </c>
      <c r="D39" s="84"/>
      <c r="E39" s="84"/>
      <c r="F39" s="84"/>
      <c r="G39" s="84"/>
      <c r="H39" s="84"/>
      <c r="I39" s="84"/>
      <c r="L39" s="84"/>
    </row>
    <row r="40" spans="1:18">
      <c r="A40" s="1702" t="s">
        <v>637</v>
      </c>
      <c r="B40" s="1709">
        <v>30237</v>
      </c>
      <c r="C40" s="1710">
        <f t="shared" si="0"/>
        <v>-5.001809865411877E-3</v>
      </c>
      <c r="D40" s="84"/>
      <c r="E40" s="84"/>
      <c r="F40" s="84"/>
      <c r="G40" s="84"/>
      <c r="H40" s="84"/>
      <c r="I40" s="84"/>
      <c r="L40" s="84"/>
    </row>
    <row r="41" spans="1:18">
      <c r="A41" s="1702" t="s">
        <v>635</v>
      </c>
      <c r="B41" s="1709">
        <v>30470</v>
      </c>
      <c r="C41" s="1710">
        <f t="shared" si="0"/>
        <v>7.7057909184112816E-3</v>
      </c>
      <c r="D41" s="84"/>
      <c r="E41" s="84"/>
      <c r="F41" s="84"/>
      <c r="G41" s="84"/>
      <c r="H41" s="84"/>
      <c r="I41" s="84"/>
      <c r="L41" s="84"/>
    </row>
    <row r="42" spans="1:18">
      <c r="A42" s="1711" t="s">
        <v>636</v>
      </c>
      <c r="B42" s="1712">
        <v>30485</v>
      </c>
      <c r="C42" s="1713">
        <f t="shared" si="0"/>
        <v>4.9228749589769194E-4</v>
      </c>
      <c r="D42"/>
      <c r="E42"/>
      <c r="F42"/>
      <c r="G42"/>
      <c r="H42"/>
      <c r="I42"/>
      <c r="L42"/>
    </row>
  </sheetData>
  <mergeCells count="1">
    <mergeCell ref="A1:M1"/>
  </mergeCells>
  <printOptions horizontalCentered="1" verticalCentered="1"/>
  <pageMargins left="0.4" right="0.4" top="0.25" bottom="0.25" header="0.31496062992126" footer="0.31496062992126"/>
  <pageSetup scale="7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70" zoomScaleNormal="100" zoomScaleSheetLayoutView="70" workbookViewId="0">
      <selection activeCell="T36" sqref="T36"/>
    </sheetView>
  </sheetViews>
  <sheetFormatPr baseColWidth="10" defaultColWidth="11.42578125" defaultRowHeight="15"/>
  <cols>
    <col min="1" max="6" width="11.42578125" style="84"/>
    <col min="7" max="7" width="35.7109375" style="84" customWidth="1"/>
    <col min="8" max="10" width="11.42578125" style="84"/>
    <col min="11" max="11" width="11.28515625" style="84" customWidth="1"/>
    <col min="12" max="13" width="11.42578125" style="84" hidden="1" customWidth="1"/>
    <col min="14" max="16384" width="11.42578125" style="84"/>
  </cols>
  <sheetData/>
  <pageMargins left="0.7" right="0.7" top="0.75" bottom="0.75" header="0.3" footer="0.3"/>
  <pageSetup scale="6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70" zoomScaleNormal="100" zoomScaleSheetLayoutView="70" workbookViewId="0">
      <selection activeCell="Q17" sqref="Q17"/>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5:Q24"/>
  <sheetViews>
    <sheetView showGridLines="0" view="pageBreakPreview" zoomScale="85" zoomScaleNormal="100" zoomScaleSheetLayoutView="85" workbookViewId="0">
      <selection activeCell="P49" sqref="P49"/>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5" width="11.42578125" style="84"/>
    <col min="16" max="16" width="29" style="84" customWidth="1"/>
    <col min="17" max="17" width="24.85546875" style="84" customWidth="1"/>
    <col min="18" max="16384" width="11.42578125" style="84"/>
  </cols>
  <sheetData>
    <row r="5" spans="14:17" ht="11.25" customHeight="1"/>
    <row r="6" spans="14:17" ht="10.5" hidden="1" customHeight="1"/>
    <row r="9" spans="14:17" ht="19.5">
      <c r="N9" s="1398"/>
    </row>
    <row r="14" spans="14:17">
      <c r="P14" s="55"/>
      <c r="Q14" s="55"/>
    </row>
    <row r="15" spans="14:17">
      <c r="P15" s="55"/>
      <c r="Q15" s="55"/>
    </row>
    <row r="16" spans="14:17">
      <c r="P16" s="55"/>
      <c r="Q16" s="1204"/>
    </row>
    <row r="22" spans="15:16">
      <c r="P22" s="154"/>
    </row>
    <row r="24" spans="15:16">
      <c r="O24" s="15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34"/>
  <sheetViews>
    <sheetView showGridLines="0" view="pageBreakPreview" zoomScale="70" zoomScaleNormal="100" zoomScaleSheetLayoutView="70" workbookViewId="0">
      <pane ySplit="1" topLeftCell="A2" activePane="bottomLeft" state="frozen"/>
      <selection pane="bottomLeft" activeCell="P4" sqref="P3:R28"/>
    </sheetView>
  </sheetViews>
  <sheetFormatPr baseColWidth="10" defaultColWidth="11.42578125" defaultRowHeight="15"/>
  <cols>
    <col min="1" max="1" width="13.42578125" style="84" customWidth="1"/>
    <col min="2" max="2" width="16.28515625" style="84" bestFit="1" customWidth="1"/>
    <col min="3" max="3" width="13" style="84" customWidth="1"/>
    <col min="4" max="4" width="14.5703125" style="84" customWidth="1"/>
    <col min="5" max="5" width="13.85546875" style="84" customWidth="1"/>
    <col min="6" max="6" width="14.28515625" style="84" customWidth="1"/>
    <col min="7" max="7" width="13.5703125" style="84" customWidth="1"/>
    <col min="8" max="8" width="11.42578125" style="84"/>
    <col min="9" max="9" width="12.5703125" style="84" bestFit="1" customWidth="1"/>
    <col min="10" max="10" width="11.42578125" style="84"/>
    <col min="11" max="11" width="13" style="84" customWidth="1"/>
    <col min="12" max="12" width="14.140625" style="84" customWidth="1"/>
    <col min="13" max="13" width="14.85546875" style="84" customWidth="1"/>
    <col min="14" max="14" width="12.140625" style="84" customWidth="1"/>
    <col min="15" max="15" width="1.42578125" style="84" customWidth="1"/>
    <col min="16" max="16384" width="11.42578125" style="84"/>
  </cols>
  <sheetData>
    <row r="1" spans="1:21" ht="75.75" customHeight="1">
      <c r="A1" s="1792"/>
      <c r="B1" s="1792"/>
      <c r="C1" s="1792"/>
      <c r="D1" s="1792"/>
      <c r="E1" s="1792"/>
      <c r="F1" s="1792"/>
      <c r="G1" s="1792"/>
      <c r="H1" s="1792"/>
      <c r="I1" s="1792"/>
      <c r="J1" s="1792"/>
      <c r="K1" s="1792"/>
      <c r="L1" s="1792"/>
      <c r="M1" s="1792"/>
      <c r="N1" s="1792"/>
    </row>
    <row r="2" spans="1:21" ht="12" customHeight="1">
      <c r="A2" s="1793" t="s">
        <v>696</v>
      </c>
      <c r="B2" s="1793"/>
      <c r="C2" s="1793"/>
      <c r="D2" s="1793"/>
      <c r="E2" s="1793"/>
      <c r="F2" s="1793"/>
      <c r="G2" s="1793"/>
      <c r="H2" s="1793"/>
      <c r="I2" s="1793"/>
      <c r="J2" s="1793"/>
      <c r="K2" s="1793"/>
      <c r="L2" s="1793"/>
      <c r="M2" s="1793"/>
      <c r="N2" s="1793"/>
    </row>
    <row r="3" spans="1:21" ht="34.5" customHeight="1">
      <c r="A3" s="1607" t="s">
        <v>25</v>
      </c>
      <c r="B3" s="1608" t="s">
        <v>46</v>
      </c>
      <c r="C3" s="1608" t="s">
        <v>552</v>
      </c>
      <c r="D3" s="1609" t="s">
        <v>231</v>
      </c>
      <c r="P3" s="168"/>
      <c r="T3" s="182"/>
      <c r="U3" s="182"/>
    </row>
    <row r="4" spans="1:21" ht="18.75">
      <c r="A4" s="1610">
        <v>2003</v>
      </c>
      <c r="B4" s="1611">
        <v>576869</v>
      </c>
      <c r="C4" s="1611">
        <v>986538</v>
      </c>
      <c r="D4" s="1612">
        <f t="shared" ref="D4:D16" si="0">B4/C4</f>
        <v>0.58474078038555033</v>
      </c>
      <c r="T4" s="182"/>
      <c r="U4" s="182"/>
    </row>
    <row r="5" spans="1:21" ht="18.75">
      <c r="A5" s="1613">
        <v>2004</v>
      </c>
      <c r="B5" s="548">
        <v>593286</v>
      </c>
      <c r="C5" s="548">
        <v>1190202</v>
      </c>
      <c r="D5" s="1614">
        <f t="shared" si="0"/>
        <v>0.49847504877323345</v>
      </c>
      <c r="T5" s="182"/>
      <c r="U5" s="182"/>
    </row>
    <row r="6" spans="1:21" ht="18.75">
      <c r="A6" s="1613">
        <v>2005</v>
      </c>
      <c r="B6" s="548">
        <v>626615</v>
      </c>
      <c r="C6" s="1615">
        <v>1429521</v>
      </c>
      <c r="D6" s="1614">
        <f t="shared" si="0"/>
        <v>0.43833913597631652</v>
      </c>
      <c r="O6" s="168"/>
      <c r="T6" s="182"/>
      <c r="U6" s="182"/>
    </row>
    <row r="7" spans="1:21" ht="18.75">
      <c r="A7" s="1613">
        <v>2006</v>
      </c>
      <c r="B7" s="548">
        <v>808496</v>
      </c>
      <c r="C7" s="548">
        <v>1588621</v>
      </c>
      <c r="D7" s="1614">
        <f t="shared" si="0"/>
        <v>0.50892944257944472</v>
      </c>
      <c r="P7" s="282"/>
      <c r="T7" s="182"/>
      <c r="U7" s="182"/>
    </row>
    <row r="8" spans="1:21" ht="18.75">
      <c r="A8" s="1613">
        <v>2007</v>
      </c>
      <c r="B8" s="548">
        <v>913203</v>
      </c>
      <c r="C8" s="548">
        <v>1797027</v>
      </c>
      <c r="D8" s="1614">
        <f t="shared" si="0"/>
        <v>0.5081743346093297</v>
      </c>
      <c r="T8" s="182"/>
      <c r="U8" s="182"/>
    </row>
    <row r="9" spans="1:21" ht="18.75">
      <c r="A9" s="1613">
        <v>2008</v>
      </c>
      <c r="B9" s="548">
        <v>929743</v>
      </c>
      <c r="C9" s="548">
        <v>1983720</v>
      </c>
      <c r="D9" s="1614">
        <f t="shared" si="0"/>
        <v>0.46868660899723752</v>
      </c>
      <c r="P9" s="168"/>
      <c r="T9" s="182"/>
      <c r="U9" s="182"/>
    </row>
    <row r="10" spans="1:21" ht="18.75">
      <c r="A10" s="1613">
        <v>2009</v>
      </c>
      <c r="B10" s="548">
        <v>1118293</v>
      </c>
      <c r="C10" s="548">
        <v>2193890</v>
      </c>
      <c r="D10" s="1614">
        <f t="shared" si="0"/>
        <v>0.50973066106322562</v>
      </c>
      <c r="P10" s="168"/>
      <c r="T10" s="182"/>
      <c r="U10" s="182"/>
    </row>
    <row r="11" spans="1:21" ht="18.75">
      <c r="A11" s="1613">
        <v>2010</v>
      </c>
      <c r="B11" s="548">
        <v>1189601</v>
      </c>
      <c r="C11" s="548">
        <v>2374783</v>
      </c>
      <c r="D11" s="1614">
        <f t="shared" si="0"/>
        <v>0.50093040079872564</v>
      </c>
      <c r="P11" s="168"/>
      <c r="Q11" s="19"/>
      <c r="T11" s="182"/>
      <c r="U11" s="182"/>
    </row>
    <row r="12" spans="1:21" ht="18.75">
      <c r="A12" s="1613">
        <v>2011</v>
      </c>
      <c r="B12" s="548">
        <v>1242780</v>
      </c>
      <c r="C12" s="548">
        <v>2552974</v>
      </c>
      <c r="D12" s="1614">
        <f t="shared" si="0"/>
        <v>0.4867969669883046</v>
      </c>
      <c r="P12" s="168"/>
      <c r="Q12" s="19"/>
      <c r="T12" s="182"/>
      <c r="U12" s="182"/>
    </row>
    <row r="13" spans="1:21" ht="18.75">
      <c r="A13" s="1613">
        <v>2012</v>
      </c>
      <c r="B13" s="548">
        <v>1291137</v>
      </c>
      <c r="C13" s="548">
        <v>2714449</v>
      </c>
      <c r="D13" s="1614">
        <f t="shared" si="0"/>
        <v>0.47565343832210516</v>
      </c>
      <c r="J13" s="84" t="s">
        <v>617</v>
      </c>
      <c r="O13" s="222"/>
      <c r="P13" s="168"/>
      <c r="Q13" s="19"/>
      <c r="T13" s="182"/>
      <c r="U13" s="182"/>
    </row>
    <row r="14" spans="1:21" ht="18.75">
      <c r="A14" s="1613">
        <v>2013</v>
      </c>
      <c r="B14" s="548">
        <v>1376966</v>
      </c>
      <c r="C14" s="548">
        <v>2881130</v>
      </c>
      <c r="D14" s="1614">
        <f t="shared" si="0"/>
        <v>0.47792567499557465</v>
      </c>
      <c r="P14" s="168"/>
      <c r="Q14" s="19"/>
      <c r="T14" s="182"/>
      <c r="U14" s="182"/>
    </row>
    <row r="15" spans="1:21" ht="18.75">
      <c r="A15" s="1613">
        <v>2014</v>
      </c>
      <c r="B15" s="548">
        <v>1508392</v>
      </c>
      <c r="C15" s="548">
        <v>3069900</v>
      </c>
      <c r="D15" s="1614">
        <f t="shared" si="0"/>
        <v>0.49134890387309033</v>
      </c>
      <c r="P15" s="168"/>
      <c r="Q15" s="19"/>
      <c r="T15" s="182"/>
      <c r="U15" s="182"/>
    </row>
    <row r="16" spans="1:21" ht="18.75">
      <c r="A16" s="1616" t="s">
        <v>632</v>
      </c>
      <c r="B16" s="1617">
        <v>1423196</v>
      </c>
      <c r="C16" s="1617">
        <v>3082709</v>
      </c>
      <c r="D16" s="1618">
        <f t="shared" si="0"/>
        <v>0.46167056313132376</v>
      </c>
      <c r="E16" s="7"/>
      <c r="F16" s="14"/>
      <c r="G16" s="14" t="s">
        <v>485</v>
      </c>
      <c r="H16" s="14"/>
      <c r="I16" s="1"/>
      <c r="J16" s="15"/>
      <c r="K16" s="1"/>
      <c r="L16" s="1"/>
      <c r="P16" s="168"/>
      <c r="Q16" s="19"/>
      <c r="T16" s="182"/>
      <c r="U16" s="182"/>
    </row>
    <row r="17" spans="2:21" ht="15.75">
      <c r="B17" s="1"/>
      <c r="C17" s="1"/>
      <c r="D17" s="1"/>
      <c r="E17" s="7"/>
      <c r="F17" s="13"/>
      <c r="G17" s="13"/>
      <c r="H17" s="13"/>
      <c r="I17" s="1"/>
      <c r="J17" s="15"/>
      <c r="K17" s="1"/>
      <c r="L17" s="1"/>
      <c r="P17" s="168"/>
      <c r="Q17" s="19"/>
      <c r="T17" s="182"/>
      <c r="U17" s="182"/>
    </row>
    <row r="18" spans="2:21" ht="15.75">
      <c r="B18" s="1"/>
      <c r="C18" s="1"/>
      <c r="D18" s="1"/>
      <c r="E18" s="1"/>
      <c r="F18" s="5"/>
      <c r="G18" s="5"/>
      <c r="H18" s="5"/>
      <c r="I18" s="1"/>
      <c r="J18" s="1"/>
      <c r="K18" s="1"/>
      <c r="L18" s="1"/>
      <c r="P18" s="168"/>
      <c r="Q18" s="19"/>
      <c r="T18" s="182"/>
      <c r="U18" s="182"/>
    </row>
    <row r="19" spans="2:21" ht="15.75">
      <c r="B19" s="1"/>
      <c r="C19" s="1"/>
      <c r="D19" s="1"/>
      <c r="E19" s="1"/>
      <c r="F19" s="1"/>
      <c r="G19" s="1"/>
      <c r="H19" s="1"/>
      <c r="I19" s="1"/>
      <c r="J19" s="1"/>
      <c r="K19" s="1"/>
      <c r="L19" s="1"/>
      <c r="P19" s="168"/>
      <c r="Q19" s="19"/>
      <c r="T19" s="182"/>
      <c r="U19" s="182"/>
    </row>
    <row r="20" spans="2:21">
      <c r="B20" s="1"/>
      <c r="C20" s="1"/>
      <c r="D20" s="1"/>
      <c r="E20" s="1"/>
      <c r="F20" s="1"/>
      <c r="G20" s="1"/>
      <c r="H20" s="1"/>
      <c r="I20" s="1"/>
      <c r="J20" s="1"/>
      <c r="K20" s="1"/>
      <c r="L20" s="1"/>
      <c r="P20" s="168"/>
      <c r="Q20" s="19"/>
    </row>
    <row r="21" spans="2:21">
      <c r="B21" s="1"/>
      <c r="C21" s="1"/>
      <c r="D21" s="1"/>
      <c r="E21" s="1"/>
      <c r="F21" s="1"/>
      <c r="G21" s="1"/>
      <c r="H21" s="1"/>
      <c r="I21" s="1"/>
      <c r="J21" s="1"/>
      <c r="K21" s="1"/>
      <c r="L21" s="1"/>
      <c r="P21" s="168"/>
      <c r="Q21" s="19"/>
    </row>
    <row r="22" spans="2:21">
      <c r="B22" s="1"/>
      <c r="C22" s="1"/>
      <c r="D22" s="1"/>
      <c r="E22" s="1"/>
      <c r="F22" s="1"/>
      <c r="G22" s="1"/>
      <c r="H22" s="1"/>
      <c r="I22" s="1"/>
      <c r="J22" s="1"/>
      <c r="K22" s="1"/>
      <c r="L22" s="1"/>
      <c r="P22" s="168"/>
      <c r="Q22" s="19"/>
    </row>
    <row r="23" spans="2:21">
      <c r="B23" s="1"/>
      <c r="C23" s="1"/>
      <c r="D23" s="1"/>
      <c r="E23" s="1"/>
      <c r="F23" s="1"/>
      <c r="G23" s="1"/>
      <c r="H23" s="1"/>
      <c r="I23" s="1"/>
      <c r="J23" s="1"/>
      <c r="K23" s="1"/>
      <c r="L23" s="1"/>
      <c r="P23" s="168"/>
    </row>
    <row r="24" spans="2:21">
      <c r="B24" s="1"/>
      <c r="C24" s="1"/>
      <c r="D24" s="1"/>
      <c r="E24" s="1"/>
      <c r="F24" s="1"/>
      <c r="G24" s="1"/>
      <c r="H24" s="1"/>
      <c r="I24" s="1"/>
      <c r="J24" s="1"/>
      <c r="K24" s="1"/>
      <c r="L24" s="1"/>
      <c r="M24" s="84" t="s">
        <v>33</v>
      </c>
    </row>
    <row r="25" spans="2:21">
      <c r="B25" s="1"/>
      <c r="C25" s="1"/>
      <c r="D25" s="1"/>
      <c r="E25" s="1"/>
      <c r="F25" s="1"/>
      <c r="G25" s="1"/>
      <c r="H25" s="1"/>
      <c r="I25" s="1"/>
      <c r="J25" s="1"/>
      <c r="K25" s="1"/>
      <c r="L25" s="1"/>
      <c r="P25" s="168"/>
    </row>
    <row r="26" spans="2:21">
      <c r="B26" s="1"/>
      <c r="C26" s="1"/>
      <c r="D26" s="1"/>
      <c r="E26" s="1"/>
      <c r="F26" s="1"/>
      <c r="G26" s="1"/>
      <c r="H26" s="1"/>
      <c r="I26" s="1"/>
      <c r="J26" s="1"/>
      <c r="K26" s="1"/>
      <c r="L26" s="1"/>
    </row>
    <row r="27" spans="2:21">
      <c r="B27" s="1"/>
      <c r="C27" s="1"/>
      <c r="D27" s="1"/>
      <c r="E27" s="1"/>
      <c r="F27" s="1"/>
      <c r="G27" s="1"/>
      <c r="H27" s="1"/>
      <c r="I27" s="1"/>
      <c r="J27" s="1"/>
      <c r="K27" s="1"/>
      <c r="L27" s="1"/>
      <c r="P27" s="168"/>
    </row>
    <row r="28" spans="2:21">
      <c r="B28" s="1"/>
      <c r="C28" s="1"/>
      <c r="D28" s="1"/>
      <c r="E28" s="1"/>
      <c r="F28" s="1"/>
      <c r="G28" s="1"/>
      <c r="H28" s="1"/>
      <c r="I28" s="1"/>
      <c r="J28" s="1"/>
      <c r="K28" s="1"/>
      <c r="L28" s="1"/>
      <c r="P28" s="168"/>
    </row>
    <row r="29" spans="2:21">
      <c r="B29" s="1"/>
      <c r="C29" s="1"/>
      <c r="D29" s="1"/>
      <c r="E29" s="1"/>
      <c r="F29" s="1"/>
      <c r="G29" s="1"/>
      <c r="H29" s="1"/>
      <c r="I29" s="1"/>
      <c r="J29" s="1"/>
      <c r="K29" s="1"/>
      <c r="L29" s="1"/>
      <c r="P29" s="168"/>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64"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41"/>
  <sheetViews>
    <sheetView showGridLines="0" view="pageBreakPreview" zoomScale="70" zoomScaleNormal="70" zoomScaleSheetLayoutView="70" workbookViewId="0">
      <selection activeCell="L36" sqref="L36"/>
    </sheetView>
  </sheetViews>
  <sheetFormatPr baseColWidth="10" defaultColWidth="11.42578125" defaultRowHeight="15"/>
  <cols>
    <col min="1" max="1" width="11.140625" style="84" customWidth="1"/>
    <col min="2" max="2" width="17.85546875" style="84" customWidth="1"/>
    <col min="3" max="3" width="14.7109375" style="84" customWidth="1"/>
    <col min="4" max="4" width="24.42578125" style="84" customWidth="1"/>
    <col min="5" max="5" width="11.42578125" style="84"/>
    <col min="6" max="6" width="19.140625" style="84" customWidth="1"/>
    <col min="7" max="7" width="15.7109375" style="84" customWidth="1"/>
    <col min="8" max="10" width="11.42578125" style="84"/>
    <col min="11" max="11" width="16.140625" style="84" customWidth="1"/>
    <col min="12" max="12" width="22.28515625" style="84" customWidth="1"/>
    <col min="13" max="13" width="21.28515625" style="84" customWidth="1"/>
    <col min="14" max="14" width="21.5703125" style="84" customWidth="1"/>
    <col min="15" max="16384" width="11.42578125" style="84"/>
  </cols>
  <sheetData>
    <row r="1" spans="1:15" ht="73.5" customHeight="1">
      <c r="A1" s="1794"/>
      <c r="B1" s="1794"/>
      <c r="C1" s="1794"/>
      <c r="D1" s="1794"/>
      <c r="E1" s="1794"/>
      <c r="F1" s="1794"/>
      <c r="G1" s="1794"/>
      <c r="H1" s="1794"/>
      <c r="I1" s="1794"/>
      <c r="J1" s="1794"/>
      <c r="K1" s="1794"/>
      <c r="L1" s="1794"/>
      <c r="M1" s="1794"/>
      <c r="N1" s="1794"/>
    </row>
    <row r="2" spans="1:15" ht="9" customHeight="1">
      <c r="A2" s="104"/>
      <c r="B2" s="104"/>
      <c r="C2" s="104"/>
      <c r="D2" s="104"/>
      <c r="E2" s="104"/>
      <c r="F2" s="104"/>
      <c r="G2" s="104"/>
      <c r="H2" s="104"/>
      <c r="I2" s="104"/>
      <c r="J2" s="104"/>
      <c r="K2" s="104"/>
      <c r="L2" s="104"/>
    </row>
    <row r="3" spans="1:15" ht="37.5">
      <c r="A3" s="387" t="s">
        <v>48</v>
      </c>
      <c r="B3" s="388" t="s">
        <v>553</v>
      </c>
      <c r="C3" s="388" t="s">
        <v>552</v>
      </c>
      <c r="D3" s="389" t="s">
        <v>231</v>
      </c>
      <c r="F3" s="103"/>
      <c r="G3" s="104"/>
      <c r="H3" s="104"/>
      <c r="I3" s="104"/>
      <c r="J3" s="104"/>
      <c r="K3" s="104"/>
      <c r="L3" s="104"/>
      <c r="M3" s="104"/>
    </row>
    <row r="4" spans="1:15" ht="18.75" hidden="1">
      <c r="A4" s="390" t="s">
        <v>441</v>
      </c>
      <c r="B4" s="391">
        <v>1242780</v>
      </c>
      <c r="C4" s="391">
        <v>2552974</v>
      </c>
      <c r="D4" s="392">
        <f t="shared" ref="D4:D41" si="0">B4/C4</f>
        <v>0.4867969669883046</v>
      </c>
      <c r="F4" s="19"/>
      <c r="G4" s="104"/>
      <c r="H4" s="104"/>
      <c r="I4" s="104"/>
      <c r="J4" s="104"/>
      <c r="K4" s="104"/>
      <c r="L4" s="104"/>
      <c r="M4" s="104"/>
      <c r="N4" s="104"/>
      <c r="O4" s="104"/>
    </row>
    <row r="5" spans="1:15" ht="18.75" hidden="1">
      <c r="A5" s="390" t="s">
        <v>479</v>
      </c>
      <c r="B5" s="391">
        <v>1160674</v>
      </c>
      <c r="C5" s="391">
        <v>2564145</v>
      </c>
      <c r="D5" s="392">
        <f t="shared" si="0"/>
        <v>0.45265536855365046</v>
      </c>
      <c r="F5" s="19"/>
      <c r="G5" s="104"/>
      <c r="H5" s="104"/>
      <c r="I5" s="104"/>
      <c r="J5" s="104"/>
      <c r="K5" s="104"/>
      <c r="L5" s="104"/>
      <c r="M5" s="104"/>
      <c r="N5" s="104"/>
      <c r="O5" s="104"/>
    </row>
    <row r="6" spans="1:15" ht="18.75" hidden="1">
      <c r="A6" s="390" t="s">
        <v>480</v>
      </c>
      <c r="B6" s="391">
        <v>1242050</v>
      </c>
      <c r="C6" s="391">
        <v>2576299</v>
      </c>
      <c r="D6" s="392">
        <f t="shared" si="0"/>
        <v>0.4821063083128162</v>
      </c>
      <c r="F6" s="19"/>
      <c r="G6" s="104"/>
      <c r="H6" s="104"/>
      <c r="I6" s="104"/>
      <c r="J6" s="104"/>
      <c r="K6" s="104"/>
      <c r="L6" s="104"/>
      <c r="M6" s="104"/>
      <c r="N6" s="104"/>
      <c r="O6" s="104"/>
    </row>
    <row r="7" spans="1:15" ht="18.75" hidden="1">
      <c r="A7" s="390" t="s">
        <v>438</v>
      </c>
      <c r="B7" s="391">
        <v>1263326</v>
      </c>
      <c r="C7" s="393">
        <v>2591066</v>
      </c>
      <c r="D7" s="394">
        <f t="shared" si="0"/>
        <v>0.48756998084958081</v>
      </c>
      <c r="F7" s="19"/>
      <c r="G7" s="104"/>
      <c r="H7" s="104"/>
      <c r="I7" s="104"/>
      <c r="J7" s="104"/>
      <c r="K7" s="104"/>
      <c r="L7" s="104"/>
      <c r="M7" s="104"/>
      <c r="N7" s="104"/>
      <c r="O7" s="104"/>
    </row>
    <row r="8" spans="1:15" ht="18.75" hidden="1">
      <c r="A8" s="390" t="s">
        <v>449</v>
      </c>
      <c r="B8" s="391">
        <v>1232216</v>
      </c>
      <c r="C8" s="393">
        <v>2605110</v>
      </c>
      <c r="D8" s="394">
        <f t="shared" si="0"/>
        <v>0.47299960462322127</v>
      </c>
      <c r="F8" s="19"/>
      <c r="G8" s="104"/>
      <c r="H8" s="104"/>
      <c r="I8" s="104"/>
      <c r="J8" s="104"/>
      <c r="K8" s="104"/>
      <c r="L8" s="104"/>
      <c r="M8" s="104"/>
      <c r="N8" s="104"/>
      <c r="O8" s="104"/>
    </row>
    <row r="9" spans="1:15" ht="18.75" hidden="1">
      <c r="A9" s="390" t="s">
        <v>481</v>
      </c>
      <c r="B9" s="391">
        <v>1281168</v>
      </c>
      <c r="C9" s="393">
        <v>2617014</v>
      </c>
      <c r="D9" s="394">
        <f t="shared" si="0"/>
        <v>0.48955336119715065</v>
      </c>
      <c r="F9" s="19"/>
      <c r="G9" s="104"/>
      <c r="H9" s="104"/>
      <c r="I9" s="104"/>
      <c r="J9" s="104"/>
      <c r="K9" s="104"/>
      <c r="L9" s="104"/>
      <c r="M9" s="104"/>
      <c r="N9" s="104"/>
      <c r="O9" s="104"/>
    </row>
    <row r="10" spans="1:15" ht="18.75" hidden="1">
      <c r="A10" s="390" t="s">
        <v>482</v>
      </c>
      <c r="B10" s="391">
        <v>1236530</v>
      </c>
      <c r="C10" s="393">
        <v>2630146</v>
      </c>
      <c r="D10" s="394">
        <f t="shared" si="0"/>
        <v>0.47013739921662145</v>
      </c>
      <c r="E10" s="19"/>
      <c r="F10" s="104"/>
      <c r="G10" s="104"/>
      <c r="H10" s="104"/>
      <c r="I10" s="104"/>
      <c r="J10" s="104"/>
      <c r="K10" s="104"/>
      <c r="L10" s="104"/>
      <c r="M10" s="104"/>
      <c r="N10" s="104"/>
    </row>
    <row r="11" spans="1:15" ht="18.75" hidden="1">
      <c r="A11" s="390" t="s">
        <v>483</v>
      </c>
      <c r="B11" s="391">
        <v>1279009</v>
      </c>
      <c r="C11" s="393">
        <v>2642650</v>
      </c>
      <c r="D11" s="394">
        <f t="shared" si="0"/>
        <v>0.4839872854899438</v>
      </c>
      <c r="E11" s="104"/>
      <c r="F11" s="104"/>
      <c r="G11" s="104"/>
      <c r="H11" s="104"/>
      <c r="I11" s="104"/>
      <c r="J11" s="104"/>
      <c r="K11" s="104"/>
      <c r="L11" s="104"/>
      <c r="M11" s="104"/>
      <c r="N11" s="104"/>
    </row>
    <row r="12" spans="1:15" ht="18.75" hidden="1">
      <c r="A12" s="390" t="s">
        <v>474</v>
      </c>
      <c r="B12" s="391">
        <v>1260233</v>
      </c>
      <c r="C12" s="393">
        <v>2655996</v>
      </c>
      <c r="D12" s="395">
        <f t="shared" si="0"/>
        <v>0.47448603085245611</v>
      </c>
      <c r="E12" s="104"/>
      <c r="F12" s="104"/>
      <c r="G12" s="104"/>
      <c r="H12" s="104"/>
      <c r="I12" s="104"/>
      <c r="J12" s="104"/>
      <c r="K12" s="104"/>
      <c r="L12" s="104"/>
      <c r="M12" s="104"/>
      <c r="N12" s="104"/>
    </row>
    <row r="13" spans="1:15" ht="18.75" hidden="1">
      <c r="A13" s="390" t="s">
        <v>484</v>
      </c>
      <c r="B13" s="391">
        <v>1240431</v>
      </c>
      <c r="C13" s="393">
        <v>2669917</v>
      </c>
      <c r="D13" s="395">
        <f t="shared" si="0"/>
        <v>0.46459534135330799</v>
      </c>
      <c r="E13" s="104"/>
      <c r="F13" s="104"/>
      <c r="G13" s="104"/>
      <c r="H13" s="104"/>
      <c r="I13" s="104"/>
      <c r="J13" s="104"/>
      <c r="K13" s="104"/>
      <c r="L13" s="104"/>
      <c r="M13" s="104"/>
      <c r="N13" s="104"/>
    </row>
    <row r="14" spans="1:15" ht="18.75" hidden="1">
      <c r="A14" s="390" t="s">
        <v>496</v>
      </c>
      <c r="B14" s="391">
        <v>1287611</v>
      </c>
      <c r="C14" s="393">
        <v>2684138</v>
      </c>
      <c r="D14" s="395">
        <f t="shared" si="0"/>
        <v>0.47971117729416296</v>
      </c>
    </row>
    <row r="15" spans="1:15" ht="18.75" hidden="1">
      <c r="A15" s="390" t="s">
        <v>495</v>
      </c>
      <c r="B15" s="391">
        <v>1273247</v>
      </c>
      <c r="C15" s="393">
        <v>2699249</v>
      </c>
      <c r="D15" s="395">
        <f t="shared" si="0"/>
        <v>0.47170416660337744</v>
      </c>
    </row>
    <row r="16" spans="1:15" ht="18.75" hidden="1">
      <c r="A16" s="390" t="s">
        <v>507</v>
      </c>
      <c r="B16" s="391">
        <v>1291137</v>
      </c>
      <c r="C16" s="393">
        <v>2714449</v>
      </c>
      <c r="D16" s="395">
        <f t="shared" si="0"/>
        <v>0.47565343832210516</v>
      </c>
    </row>
    <row r="17" spans="1:4" ht="18.75" hidden="1">
      <c r="A17" s="390" t="s">
        <v>510</v>
      </c>
      <c r="B17" s="391">
        <f>+' Afil. cotiz.'!C14</f>
        <v>1376966</v>
      </c>
      <c r="C17" s="393">
        <f>+' Afil. cotiz.'!B14</f>
        <v>2881130</v>
      </c>
      <c r="D17" s="395">
        <f t="shared" si="0"/>
        <v>0.47792567499557465</v>
      </c>
    </row>
    <row r="18" spans="1:4" ht="18.75" hidden="1">
      <c r="A18" s="390" t="s">
        <v>590</v>
      </c>
      <c r="B18" s="391">
        <v>1284535</v>
      </c>
      <c r="C18" s="393">
        <v>2738417</v>
      </c>
      <c r="D18" s="395">
        <f t="shared" si="0"/>
        <v>0.46907939879134553</v>
      </c>
    </row>
    <row r="19" spans="1:4" ht="18.75" hidden="1">
      <c r="A19" s="390" t="s">
        <v>591</v>
      </c>
      <c r="B19" s="391">
        <v>1316873</v>
      </c>
      <c r="C19" s="393">
        <v>2753791</v>
      </c>
      <c r="D19" s="395">
        <f t="shared" si="0"/>
        <v>0.47820368357656773</v>
      </c>
    </row>
    <row r="20" spans="1:4" ht="18.75" hidden="1">
      <c r="A20" s="390" t="s">
        <v>592</v>
      </c>
      <c r="B20" s="391">
        <v>1304070</v>
      </c>
      <c r="C20" s="393">
        <v>2767996</v>
      </c>
      <c r="D20" s="395">
        <f t="shared" si="0"/>
        <v>0.47112423572866435</v>
      </c>
    </row>
    <row r="21" spans="1:4" ht="18.75" hidden="1">
      <c r="A21" s="390" t="s">
        <v>593</v>
      </c>
      <c r="B21" s="391">
        <v>1345058</v>
      </c>
      <c r="C21" s="393">
        <v>2781822</v>
      </c>
      <c r="D21" s="395">
        <f t="shared" si="0"/>
        <v>0.48351691804867458</v>
      </c>
    </row>
    <row r="22" spans="1:4" ht="18.75" hidden="1">
      <c r="A22" s="390" t="s">
        <v>594</v>
      </c>
      <c r="B22" s="391">
        <v>1333316</v>
      </c>
      <c r="C22" s="393">
        <v>2797275</v>
      </c>
      <c r="D22" s="395">
        <f t="shared" si="0"/>
        <v>0.47664816651920172</v>
      </c>
    </row>
    <row r="23" spans="1:4" ht="18.75" hidden="1">
      <c r="A23" s="390" t="s">
        <v>595</v>
      </c>
      <c r="B23" s="391">
        <v>1349327</v>
      </c>
      <c r="C23" s="393">
        <v>2810420</v>
      </c>
      <c r="D23" s="395">
        <f t="shared" si="0"/>
        <v>0.48011578340603894</v>
      </c>
    </row>
    <row r="24" spans="1:4" ht="18.75" hidden="1">
      <c r="A24" s="390" t="s">
        <v>596</v>
      </c>
      <c r="B24" s="391">
        <v>1336030</v>
      </c>
      <c r="C24" s="393">
        <v>2824402</v>
      </c>
      <c r="D24" s="395">
        <f t="shared" si="0"/>
        <v>0.47303110534548554</v>
      </c>
    </row>
    <row r="25" spans="1:4" ht="18.75" hidden="1">
      <c r="A25" s="390" t="s">
        <v>597</v>
      </c>
      <c r="B25" s="391">
        <v>1335886</v>
      </c>
      <c r="C25" s="393">
        <v>2837928</v>
      </c>
      <c r="D25" s="395">
        <f t="shared" si="0"/>
        <v>0.47072582532044505</v>
      </c>
    </row>
    <row r="26" spans="1:4" ht="18.75" hidden="1">
      <c r="A26" s="390" t="s">
        <v>598</v>
      </c>
      <c r="B26" s="391">
        <v>1366703</v>
      </c>
      <c r="C26" s="393">
        <v>2851044</v>
      </c>
      <c r="D26" s="395">
        <f t="shared" si="0"/>
        <v>0.47936931173282488</v>
      </c>
    </row>
    <row r="27" spans="1:4" ht="18.75" hidden="1">
      <c r="A27" s="390" t="s">
        <v>599</v>
      </c>
      <c r="B27" s="391">
        <v>1338335</v>
      </c>
      <c r="C27" s="393">
        <v>2866790</v>
      </c>
      <c r="D27" s="395">
        <f t="shared" si="0"/>
        <v>0.46684096149351711</v>
      </c>
    </row>
    <row r="28" spans="1:4" ht="18.75" hidden="1">
      <c r="A28" s="390" t="s">
        <v>570</v>
      </c>
      <c r="B28" s="391">
        <v>1376966</v>
      </c>
      <c r="C28" s="393">
        <v>2881130</v>
      </c>
      <c r="D28" s="395">
        <f t="shared" si="0"/>
        <v>0.47792567499557465</v>
      </c>
    </row>
    <row r="29" spans="1:4" ht="18.75">
      <c r="A29" s="390" t="s">
        <v>600</v>
      </c>
      <c r="B29" s="546">
        <v>1324202</v>
      </c>
      <c r="C29" s="548">
        <v>2893593</v>
      </c>
      <c r="D29" s="395">
        <f t="shared" si="0"/>
        <v>0.45763243137511045</v>
      </c>
    </row>
    <row r="30" spans="1:4" ht="18.75">
      <c r="A30" s="390" t="s">
        <v>601</v>
      </c>
      <c r="B30" s="546">
        <v>1363785</v>
      </c>
      <c r="C30" s="548">
        <v>2907007</v>
      </c>
      <c r="D30" s="395">
        <f t="shared" si="0"/>
        <v>0.46913715722046767</v>
      </c>
    </row>
    <row r="31" spans="1:4" ht="18.75">
      <c r="A31" s="390" t="s">
        <v>602</v>
      </c>
      <c r="B31" s="546">
        <v>1406908</v>
      </c>
      <c r="C31" s="548">
        <v>2923456</v>
      </c>
      <c r="D31" s="395">
        <f t="shared" si="0"/>
        <v>0.48124822128330302</v>
      </c>
    </row>
    <row r="32" spans="1:4" ht="18.75">
      <c r="A32" s="390" t="s">
        <v>603</v>
      </c>
      <c r="B32" s="546">
        <v>1414140</v>
      </c>
      <c r="C32" s="548">
        <v>2938981</v>
      </c>
      <c r="D32" s="395">
        <f t="shared" si="0"/>
        <v>0.48116677174843936</v>
      </c>
    </row>
    <row r="33" spans="1:4" ht="18.75">
      <c r="A33" s="390" t="s">
        <v>604</v>
      </c>
      <c r="B33" s="546">
        <v>1417833</v>
      </c>
      <c r="C33" s="548">
        <v>2953804</v>
      </c>
      <c r="D33" s="395">
        <f t="shared" si="0"/>
        <v>0.48000239690920588</v>
      </c>
    </row>
    <row r="34" spans="1:4" ht="18.75">
      <c r="A34" s="390" t="s">
        <v>605</v>
      </c>
      <c r="B34" s="546">
        <v>1429452</v>
      </c>
      <c r="C34" s="548">
        <v>2968885</v>
      </c>
      <c r="D34" s="395">
        <f t="shared" si="0"/>
        <v>0.48147772648654291</v>
      </c>
    </row>
    <row r="35" spans="1:4" ht="18.75">
      <c r="A35" s="390" t="s">
        <v>606</v>
      </c>
      <c r="B35" s="546">
        <v>1449141</v>
      </c>
      <c r="C35" s="548">
        <v>2983609</v>
      </c>
      <c r="D35" s="395">
        <f t="shared" si="0"/>
        <v>0.48570070676150928</v>
      </c>
    </row>
    <row r="36" spans="1:4" ht="18.75">
      <c r="A36" s="390" t="s">
        <v>607</v>
      </c>
      <c r="B36" s="546">
        <v>1420010</v>
      </c>
      <c r="C36" s="546">
        <v>3000209</v>
      </c>
      <c r="D36" s="395">
        <f t="shared" si="0"/>
        <v>0.4733036931760421</v>
      </c>
    </row>
    <row r="37" spans="1:4" ht="18.75">
      <c r="A37" s="390" t="s">
        <v>608</v>
      </c>
      <c r="B37" s="546">
        <v>1451258</v>
      </c>
      <c r="C37" s="546">
        <v>3015120</v>
      </c>
      <c r="D37" s="395">
        <f t="shared" si="0"/>
        <v>0.48132677969699383</v>
      </c>
    </row>
    <row r="38" spans="1:4" ht="18.75">
      <c r="A38" s="390" t="s">
        <v>571</v>
      </c>
      <c r="B38" s="546">
        <v>1472311</v>
      </c>
      <c r="C38" s="546">
        <v>3032720</v>
      </c>
      <c r="D38" s="395">
        <f t="shared" si="0"/>
        <v>0.48547541480914824</v>
      </c>
    </row>
    <row r="39" spans="1:4" ht="18.75">
      <c r="A39" s="390" t="s">
        <v>637</v>
      </c>
      <c r="B39" s="546">
        <v>1444579</v>
      </c>
      <c r="C39" s="546">
        <v>3053477</v>
      </c>
      <c r="D39" s="395">
        <f t="shared" si="0"/>
        <v>0.47309313284495019</v>
      </c>
    </row>
    <row r="40" spans="1:4" ht="18.75">
      <c r="A40" s="390" t="s">
        <v>635</v>
      </c>
      <c r="B40" s="546">
        <v>1508392</v>
      </c>
      <c r="C40" s="546">
        <v>3069900</v>
      </c>
      <c r="D40" s="395">
        <f t="shared" si="0"/>
        <v>0.49134890387309033</v>
      </c>
    </row>
    <row r="41" spans="1:4" ht="18.75">
      <c r="A41" s="396" t="s">
        <v>636</v>
      </c>
      <c r="B41" s="547">
        <v>1423196</v>
      </c>
      <c r="C41" s="547">
        <v>3082709</v>
      </c>
      <c r="D41" s="549">
        <f t="shared" si="0"/>
        <v>0.46167056313132376</v>
      </c>
    </row>
  </sheetData>
  <mergeCells count="1">
    <mergeCell ref="A1:N1"/>
  </mergeCells>
  <printOptions horizontalCentered="1" verticalCentered="1"/>
  <pageMargins left="0.4" right="0.4" top="0.25" bottom="0.25" header="0.31496062992126" footer="0.31496062992126"/>
  <pageSetup scale="5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21"/>
  <sheetViews>
    <sheetView showGridLines="0" view="pageBreakPreview" zoomScale="55" zoomScaleNormal="85" zoomScaleSheetLayoutView="55" workbookViewId="0">
      <selection activeCell="H8" sqref="H8"/>
    </sheetView>
  </sheetViews>
  <sheetFormatPr baseColWidth="10" defaultColWidth="11.42578125" defaultRowHeight="15"/>
  <cols>
    <col min="1" max="1" width="13" style="84" customWidth="1"/>
    <col min="2" max="2" width="14.28515625" style="84" hidden="1" customWidth="1"/>
    <col min="3" max="3" width="13.7109375" style="84" customWidth="1"/>
    <col min="4" max="4" width="18.5703125" style="84" customWidth="1"/>
    <col min="5" max="5" width="21.28515625" style="84" customWidth="1"/>
    <col min="6" max="16384" width="11.42578125" style="84"/>
  </cols>
  <sheetData>
    <row r="1" spans="1:15" ht="72.75" customHeight="1">
      <c r="A1" s="1786"/>
      <c r="B1" s="1786"/>
      <c r="C1" s="1786"/>
      <c r="D1" s="1786"/>
      <c r="E1" s="1786"/>
      <c r="F1" s="1786"/>
      <c r="G1" s="1786"/>
      <c r="H1" s="1786"/>
      <c r="I1" s="1786"/>
      <c r="J1" s="1786"/>
      <c r="K1" s="1786"/>
      <c r="L1" s="1786"/>
      <c r="M1" s="1786"/>
      <c r="N1" s="1786"/>
      <c r="O1" s="1786"/>
    </row>
    <row r="2" spans="1:15" ht="3.75" customHeight="1">
      <c r="A2" s="102"/>
      <c r="B2" s="102"/>
      <c r="C2" s="102"/>
      <c r="D2" s="102"/>
      <c r="E2" s="102"/>
      <c r="F2" s="102"/>
      <c r="G2" s="102"/>
      <c r="H2" s="102"/>
      <c r="I2" s="102"/>
      <c r="J2" s="102"/>
      <c r="K2" s="102"/>
      <c r="L2" s="102"/>
    </row>
    <row r="3" spans="1:15" ht="51.75" customHeight="1">
      <c r="A3" s="550" t="s">
        <v>25</v>
      </c>
      <c r="B3" s="352" t="s">
        <v>543</v>
      </c>
      <c r="C3" s="352" t="s">
        <v>544</v>
      </c>
      <c r="D3" s="352" t="s">
        <v>618</v>
      </c>
      <c r="E3" s="353" t="s">
        <v>208</v>
      </c>
      <c r="F3" s="102"/>
      <c r="G3" s="102"/>
      <c r="H3" s="337"/>
      <c r="I3" s="280"/>
      <c r="J3" s="280"/>
      <c r="K3" s="280"/>
      <c r="L3" s="280"/>
    </row>
    <row r="4" spans="1:15" ht="17.25" hidden="1">
      <c r="A4" s="556" t="s">
        <v>234</v>
      </c>
      <c r="B4" s="283">
        <v>986538</v>
      </c>
      <c r="C4" s="284">
        <v>576869</v>
      </c>
      <c r="D4" s="551">
        <v>1420224</v>
      </c>
      <c r="E4" s="552">
        <f t="shared" ref="E4:E16" si="0">C4/D4</f>
        <v>0.40618170091478528</v>
      </c>
      <c r="F4" s="102"/>
      <c r="G4" s="102"/>
      <c r="H4" s="286"/>
      <c r="I4" s="283"/>
      <c r="J4" s="284"/>
      <c r="K4" s="287"/>
      <c r="L4" s="288"/>
    </row>
    <row r="5" spans="1:15" ht="17.25" hidden="1">
      <c r="A5" s="556">
        <v>2004</v>
      </c>
      <c r="B5" s="284">
        <v>1190202</v>
      </c>
      <c r="C5" s="284">
        <v>593286</v>
      </c>
      <c r="D5" s="551">
        <v>1481853.5</v>
      </c>
      <c r="E5" s="552">
        <f t="shared" si="0"/>
        <v>0.40036751271296389</v>
      </c>
      <c r="F5" s="102"/>
      <c r="G5" s="102"/>
      <c r="H5" s="286"/>
      <c r="I5" s="284"/>
      <c r="J5" s="284"/>
      <c r="K5" s="287"/>
      <c r="L5" s="288"/>
    </row>
    <row r="6" spans="1:15" ht="17.25">
      <c r="A6" s="556">
        <v>2005</v>
      </c>
      <c r="B6" s="285">
        <v>1429521</v>
      </c>
      <c r="C6" s="284">
        <v>626615</v>
      </c>
      <c r="D6" s="551">
        <v>1437260</v>
      </c>
      <c r="E6" s="552">
        <f t="shared" si="0"/>
        <v>0.43597887647328948</v>
      </c>
      <c r="F6" s="102"/>
      <c r="G6" s="102"/>
      <c r="H6" s="286"/>
      <c r="I6" s="285"/>
      <c r="J6" s="284"/>
      <c r="K6" s="287"/>
      <c r="L6" s="288"/>
    </row>
    <row r="7" spans="1:15" ht="17.25">
      <c r="A7" s="556">
        <v>2006</v>
      </c>
      <c r="B7" s="284">
        <v>1588621</v>
      </c>
      <c r="C7" s="284">
        <v>808496</v>
      </c>
      <c r="D7" s="551">
        <v>1505582.5</v>
      </c>
      <c r="E7" s="552">
        <f t="shared" si="0"/>
        <v>0.53699880278895373</v>
      </c>
      <c r="F7" s="102"/>
      <c r="G7" s="102"/>
      <c r="H7" s="286"/>
      <c r="I7" s="284"/>
      <c r="J7" s="284"/>
      <c r="K7" s="287"/>
      <c r="L7" s="288"/>
    </row>
    <row r="8" spans="1:15" ht="17.25">
      <c r="A8" s="556">
        <v>2007</v>
      </c>
      <c r="B8" s="284">
        <v>1797027</v>
      </c>
      <c r="C8" s="284">
        <v>913203</v>
      </c>
      <c r="D8" s="551">
        <v>1571911.5</v>
      </c>
      <c r="E8" s="552">
        <f t="shared" si="0"/>
        <v>0.58095064512219674</v>
      </c>
      <c r="F8" s="102"/>
      <c r="G8" s="102"/>
      <c r="H8" s="286"/>
      <c r="I8" s="284"/>
      <c r="J8" s="284"/>
      <c r="K8" s="287"/>
      <c r="L8" s="288"/>
    </row>
    <row r="9" spans="1:15" ht="17.25">
      <c r="A9" s="556">
        <v>2008</v>
      </c>
      <c r="B9" s="284">
        <v>1983720</v>
      </c>
      <c r="C9" s="284">
        <v>929743</v>
      </c>
      <c r="D9" s="551">
        <v>1566047</v>
      </c>
      <c r="E9" s="552">
        <f t="shared" si="0"/>
        <v>0.59368780119626041</v>
      </c>
      <c r="H9" s="286"/>
      <c r="I9" s="284"/>
      <c r="J9" s="284"/>
      <c r="K9" s="287"/>
      <c r="L9" s="288"/>
    </row>
    <row r="10" spans="1:15" ht="17.25">
      <c r="A10" s="556">
        <v>2009</v>
      </c>
      <c r="B10" s="284">
        <v>2193890</v>
      </c>
      <c r="C10" s="284">
        <v>1118293</v>
      </c>
      <c r="D10" s="551">
        <v>1560994</v>
      </c>
      <c r="E10" s="552">
        <f t="shared" si="0"/>
        <v>0.71639801306090867</v>
      </c>
      <c r="H10" s="286"/>
      <c r="I10" s="284"/>
      <c r="J10" s="284"/>
      <c r="K10" s="287"/>
      <c r="L10" s="288"/>
    </row>
    <row r="11" spans="1:15" ht="17.25">
      <c r="A11" s="556">
        <v>2010</v>
      </c>
      <c r="B11" s="284">
        <v>2374783</v>
      </c>
      <c r="C11" s="284">
        <v>1189601</v>
      </c>
      <c r="D11" s="551">
        <v>1631129</v>
      </c>
      <c r="E11" s="552">
        <f t="shared" si="0"/>
        <v>0.72931141559006063</v>
      </c>
      <c r="H11" s="286"/>
      <c r="I11" s="284"/>
      <c r="J11" s="284"/>
      <c r="K11" s="287"/>
      <c r="L11" s="288"/>
    </row>
    <row r="12" spans="1:15" ht="17.25">
      <c r="A12" s="556" t="s">
        <v>237</v>
      </c>
      <c r="B12" s="284">
        <v>2552974</v>
      </c>
      <c r="C12" s="284">
        <v>1242780</v>
      </c>
      <c r="D12" s="551">
        <v>1686216</v>
      </c>
      <c r="E12" s="552">
        <f t="shared" si="0"/>
        <v>0.73702301484507327</v>
      </c>
      <c r="H12" s="286"/>
      <c r="I12" s="284"/>
      <c r="J12" s="284"/>
      <c r="K12" s="287"/>
      <c r="L12" s="288"/>
    </row>
    <row r="13" spans="1:15" ht="16.5" customHeight="1">
      <c r="A13" s="556" t="s">
        <v>499</v>
      </c>
      <c r="B13" s="284">
        <v>2714449</v>
      </c>
      <c r="C13" s="284">
        <v>1291137</v>
      </c>
      <c r="D13" s="551">
        <v>1716228</v>
      </c>
      <c r="E13" s="552">
        <f t="shared" si="0"/>
        <v>0.75231088177095351</v>
      </c>
      <c r="F13" s="13"/>
      <c r="G13" s="14"/>
      <c r="H13" s="286"/>
      <c r="I13" s="284"/>
      <c r="J13" s="284"/>
      <c r="K13" s="287"/>
      <c r="L13" s="288"/>
    </row>
    <row r="14" spans="1:15" ht="17.25">
      <c r="A14" s="556" t="s">
        <v>619</v>
      </c>
      <c r="B14" s="284">
        <v>2881130</v>
      </c>
      <c r="C14" s="284">
        <v>1376966</v>
      </c>
      <c r="D14" s="551">
        <v>1769801</v>
      </c>
      <c r="E14" s="552">
        <f t="shared" si="0"/>
        <v>0.77803436657567715</v>
      </c>
      <c r="F14" s="14"/>
      <c r="G14" s="14"/>
      <c r="H14" s="286"/>
      <c r="I14" s="284"/>
      <c r="J14" s="284"/>
      <c r="K14" s="287"/>
      <c r="L14" s="288"/>
    </row>
    <row r="15" spans="1:15" ht="17.25">
      <c r="A15" s="556" t="s">
        <v>628</v>
      </c>
      <c r="B15" s="284">
        <v>3032720</v>
      </c>
      <c r="C15" s="284">
        <v>1508392</v>
      </c>
      <c r="D15" s="551">
        <v>1865496</v>
      </c>
      <c r="E15" s="552">
        <f t="shared" si="0"/>
        <v>0.80857423441272458</v>
      </c>
      <c r="F15" s="14"/>
      <c r="G15" s="14"/>
      <c r="H15" s="14"/>
      <c r="I15" s="104"/>
      <c r="J15" s="15"/>
    </row>
    <row r="16" spans="1:15" ht="17.25">
      <c r="A16" s="557" t="s">
        <v>632</v>
      </c>
      <c r="B16" s="553">
        <v>3032720</v>
      </c>
      <c r="C16" s="553">
        <v>1423196</v>
      </c>
      <c r="D16" s="554">
        <v>1865496</v>
      </c>
      <c r="E16" s="555">
        <f t="shared" si="0"/>
        <v>0.76290487891692071</v>
      </c>
      <c r="F16" s="14"/>
      <c r="G16" s="14"/>
      <c r="H16" s="14"/>
      <c r="I16" s="104"/>
      <c r="J16" s="15"/>
    </row>
    <row r="17" spans="2:10">
      <c r="B17" s="104"/>
      <c r="C17" s="104"/>
      <c r="D17" s="25"/>
      <c r="E17" s="104"/>
      <c r="F17" s="14"/>
      <c r="G17" s="14"/>
      <c r="H17" s="14"/>
      <c r="I17" s="104"/>
      <c r="J17" s="15"/>
    </row>
    <row r="18" spans="2:10">
      <c r="B18" s="104"/>
      <c r="C18" s="104"/>
      <c r="D18" s="104"/>
      <c r="E18" s="104"/>
      <c r="F18" s="13"/>
      <c r="G18" s="13"/>
      <c r="H18" s="13"/>
      <c r="I18" s="104"/>
      <c r="J18" s="15"/>
    </row>
    <row r="19" spans="2:10">
      <c r="B19" s="104"/>
      <c r="C19" s="104"/>
      <c r="D19" s="104"/>
      <c r="E19" s="104"/>
      <c r="F19" s="122"/>
      <c r="G19" s="122"/>
      <c r="H19" s="122"/>
      <c r="I19" s="104"/>
      <c r="J19" s="104"/>
    </row>
    <row r="20" spans="2:10">
      <c r="B20" s="104"/>
      <c r="C20" s="104"/>
      <c r="D20" s="104"/>
      <c r="E20" s="104"/>
      <c r="F20" s="104"/>
      <c r="G20" s="104"/>
      <c r="H20" s="104"/>
      <c r="I20" s="104"/>
      <c r="J20" s="104"/>
    </row>
    <row r="21" spans="2:10">
      <c r="B21" s="104"/>
      <c r="C21" s="104"/>
      <c r="D21" s="104"/>
      <c r="E21" s="104"/>
      <c r="F21" s="104"/>
      <c r="G21" s="104"/>
      <c r="H21" s="104"/>
      <c r="I21" s="104"/>
      <c r="J21" s="104"/>
    </row>
  </sheetData>
  <mergeCells count="1">
    <mergeCell ref="A1:O1"/>
  </mergeCells>
  <printOptions horizontalCentered="1" verticalCentered="1"/>
  <pageMargins left="0.4" right="0.4" top="0.25" bottom="0.25" header="0.314" footer="0.31496062992126"/>
  <pageSetup scale="6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topLeftCell="A2" zoomScale="55" zoomScaleNormal="100" zoomScaleSheetLayoutView="55" workbookViewId="0">
      <selection activeCell="A40" sqref="A40:XFD42"/>
    </sheetView>
  </sheetViews>
  <sheetFormatPr baseColWidth="10" defaultColWidth="11.42578125" defaultRowHeight="23.25" customHeight="1"/>
  <cols>
    <col min="1" max="1" width="18.7109375" style="84" customWidth="1"/>
    <col min="2" max="2" width="18.140625" style="84" customWidth="1"/>
    <col min="3" max="3" width="17.28515625" style="84" customWidth="1"/>
    <col min="4" max="4" width="14.28515625" style="84" customWidth="1"/>
    <col min="5" max="5" width="16.28515625" style="104" bestFit="1" customWidth="1"/>
    <col min="6" max="6" width="14.28515625" style="84" bestFit="1" customWidth="1"/>
    <col min="7" max="7" width="11.7109375" style="84" bestFit="1" customWidth="1"/>
    <col min="8" max="8" width="12.85546875" style="84" bestFit="1" customWidth="1"/>
    <col min="9" max="9" width="23.140625" style="84" customWidth="1"/>
    <col min="10" max="10" width="11.140625" style="84" bestFit="1" customWidth="1"/>
    <col min="11" max="11" width="17.42578125" style="84" customWidth="1"/>
    <col min="12" max="12" width="37.28515625" style="84" customWidth="1"/>
    <col min="13" max="13" width="11.5703125" style="84" bestFit="1" customWidth="1"/>
    <col min="14" max="16" width="11.5703125" style="84" customWidth="1"/>
    <col min="17" max="16384" width="11.42578125" style="84"/>
  </cols>
  <sheetData>
    <row r="1" spans="1:16" ht="84.75" customHeight="1">
      <c r="A1" s="1795"/>
      <c r="B1" s="1795"/>
      <c r="C1" s="1795"/>
      <c r="D1" s="1795"/>
      <c r="E1" s="1795"/>
      <c r="F1" s="1795"/>
      <c r="G1" s="1795"/>
      <c r="H1" s="1795"/>
      <c r="I1" s="1795"/>
      <c r="J1" s="1795"/>
      <c r="K1" s="1795"/>
      <c r="L1" s="1795"/>
    </row>
    <row r="2" spans="1:16" s="44" customFormat="1" ht="15" customHeight="1">
      <c r="A2" s="1796"/>
      <c r="B2" s="1796"/>
      <c r="C2" s="1796"/>
      <c r="D2" s="1796"/>
      <c r="E2" s="1796"/>
      <c r="F2" s="1796"/>
      <c r="G2" s="1796"/>
      <c r="H2" s="1796"/>
      <c r="I2" s="1796"/>
      <c r="J2" s="1796"/>
      <c r="K2" s="1796"/>
      <c r="L2" s="1796"/>
    </row>
    <row r="3" spans="1:16" s="399" customFormat="1" ht="21">
      <c r="A3" s="488" t="s">
        <v>189</v>
      </c>
      <c r="B3" s="401" t="s">
        <v>46</v>
      </c>
      <c r="C3" s="400" t="s">
        <v>44</v>
      </c>
      <c r="D3" s="397"/>
      <c r="E3" s="398"/>
      <c r="F3" s="398"/>
      <c r="G3" s="398"/>
      <c r="H3" s="398"/>
      <c r="I3" s="398"/>
      <c r="J3" s="398"/>
      <c r="K3" s="398"/>
      <c r="L3" s="398"/>
      <c r="M3" s="398"/>
      <c r="N3" s="398"/>
      <c r="O3" s="398"/>
      <c r="P3" s="398"/>
    </row>
    <row r="4" spans="1:16" ht="17.25" customHeight="1">
      <c r="A4" s="402" t="s">
        <v>224</v>
      </c>
      <c r="B4" s="558">
        <v>17753</v>
      </c>
      <c r="C4" s="559">
        <f>+B4/$B$14</f>
        <v>1.2474037307580966E-2</v>
      </c>
      <c r="D4" s="183"/>
      <c r="E4" s="137"/>
      <c r="F4" s="137"/>
      <c r="G4" s="137"/>
      <c r="H4" s="137"/>
      <c r="I4" s="137"/>
      <c r="J4" s="137"/>
      <c r="K4" s="137"/>
      <c r="L4" s="137"/>
      <c r="M4" s="137"/>
      <c r="N4" s="137"/>
      <c r="O4" s="137"/>
      <c r="P4" s="137"/>
    </row>
    <row r="5" spans="1:16" ht="21">
      <c r="A5" s="403" t="s">
        <v>62</v>
      </c>
      <c r="B5" s="558">
        <v>176847</v>
      </c>
      <c r="C5" s="559">
        <f t="shared" ref="C5:C13" si="0">+B5/$B$14</f>
        <v>0.12426046728630491</v>
      </c>
      <c r="D5" s="183"/>
      <c r="E5" s="137"/>
      <c r="F5" s="137"/>
      <c r="G5" s="137"/>
      <c r="H5" s="137"/>
      <c r="I5" s="137"/>
      <c r="J5" s="137"/>
      <c r="K5" s="137"/>
      <c r="L5" s="137"/>
      <c r="M5" s="137"/>
      <c r="N5" s="137"/>
      <c r="O5" s="137"/>
      <c r="P5" s="137"/>
    </row>
    <row r="6" spans="1:16" ht="21">
      <c r="A6" s="403" t="s">
        <v>63</v>
      </c>
      <c r="B6" s="558">
        <v>222127</v>
      </c>
      <c r="C6" s="559">
        <f t="shared" si="0"/>
        <v>0.15607618346313509</v>
      </c>
      <c r="D6" s="183"/>
      <c r="E6" s="137"/>
      <c r="F6" s="137"/>
      <c r="G6" s="137"/>
      <c r="H6" s="137"/>
      <c r="I6" s="137"/>
      <c r="J6" s="137"/>
      <c r="K6" s="137"/>
      <c r="L6" s="137"/>
      <c r="M6" s="137"/>
      <c r="N6" s="137"/>
      <c r="O6" s="137"/>
      <c r="P6" s="137"/>
    </row>
    <row r="7" spans="1:16" ht="21">
      <c r="A7" s="403" t="s">
        <v>185</v>
      </c>
      <c r="B7" s="558">
        <v>213516</v>
      </c>
      <c r="C7" s="559">
        <f t="shared" si="0"/>
        <v>0.15002571676705106</v>
      </c>
      <c r="D7" s="183"/>
      <c r="E7" s="137"/>
      <c r="F7" s="105"/>
      <c r="G7" s="137"/>
      <c r="H7" s="105"/>
      <c r="I7" s="105"/>
      <c r="J7" s="105"/>
      <c r="K7" s="105"/>
      <c r="L7" s="52"/>
    </row>
    <row r="8" spans="1:16" ht="21">
      <c r="A8" s="403" t="s">
        <v>186</v>
      </c>
      <c r="B8" s="558">
        <v>193965</v>
      </c>
      <c r="C8" s="559">
        <f t="shared" si="0"/>
        <v>0.13628832571198907</v>
      </c>
      <c r="D8" s="183"/>
      <c r="E8" s="1205"/>
      <c r="F8" s="105"/>
      <c r="G8" s="137"/>
      <c r="H8" s="105"/>
      <c r="I8" s="105"/>
      <c r="J8" s="105"/>
      <c r="K8" s="105"/>
      <c r="L8" s="52"/>
      <c r="N8" s="222"/>
    </row>
    <row r="9" spans="1:16" ht="21">
      <c r="A9" s="403" t="s">
        <v>64</v>
      </c>
      <c r="B9" s="558">
        <v>164523</v>
      </c>
      <c r="C9" s="559">
        <f t="shared" si="0"/>
        <v>0.11560108375796446</v>
      </c>
      <c r="D9" s="183"/>
      <c r="E9" s="137"/>
      <c r="F9" s="105"/>
      <c r="G9" s="137"/>
      <c r="H9" s="105"/>
      <c r="I9" s="105"/>
      <c r="J9" s="105"/>
      <c r="K9" s="105"/>
      <c r="L9" s="52"/>
    </row>
    <row r="10" spans="1:16" ht="21">
      <c r="A10" s="403" t="s">
        <v>65</v>
      </c>
      <c r="B10" s="558">
        <v>141604</v>
      </c>
      <c r="C10" s="559">
        <f t="shared" si="0"/>
        <v>9.9497188019078184E-2</v>
      </c>
      <c r="D10" s="183"/>
      <c r="E10" s="137"/>
      <c r="F10" s="105"/>
      <c r="G10" s="137"/>
      <c r="H10" s="105"/>
      <c r="I10" s="105"/>
      <c r="J10" s="105"/>
      <c r="K10" s="105"/>
      <c r="L10" s="52"/>
    </row>
    <row r="11" spans="1:16" ht="21">
      <c r="A11" s="403" t="s">
        <v>66</v>
      </c>
      <c r="B11" s="558">
        <v>110697</v>
      </c>
      <c r="C11" s="559">
        <f t="shared" si="0"/>
        <v>7.7780572739102702E-2</v>
      </c>
      <c r="D11" s="186"/>
      <c r="E11" s="137"/>
      <c r="F11" s="105"/>
      <c r="G11" s="137"/>
      <c r="H11" s="105"/>
      <c r="I11" s="105"/>
      <c r="J11" s="105"/>
      <c r="K11" s="105"/>
      <c r="L11" s="52"/>
      <c r="N11" s="223"/>
    </row>
    <row r="12" spans="1:16" ht="21">
      <c r="A12" s="403" t="s">
        <v>67</v>
      </c>
      <c r="B12" s="558">
        <v>79195</v>
      </c>
      <c r="C12" s="559">
        <f t="shared" si="0"/>
        <v>5.5645884333570358E-2</v>
      </c>
      <c r="D12" s="183"/>
      <c r="E12" s="137"/>
      <c r="F12" s="105"/>
      <c r="G12" s="137"/>
      <c r="H12" s="105"/>
      <c r="I12" s="105"/>
      <c r="J12" s="105"/>
      <c r="K12" s="105"/>
      <c r="L12" s="52"/>
    </row>
    <row r="13" spans="1:16" ht="21">
      <c r="A13" s="403" t="s">
        <v>187</v>
      </c>
      <c r="B13" s="558">
        <v>102969</v>
      </c>
      <c r="C13" s="559">
        <f t="shared" si="0"/>
        <v>7.2350540614223205E-2</v>
      </c>
      <c r="D13" s="183"/>
      <c r="E13" s="137"/>
      <c r="F13" s="105"/>
      <c r="G13" s="137"/>
      <c r="H13" s="105"/>
      <c r="I13" s="105"/>
      <c r="J13" s="105"/>
      <c r="K13" s="105"/>
      <c r="L13" s="52"/>
    </row>
    <row r="14" spans="1:16" ht="16.5" customHeight="1">
      <c r="A14" s="404" t="s">
        <v>23</v>
      </c>
      <c r="B14" s="560">
        <f>SUM(B4:B13)</f>
        <v>1423196</v>
      </c>
      <c r="C14" s="561">
        <f>SUM(C4:C13)</f>
        <v>0.99999999999999989</v>
      </c>
      <c r="D14" s="183"/>
      <c r="E14" s="137"/>
      <c r="F14" s="105"/>
      <c r="G14" s="137"/>
      <c r="H14" s="105"/>
      <c r="I14" s="105"/>
      <c r="J14" s="105"/>
      <c r="K14" s="105"/>
      <c r="L14" s="52"/>
    </row>
    <row r="15" spans="1:16" ht="23.25" customHeight="1">
      <c r="C15" s="138"/>
      <c r="D15" s="52"/>
      <c r="E15" s="137"/>
      <c r="F15" s="105"/>
      <c r="G15" s="137"/>
      <c r="H15" s="105"/>
      <c r="I15" s="105"/>
      <c r="J15" s="105"/>
      <c r="K15" s="105"/>
      <c r="L15" s="52"/>
    </row>
    <row r="16" spans="1:16" ht="23.25" customHeight="1">
      <c r="B16" s="104"/>
      <c r="C16" s="104"/>
      <c r="D16" s="104"/>
      <c r="E16" s="137"/>
      <c r="F16" s="105"/>
      <c r="G16" s="105"/>
      <c r="H16" s="105"/>
      <c r="I16" s="105"/>
      <c r="J16" s="105"/>
      <c r="K16" s="105"/>
      <c r="L16" s="52"/>
    </row>
    <row r="17" spans="1:11" ht="23.25" customHeight="1">
      <c r="B17" s="104"/>
      <c r="C17" s="104"/>
      <c r="D17" s="104"/>
      <c r="F17" s="104"/>
      <c r="G17" s="104"/>
      <c r="H17" s="104"/>
      <c r="I17" s="104"/>
      <c r="J17" s="104"/>
      <c r="K17" s="104"/>
    </row>
    <row r="18" spans="1:11" ht="23.25" customHeight="1">
      <c r="B18" s="104"/>
      <c r="C18" s="104"/>
      <c r="D18" s="104"/>
      <c r="F18" s="104"/>
      <c r="G18" s="104"/>
      <c r="H18" s="104"/>
      <c r="I18" s="104"/>
      <c r="J18" s="104"/>
      <c r="K18" s="104"/>
    </row>
    <row r="19" spans="1:11" ht="23.25" customHeight="1">
      <c r="B19" s="104"/>
      <c r="C19" s="104"/>
      <c r="D19" s="104"/>
      <c r="F19" s="104"/>
      <c r="G19" s="104"/>
      <c r="H19" s="104"/>
      <c r="I19" s="104"/>
      <c r="J19" s="104"/>
      <c r="K19" s="104"/>
    </row>
    <row r="20" spans="1:11" ht="23.25" customHeight="1">
      <c r="B20" s="104"/>
      <c r="C20" s="104"/>
      <c r="D20" s="104"/>
      <c r="F20" s="104"/>
      <c r="G20" s="104"/>
      <c r="H20" s="104"/>
      <c r="I20" s="104"/>
      <c r="J20" s="104"/>
      <c r="K20" s="104"/>
    </row>
    <row r="21" spans="1:11" ht="23.25" customHeight="1">
      <c r="B21" s="104"/>
      <c r="C21" s="104"/>
      <c r="D21" s="104"/>
      <c r="F21" s="104"/>
      <c r="G21" s="104"/>
      <c r="H21" s="104"/>
      <c r="I21" s="104"/>
      <c r="J21" s="104"/>
      <c r="K21" s="104"/>
    </row>
    <row r="22" spans="1:11" ht="23.25" customHeight="1">
      <c r="B22" s="104"/>
      <c r="C22" s="104"/>
      <c r="D22" s="104"/>
      <c r="F22" s="104"/>
      <c r="G22" s="104"/>
      <c r="H22" s="104"/>
      <c r="I22" s="104"/>
      <c r="J22" s="104"/>
      <c r="K22" s="104"/>
    </row>
    <row r="23" spans="1:11" ht="23.25" customHeight="1">
      <c r="B23" s="104"/>
      <c r="C23" s="104"/>
      <c r="D23" s="104"/>
      <c r="F23" s="104"/>
      <c r="G23" s="104"/>
      <c r="H23" s="104"/>
      <c r="I23" s="104"/>
      <c r="J23" s="104"/>
      <c r="K23" s="104"/>
    </row>
    <row r="24" spans="1:11" ht="23.25" customHeight="1">
      <c r="B24" s="104"/>
      <c r="C24" s="104"/>
      <c r="D24" s="104"/>
      <c r="F24" s="104"/>
      <c r="G24" s="104"/>
      <c r="H24" s="104"/>
      <c r="I24" s="104"/>
      <c r="J24" s="104"/>
      <c r="K24" s="104"/>
    </row>
    <row r="25" spans="1:11" ht="23.25" customHeight="1">
      <c r="A25" s="76"/>
      <c r="B25" s="108"/>
      <c r="C25" s="108"/>
      <c r="D25" s="108"/>
      <c r="E25" s="108"/>
      <c r="F25" s="108"/>
      <c r="G25" s="108"/>
      <c r="H25" s="108"/>
      <c r="I25" s="108"/>
      <c r="J25" s="108"/>
      <c r="K25" s="108"/>
    </row>
    <row r="26" spans="1:11" ht="23.25" customHeight="1">
      <c r="A26" s="76"/>
      <c r="B26" s="108"/>
      <c r="C26" s="108"/>
      <c r="D26" s="108"/>
      <c r="E26" s="108"/>
      <c r="F26" s="108"/>
      <c r="G26" s="108"/>
      <c r="H26" s="108"/>
      <c r="I26" s="108"/>
      <c r="J26" s="108"/>
      <c r="K26" s="108"/>
    </row>
    <row r="27" spans="1:11" ht="23.25" customHeight="1">
      <c r="A27" s="76"/>
      <c r="B27" s="108"/>
      <c r="C27" s="108"/>
      <c r="D27" s="108"/>
      <c r="E27" s="108"/>
      <c r="F27" s="108"/>
      <c r="G27" s="108"/>
      <c r="H27" s="108"/>
      <c r="I27" s="108"/>
      <c r="J27" s="108"/>
      <c r="K27" s="108"/>
    </row>
    <row r="28" spans="1:11" ht="23.25" customHeight="1">
      <c r="A28" s="76"/>
      <c r="B28" s="108"/>
      <c r="C28" s="108"/>
      <c r="D28" s="108"/>
      <c r="E28" s="108"/>
      <c r="F28" s="108"/>
      <c r="G28" s="108"/>
      <c r="H28" s="108"/>
      <c r="I28" s="108"/>
      <c r="J28" s="108"/>
      <c r="K28" s="108"/>
    </row>
    <row r="29" spans="1:11" ht="23.25" customHeight="1">
      <c r="A29" s="76"/>
      <c r="B29" s="108"/>
      <c r="C29" s="108"/>
      <c r="D29" s="108"/>
      <c r="E29" s="108"/>
      <c r="F29" s="108"/>
      <c r="G29" s="108"/>
      <c r="H29" s="108"/>
      <c r="I29" s="108"/>
      <c r="J29" s="108"/>
      <c r="K29" s="108"/>
    </row>
    <row r="30" spans="1:11" ht="23.25" customHeight="1">
      <c r="A30" s="76"/>
      <c r="B30" s="108"/>
      <c r="C30" s="108"/>
      <c r="D30" s="108"/>
      <c r="E30" s="108"/>
      <c r="F30" s="108"/>
      <c r="G30" s="108"/>
      <c r="H30" s="108"/>
      <c r="I30" s="108"/>
      <c r="J30" s="108"/>
      <c r="K30" s="108"/>
    </row>
    <row r="31" spans="1:11" ht="23.25" customHeight="1">
      <c r="A31" s="76"/>
      <c r="B31" s="108"/>
      <c r="C31" s="108"/>
      <c r="D31" s="108"/>
      <c r="E31" s="108"/>
      <c r="F31" s="108"/>
      <c r="G31" s="108"/>
      <c r="H31" s="108"/>
      <c r="I31" s="108"/>
      <c r="J31" s="108"/>
      <c r="K31" s="108"/>
    </row>
    <row r="32" spans="1:11" ht="23.25" customHeight="1">
      <c r="A32" s="76"/>
      <c r="B32" s="108"/>
      <c r="C32" s="108"/>
      <c r="D32" s="108"/>
      <c r="E32" s="108"/>
      <c r="F32" s="108"/>
      <c r="G32" s="108"/>
      <c r="H32" s="108"/>
      <c r="I32" s="108"/>
      <c r="J32" s="108"/>
      <c r="K32" s="108"/>
    </row>
    <row r="33" spans="1:11" ht="23.25" customHeight="1">
      <c r="A33" s="76"/>
      <c r="B33" s="108"/>
      <c r="C33" s="108"/>
      <c r="D33" s="108"/>
      <c r="E33" s="108"/>
      <c r="F33" s="108"/>
      <c r="G33" s="108"/>
      <c r="H33" s="108"/>
      <c r="I33" s="108"/>
      <c r="J33" s="108"/>
      <c r="K33" s="108"/>
    </row>
    <row r="34" spans="1:11" ht="23.25" customHeight="1">
      <c r="A34" s="76"/>
      <c r="B34" s="108"/>
      <c r="C34" s="108"/>
      <c r="D34" s="108"/>
      <c r="E34" s="108"/>
      <c r="F34" s="108"/>
      <c r="G34" s="108"/>
      <c r="H34" s="108"/>
      <c r="I34" s="108"/>
      <c r="J34" s="108"/>
      <c r="K34" s="108"/>
    </row>
    <row r="35" spans="1:11" ht="23.25" customHeight="1">
      <c r="A35" s="76"/>
      <c r="B35" s="108"/>
      <c r="C35" s="108"/>
      <c r="D35" s="108"/>
      <c r="E35" s="108"/>
      <c r="F35" s="108"/>
      <c r="G35" s="108"/>
      <c r="H35" s="108"/>
      <c r="I35" s="108"/>
      <c r="J35" s="108"/>
      <c r="K35" s="108"/>
    </row>
    <row r="36" spans="1:11" ht="23.25" customHeight="1">
      <c r="A36" s="76"/>
      <c r="B36" s="108"/>
      <c r="C36" s="108"/>
      <c r="D36" s="108"/>
      <c r="E36" s="108"/>
      <c r="F36" s="108"/>
      <c r="G36" s="108"/>
      <c r="H36" s="108"/>
      <c r="I36" s="108"/>
      <c r="J36" s="108"/>
      <c r="K36" s="108"/>
    </row>
    <row r="37" spans="1:11" ht="23.25" customHeight="1">
      <c r="A37" s="76"/>
      <c r="B37" s="108"/>
      <c r="C37" s="108"/>
      <c r="D37" s="108"/>
      <c r="E37" s="108"/>
      <c r="F37" s="108"/>
      <c r="G37" s="108"/>
      <c r="H37" s="108"/>
      <c r="I37" s="108"/>
      <c r="J37" s="108"/>
      <c r="K37" s="108"/>
    </row>
    <row r="38" spans="1:11" ht="23.25" customHeight="1">
      <c r="A38" s="76"/>
      <c r="B38" s="108"/>
      <c r="C38" s="108"/>
      <c r="D38" s="108"/>
      <c r="E38" s="108"/>
      <c r="F38" s="108"/>
      <c r="G38" s="108"/>
      <c r="H38" s="108"/>
      <c r="I38" s="108"/>
      <c r="J38" s="108"/>
      <c r="K38" s="108"/>
    </row>
    <row r="39" spans="1:11" ht="23.25" customHeight="1">
      <c r="A39" s="76"/>
      <c r="B39" s="108"/>
      <c r="C39" s="108"/>
      <c r="D39" s="108"/>
      <c r="E39" s="108"/>
      <c r="F39" s="108"/>
      <c r="G39" s="108"/>
      <c r="H39" s="108"/>
      <c r="I39" s="108"/>
      <c r="J39" s="108"/>
      <c r="K39" s="108"/>
    </row>
    <row r="40" spans="1:11" ht="23.25" customHeight="1">
      <c r="A40" s="108"/>
      <c r="C40" s="108"/>
      <c r="D40" s="108"/>
      <c r="E40" s="108"/>
      <c r="F40" s="108"/>
      <c r="G40" s="108"/>
      <c r="H40" s="108"/>
      <c r="I40" s="108"/>
      <c r="J40" s="108"/>
      <c r="K40" s="108"/>
    </row>
    <row r="41" spans="1:11" ht="23.25" customHeight="1">
      <c r="A41" s="76"/>
      <c r="B41" s="108"/>
      <c r="C41" s="108"/>
      <c r="D41" s="108"/>
      <c r="E41" s="108"/>
      <c r="F41" s="108"/>
      <c r="G41" s="108"/>
      <c r="H41" s="108"/>
      <c r="I41" s="108"/>
      <c r="J41" s="108"/>
      <c r="K41" s="108"/>
    </row>
    <row r="42" spans="1:11" ht="23.25" customHeight="1">
      <c r="A42" s="76"/>
      <c r="B42" s="108"/>
      <c r="C42" s="108"/>
      <c r="D42" s="108"/>
      <c r="E42" s="108"/>
      <c r="F42" s="108"/>
      <c r="G42" s="108"/>
      <c r="H42" s="108"/>
      <c r="I42" s="108"/>
      <c r="J42" s="108"/>
      <c r="K42" s="108"/>
    </row>
    <row r="43" spans="1:11" ht="23.25" customHeight="1">
      <c r="A43" s="76"/>
      <c r="B43" s="108"/>
      <c r="C43" s="108"/>
      <c r="D43" s="108"/>
      <c r="E43" s="108"/>
      <c r="F43" s="108"/>
      <c r="G43" s="108"/>
      <c r="H43" s="108"/>
      <c r="I43" s="108"/>
      <c r="J43" s="108"/>
      <c r="K43" s="108"/>
    </row>
    <row r="44" spans="1:11" ht="23.25" customHeight="1">
      <c r="A44" s="79"/>
      <c r="B44" s="108"/>
      <c r="C44" s="108"/>
      <c r="D44" s="108"/>
      <c r="E44" s="108"/>
      <c r="F44" s="108"/>
      <c r="G44" s="108"/>
      <c r="H44" s="108"/>
      <c r="I44" s="108"/>
      <c r="J44" s="108"/>
      <c r="K44" s="108"/>
    </row>
    <row r="45" spans="1:11" ht="23.25" customHeight="1">
      <c r="A45" s="76"/>
      <c r="B45" s="108"/>
      <c r="C45" s="108"/>
      <c r="D45" s="108"/>
      <c r="E45" s="108"/>
      <c r="F45" s="108"/>
      <c r="G45" s="108"/>
      <c r="H45" s="108"/>
      <c r="I45" s="108"/>
      <c r="J45" s="108"/>
      <c r="K45" s="108"/>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election activeCell="T26" sqref="T26"/>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45"/>
  <sheetViews>
    <sheetView showGridLines="0" view="pageBreakPreview" zoomScale="85" zoomScaleNormal="100" zoomScaleSheetLayoutView="85" workbookViewId="0">
      <selection activeCell="N39" sqref="N39"/>
    </sheetView>
  </sheetViews>
  <sheetFormatPr baseColWidth="10" defaultColWidth="11.42578125" defaultRowHeight="23.25" customHeight="1"/>
  <cols>
    <col min="1" max="1" width="28.7109375" style="84" customWidth="1"/>
    <col min="2" max="2" width="14.7109375" style="84" customWidth="1"/>
    <col min="3" max="3" width="14.5703125" style="84" customWidth="1"/>
    <col min="4" max="4" width="14.28515625" style="84" customWidth="1"/>
    <col min="5" max="7" width="11.7109375" style="84" bestFit="1" customWidth="1"/>
    <col min="8" max="8" width="12.85546875" style="84" bestFit="1" customWidth="1"/>
    <col min="9" max="9" width="11.140625" style="84" bestFit="1" customWidth="1"/>
    <col min="10" max="10" width="26" style="84" customWidth="1"/>
    <col min="11" max="11" width="11.140625" style="84" bestFit="1" customWidth="1"/>
    <col min="12" max="12" width="19.85546875" style="84" customWidth="1"/>
    <col min="13" max="17" width="11.140625" style="84" customWidth="1"/>
    <col min="18" max="16384" width="11.42578125" style="84"/>
  </cols>
  <sheetData>
    <row r="1" spans="1:17" ht="74.25" customHeight="1">
      <c r="A1" s="1797"/>
      <c r="B1" s="1797"/>
      <c r="C1" s="1797"/>
      <c r="D1" s="1797"/>
      <c r="E1" s="1797"/>
      <c r="F1" s="1797"/>
      <c r="G1" s="1797"/>
      <c r="H1" s="1797"/>
      <c r="I1" s="1797"/>
      <c r="J1" s="1797"/>
      <c r="K1" s="1797"/>
      <c r="L1" s="1797"/>
      <c r="M1" s="131"/>
      <c r="N1" s="131"/>
      <c r="O1" s="131"/>
      <c r="P1" s="131"/>
      <c r="Q1" s="131"/>
    </row>
    <row r="2" spans="1:17" s="102" customFormat="1" ht="12" customHeight="1">
      <c r="A2" s="187"/>
      <c r="B2" s="187"/>
      <c r="C2" s="187"/>
      <c r="D2" s="84"/>
      <c r="E2" s="84"/>
      <c r="F2" s="84"/>
      <c r="G2" s="80"/>
      <c r="H2" s="187"/>
      <c r="I2" s="187"/>
      <c r="J2" s="187"/>
      <c r="K2" s="187"/>
      <c r="L2" s="187"/>
      <c r="M2" s="131"/>
      <c r="N2" s="131"/>
      <c r="O2" s="131"/>
      <c r="P2" s="131"/>
      <c r="Q2" s="131"/>
    </row>
    <row r="3" spans="1:17" ht="36" customHeight="1">
      <c r="A3" s="1798" t="s">
        <v>184</v>
      </c>
      <c r="B3" s="1798"/>
      <c r="C3" s="1798"/>
      <c r="G3" s="80"/>
      <c r="H3" s="80"/>
      <c r="I3" s="80"/>
      <c r="J3" s="80"/>
      <c r="K3" s="80"/>
      <c r="L3" s="80"/>
      <c r="M3" s="80"/>
      <c r="N3" s="80"/>
      <c r="O3" s="80"/>
      <c r="P3" s="80"/>
      <c r="Q3" s="80"/>
    </row>
    <row r="4" spans="1:17" ht="36.75" customHeight="1">
      <c r="A4" s="567" t="s">
        <v>61</v>
      </c>
      <c r="B4" s="563" t="s">
        <v>46</v>
      </c>
      <c r="C4" s="564" t="s">
        <v>44</v>
      </c>
      <c r="G4" s="80"/>
      <c r="H4" s="80"/>
      <c r="I4" s="80"/>
      <c r="J4" s="80"/>
      <c r="K4" s="80"/>
      <c r="L4" s="80"/>
      <c r="M4" s="80"/>
      <c r="N4" s="136"/>
      <c r="O4" s="80"/>
      <c r="P4" s="80"/>
      <c r="Q4" s="80"/>
    </row>
    <row r="5" spans="1:17" ht="18.75">
      <c r="A5" s="569" t="s">
        <v>68</v>
      </c>
      <c r="B5" s="562">
        <v>460041</v>
      </c>
      <c r="C5" s="1619">
        <f>+B5/$B$14</f>
        <v>0.32324500630974229</v>
      </c>
      <c r="G5" s="80"/>
      <c r="H5" s="80"/>
      <c r="I5" s="80"/>
      <c r="J5" s="80"/>
      <c r="K5" s="80"/>
      <c r="L5" s="80"/>
      <c r="M5" s="80"/>
      <c r="N5" s="120"/>
      <c r="O5" s="80"/>
      <c r="P5" s="80"/>
      <c r="Q5" s="80"/>
    </row>
    <row r="6" spans="1:17" ht="18.75">
      <c r="A6" s="570" t="s">
        <v>69</v>
      </c>
      <c r="B6" s="562">
        <v>517071</v>
      </c>
      <c r="C6" s="1619">
        <f t="shared" ref="C6:C13" si="0">+B6/$B$14</f>
        <v>0.36331678841143455</v>
      </c>
      <c r="G6" s="80"/>
      <c r="H6" s="80"/>
      <c r="I6" s="80"/>
      <c r="J6" s="80"/>
      <c r="K6" s="80"/>
      <c r="L6" s="80"/>
      <c r="M6" s="80"/>
      <c r="O6" s="80"/>
      <c r="P6" s="80"/>
      <c r="Q6" s="80"/>
    </row>
    <row r="7" spans="1:17" ht="18.75">
      <c r="A7" s="570" t="s">
        <v>70</v>
      </c>
      <c r="B7" s="562">
        <v>163409</v>
      </c>
      <c r="C7" s="1619">
        <f t="shared" si="0"/>
        <v>0.11481833844389669</v>
      </c>
      <c r="G7" s="80"/>
      <c r="H7" s="80"/>
      <c r="I7" s="80"/>
      <c r="J7" s="80"/>
      <c r="K7" s="80"/>
      <c r="L7" s="80"/>
      <c r="M7" s="80"/>
      <c r="N7" s="185"/>
      <c r="O7" s="1206"/>
      <c r="P7" s="80"/>
      <c r="Q7" s="80"/>
    </row>
    <row r="8" spans="1:17" ht="18.75">
      <c r="A8" s="570" t="s">
        <v>71</v>
      </c>
      <c r="B8" s="562">
        <v>92844</v>
      </c>
      <c r="C8" s="1619">
        <f t="shared" si="0"/>
        <v>6.5236271040671839E-2</v>
      </c>
      <c r="G8" s="80"/>
      <c r="H8" s="80"/>
      <c r="I8" s="80"/>
      <c r="J8" s="80"/>
      <c r="K8" s="80"/>
      <c r="L8" s="80"/>
      <c r="M8" s="80"/>
      <c r="N8" s="185"/>
      <c r="O8" s="1206"/>
      <c r="P8" s="80"/>
      <c r="Q8" s="80"/>
    </row>
    <row r="9" spans="1:17" ht="18.75">
      <c r="A9" s="570" t="s">
        <v>72</v>
      </c>
      <c r="B9" s="562">
        <v>113892</v>
      </c>
      <c r="C9" s="1619">
        <f t="shared" si="0"/>
        <v>8.0025520026756683E-2</v>
      </c>
      <c r="G9" s="80"/>
      <c r="H9" s="80"/>
      <c r="I9" s="80"/>
      <c r="J9" s="80"/>
      <c r="K9" s="80"/>
      <c r="L9" s="80"/>
      <c r="M9" s="80"/>
      <c r="N9" s="185"/>
      <c r="O9" s="1206"/>
      <c r="P9" s="80"/>
      <c r="Q9" s="80"/>
    </row>
    <row r="10" spans="1:17" ht="18.75">
      <c r="A10" s="570" t="s">
        <v>73</v>
      </c>
      <c r="B10" s="562">
        <v>30095</v>
      </c>
      <c r="C10" s="1619">
        <f t="shared" si="0"/>
        <v>2.1146068426274384E-2</v>
      </c>
      <c r="G10" s="80"/>
      <c r="H10" s="80"/>
      <c r="I10" s="80"/>
      <c r="J10" s="80"/>
      <c r="K10" s="80"/>
      <c r="L10" s="80"/>
      <c r="M10" s="80"/>
      <c r="N10" s="185"/>
      <c r="O10" s="1206"/>
      <c r="P10" s="80"/>
      <c r="Q10" s="80"/>
    </row>
    <row r="11" spans="1:17" ht="18.75">
      <c r="A11" s="570" t="s">
        <v>74</v>
      </c>
      <c r="B11" s="562">
        <v>17246</v>
      </c>
      <c r="C11" s="1619">
        <f t="shared" si="0"/>
        <v>1.2117796845972023E-2</v>
      </c>
      <c r="G11" s="80"/>
      <c r="H11" s="104"/>
      <c r="I11" s="104"/>
      <c r="J11" s="104"/>
      <c r="K11" s="104"/>
      <c r="L11" s="104"/>
      <c r="M11" s="104"/>
      <c r="N11" s="185"/>
      <c r="O11" s="1206"/>
      <c r="P11" s="104"/>
      <c r="Q11" s="104"/>
    </row>
    <row r="12" spans="1:17" ht="18.75">
      <c r="A12" s="570" t="s">
        <v>75</v>
      </c>
      <c r="B12" s="562">
        <v>16061</v>
      </c>
      <c r="C12" s="1619">
        <f t="shared" si="0"/>
        <v>1.1285163814400827E-2</v>
      </c>
      <c r="G12" s="80"/>
      <c r="L12" s="104"/>
      <c r="M12" s="104"/>
      <c r="N12" s="185"/>
      <c r="O12" s="1206"/>
      <c r="P12" s="104"/>
      <c r="Q12" s="104"/>
    </row>
    <row r="13" spans="1:17" ht="18.75">
      <c r="A13" s="570" t="s">
        <v>76</v>
      </c>
      <c r="B13" s="562">
        <v>12537</v>
      </c>
      <c r="C13" s="1619">
        <f t="shared" si="0"/>
        <v>8.8090466808507049E-3</v>
      </c>
      <c r="D13" s="185"/>
      <c r="G13" s="80"/>
      <c r="N13" s="185"/>
      <c r="O13" s="1206"/>
    </row>
    <row r="14" spans="1:17" ht="18.75">
      <c r="A14" s="568" t="s">
        <v>23</v>
      </c>
      <c r="B14" s="565">
        <f>SUM(B5:B13)</f>
        <v>1423196</v>
      </c>
      <c r="C14" s="566">
        <f>SUM(C5:C13)</f>
        <v>1</v>
      </c>
      <c r="G14" s="80"/>
      <c r="N14" s="185"/>
    </row>
    <row r="15" spans="1:17" ht="23.25" customHeight="1">
      <c r="C15" s="101"/>
      <c r="D15" s="101"/>
      <c r="G15" s="104"/>
      <c r="H15" s="104"/>
      <c r="I15" s="104"/>
      <c r="J15" s="104"/>
      <c r="K15" s="104"/>
      <c r="L15" s="104"/>
      <c r="M15" s="104"/>
      <c r="N15" s="104"/>
      <c r="O15" s="104"/>
      <c r="P15" s="104"/>
      <c r="Q15" s="104"/>
    </row>
    <row r="16" spans="1:17" ht="23.25" customHeight="1">
      <c r="B16" s="104"/>
      <c r="C16" s="104"/>
      <c r="D16" s="104"/>
      <c r="E16" s="104"/>
      <c r="F16" s="104"/>
      <c r="G16" s="104"/>
      <c r="H16" s="104"/>
      <c r="I16" s="104"/>
      <c r="J16" s="104"/>
      <c r="K16" s="104"/>
      <c r="L16" s="104"/>
      <c r="M16" s="104"/>
      <c r="N16" s="104"/>
      <c r="O16" s="104"/>
      <c r="P16" s="104"/>
      <c r="Q16" s="104"/>
    </row>
    <row r="17" spans="1:17" ht="23.25" customHeight="1">
      <c r="B17" s="104"/>
      <c r="C17" s="104"/>
      <c r="D17" s="104"/>
      <c r="E17" s="104"/>
      <c r="F17" s="104"/>
      <c r="G17" s="104"/>
      <c r="H17" s="104"/>
      <c r="I17" s="104"/>
      <c r="J17" s="104"/>
      <c r="K17" s="104"/>
      <c r="L17" s="104"/>
      <c r="M17" s="104"/>
      <c r="N17" s="104"/>
      <c r="O17" s="104"/>
      <c r="P17" s="104"/>
      <c r="Q17" s="104"/>
    </row>
    <row r="18" spans="1:17" ht="23.25" customHeight="1">
      <c r="B18" s="104"/>
      <c r="C18" s="104"/>
      <c r="D18" s="104"/>
      <c r="E18" s="104"/>
      <c r="F18" s="104"/>
      <c r="G18" s="104"/>
      <c r="H18" s="104"/>
      <c r="I18" s="104"/>
      <c r="J18" s="104"/>
      <c r="K18" s="104"/>
      <c r="L18" s="104"/>
      <c r="M18" s="104"/>
      <c r="N18" s="104"/>
      <c r="O18" s="104"/>
      <c r="P18" s="104"/>
      <c r="Q18" s="104"/>
    </row>
    <row r="19" spans="1:17" ht="23.25" customHeight="1">
      <c r="B19" s="104"/>
      <c r="C19" s="104"/>
      <c r="D19" s="104"/>
      <c r="E19" s="104"/>
      <c r="F19" s="104"/>
      <c r="G19" s="104"/>
      <c r="H19" s="104"/>
      <c r="I19" s="104"/>
      <c r="J19" s="104"/>
      <c r="K19" s="104"/>
      <c r="L19" s="104"/>
      <c r="M19" s="104"/>
      <c r="N19" s="104"/>
      <c r="O19" s="104"/>
      <c r="P19" s="104"/>
      <c r="Q19" s="104"/>
    </row>
    <row r="20" spans="1:17" ht="23.25" customHeight="1">
      <c r="B20" s="104"/>
      <c r="C20" s="104"/>
      <c r="D20" s="104"/>
      <c r="E20" s="104"/>
      <c r="F20" s="104"/>
      <c r="G20" s="104"/>
      <c r="H20" s="104"/>
      <c r="I20" s="104"/>
      <c r="J20" s="104"/>
      <c r="K20" s="104"/>
      <c r="L20" s="104"/>
      <c r="M20" s="104"/>
      <c r="N20" s="104"/>
      <c r="O20" s="104"/>
      <c r="P20" s="104"/>
      <c r="Q20" s="104"/>
    </row>
    <row r="21" spans="1:17" ht="23.25" customHeight="1">
      <c r="B21" s="104"/>
      <c r="C21" s="104"/>
      <c r="D21" s="104"/>
      <c r="E21" s="108"/>
      <c r="F21" s="108"/>
      <c r="G21" s="108"/>
      <c r="H21" s="108"/>
      <c r="I21" s="108"/>
      <c r="J21" s="108"/>
      <c r="K21" s="108"/>
      <c r="L21" s="108"/>
      <c r="M21" s="108"/>
      <c r="N21" s="108"/>
      <c r="O21" s="108"/>
      <c r="P21" s="108"/>
      <c r="Q21" s="108"/>
    </row>
    <row r="22" spans="1:17" ht="23.25" customHeight="1">
      <c r="B22" s="104"/>
      <c r="C22" s="104"/>
      <c r="D22" s="104"/>
      <c r="E22" s="108"/>
      <c r="F22" s="108"/>
      <c r="G22" s="108"/>
      <c r="H22" s="108"/>
      <c r="I22" s="108"/>
      <c r="J22" s="108"/>
      <c r="K22" s="108"/>
      <c r="L22" s="108"/>
      <c r="M22" s="108"/>
      <c r="N22" s="108"/>
      <c r="O22" s="108"/>
      <c r="P22" s="108"/>
      <c r="Q22" s="108"/>
    </row>
    <row r="23" spans="1:17" ht="23.25" customHeight="1">
      <c r="B23" s="104"/>
      <c r="C23" s="104"/>
      <c r="D23" s="104"/>
      <c r="E23" s="108"/>
      <c r="F23" s="108"/>
      <c r="G23" s="108"/>
      <c r="H23" s="108"/>
      <c r="I23" s="108"/>
      <c r="J23" s="108"/>
      <c r="K23" s="108"/>
      <c r="L23" s="108"/>
      <c r="M23" s="108"/>
      <c r="N23" s="108"/>
      <c r="O23" s="108"/>
      <c r="P23" s="108"/>
      <c r="Q23" s="108"/>
    </row>
    <row r="24" spans="1:17" ht="23.25" customHeight="1">
      <c r="B24" s="104"/>
      <c r="C24" s="104"/>
      <c r="D24" s="104"/>
      <c r="E24" s="108"/>
      <c r="F24" s="108"/>
      <c r="G24" s="108"/>
      <c r="H24" s="108"/>
      <c r="I24" s="108"/>
      <c r="J24" s="108"/>
      <c r="K24" s="108"/>
      <c r="L24" s="108"/>
      <c r="M24" s="108"/>
      <c r="N24" s="108"/>
      <c r="O24" s="108"/>
      <c r="P24" s="108"/>
      <c r="Q24" s="108"/>
    </row>
    <row r="25" spans="1:17" ht="23.25" customHeight="1">
      <c r="A25" s="76"/>
      <c r="B25" s="108"/>
      <c r="C25" s="108"/>
      <c r="D25" s="108"/>
      <c r="E25" s="108"/>
      <c r="F25" s="108"/>
      <c r="G25" s="108"/>
      <c r="H25" s="108"/>
      <c r="I25" s="108"/>
      <c r="J25" s="108"/>
      <c r="K25" s="108"/>
      <c r="L25" s="108"/>
      <c r="M25" s="108"/>
      <c r="N25" s="108"/>
      <c r="O25" s="108"/>
      <c r="P25" s="108"/>
      <c r="Q25" s="108"/>
    </row>
    <row r="26" spans="1:17" ht="23.25" customHeight="1">
      <c r="A26" s="76"/>
      <c r="B26" s="108"/>
      <c r="C26" s="108"/>
      <c r="D26" s="108"/>
      <c r="E26" s="108"/>
      <c r="F26" s="108"/>
      <c r="G26" s="108"/>
      <c r="H26" s="108"/>
      <c r="I26" s="108"/>
      <c r="J26" s="108"/>
      <c r="K26" s="108"/>
      <c r="L26" s="108"/>
      <c r="M26" s="108"/>
      <c r="N26" s="108"/>
      <c r="O26" s="108"/>
      <c r="P26" s="108"/>
      <c r="Q26" s="108"/>
    </row>
    <row r="27" spans="1:17" ht="23.25" customHeight="1">
      <c r="A27" s="76"/>
      <c r="B27" s="108"/>
      <c r="C27" s="108"/>
      <c r="D27" s="108"/>
      <c r="E27" s="108"/>
      <c r="F27" s="108"/>
      <c r="G27" s="108"/>
      <c r="H27" s="108"/>
      <c r="I27" s="108"/>
      <c r="J27" s="108"/>
      <c r="K27" s="108"/>
      <c r="L27" s="108"/>
      <c r="M27" s="108"/>
      <c r="N27" s="108"/>
      <c r="O27" s="108"/>
      <c r="P27" s="108"/>
      <c r="Q27" s="108"/>
    </row>
    <row r="28" spans="1:17" ht="23.25" customHeight="1">
      <c r="A28" s="76"/>
      <c r="B28" s="108"/>
      <c r="C28" s="108"/>
      <c r="D28" s="108"/>
      <c r="E28" s="108"/>
      <c r="F28" s="108"/>
      <c r="G28" s="108"/>
      <c r="H28" s="108"/>
      <c r="I28" s="108"/>
      <c r="J28" s="108"/>
      <c r="K28" s="108"/>
      <c r="L28" s="108"/>
      <c r="M28" s="108"/>
      <c r="N28" s="108"/>
      <c r="O28" s="108"/>
      <c r="P28" s="108"/>
      <c r="Q28" s="108"/>
    </row>
    <row r="29" spans="1:17" ht="23.25" customHeight="1">
      <c r="A29" s="76"/>
      <c r="B29" s="108"/>
      <c r="C29" s="108"/>
      <c r="D29" s="108"/>
      <c r="E29" s="108"/>
      <c r="F29" s="108"/>
      <c r="G29" s="108"/>
      <c r="H29" s="108"/>
      <c r="I29" s="108"/>
      <c r="J29" s="108"/>
      <c r="K29" s="108"/>
      <c r="L29" s="108"/>
      <c r="M29" s="108"/>
      <c r="N29" s="108"/>
      <c r="O29" s="108"/>
      <c r="P29" s="108"/>
      <c r="Q29" s="108"/>
    </row>
    <row r="30" spans="1:17" ht="23.25" customHeight="1">
      <c r="A30" s="76"/>
      <c r="B30" s="108"/>
      <c r="C30" s="108"/>
      <c r="D30" s="108"/>
      <c r="E30" s="108"/>
      <c r="F30" s="108"/>
      <c r="G30" s="108"/>
      <c r="H30" s="108"/>
      <c r="I30" s="108"/>
      <c r="J30" s="108"/>
      <c r="K30" s="108"/>
      <c r="L30" s="108"/>
      <c r="M30" s="108"/>
      <c r="N30" s="108"/>
      <c r="O30" s="108"/>
      <c r="P30" s="108"/>
      <c r="Q30" s="108"/>
    </row>
    <row r="31" spans="1:17" ht="23.25" customHeight="1">
      <c r="A31" s="76"/>
      <c r="B31" s="108"/>
      <c r="C31" s="108"/>
      <c r="D31" s="108"/>
      <c r="E31" s="108"/>
      <c r="F31" s="108"/>
      <c r="G31" s="108"/>
      <c r="H31" s="108"/>
      <c r="I31" s="108"/>
      <c r="J31" s="108"/>
      <c r="K31" s="108"/>
      <c r="L31" s="108"/>
      <c r="M31" s="108"/>
      <c r="N31" s="108"/>
      <c r="O31" s="108"/>
      <c r="P31" s="108"/>
      <c r="Q31" s="108"/>
    </row>
    <row r="32" spans="1:17" ht="23.25" customHeight="1">
      <c r="A32" s="76"/>
      <c r="B32" s="108"/>
      <c r="C32" s="108"/>
      <c r="D32" s="108"/>
      <c r="E32" s="108"/>
      <c r="F32" s="108"/>
      <c r="G32" s="108"/>
      <c r="H32" s="108"/>
      <c r="I32" s="108"/>
      <c r="J32" s="108"/>
      <c r="K32" s="108"/>
      <c r="L32" s="108"/>
      <c r="M32" s="108"/>
      <c r="N32" s="108"/>
      <c r="O32" s="108"/>
      <c r="P32" s="108"/>
      <c r="Q32" s="108"/>
    </row>
    <row r="33" spans="1:17" ht="23.25" customHeight="1">
      <c r="A33" s="76"/>
      <c r="B33" s="108"/>
      <c r="C33" s="108"/>
      <c r="D33" s="108"/>
      <c r="E33" s="108"/>
      <c r="F33" s="108"/>
      <c r="G33" s="108"/>
      <c r="H33" s="108"/>
      <c r="I33" s="108"/>
      <c r="J33" s="108"/>
      <c r="K33" s="108"/>
      <c r="L33" s="108"/>
      <c r="M33" s="108"/>
      <c r="N33" s="108"/>
      <c r="O33" s="108"/>
      <c r="P33" s="108"/>
      <c r="Q33" s="108"/>
    </row>
    <row r="34" spans="1:17" ht="23.25" customHeight="1">
      <c r="A34" s="76"/>
      <c r="B34" s="108"/>
      <c r="C34" s="108"/>
      <c r="D34" s="108"/>
      <c r="E34" s="108"/>
      <c r="F34" s="108"/>
      <c r="G34" s="108"/>
      <c r="H34" s="108"/>
      <c r="I34" s="108"/>
      <c r="J34" s="108"/>
      <c r="K34" s="108"/>
      <c r="L34" s="108"/>
      <c r="M34" s="108"/>
      <c r="N34" s="108"/>
      <c r="O34" s="108"/>
      <c r="P34" s="108"/>
      <c r="Q34" s="108"/>
    </row>
    <row r="35" spans="1:17" ht="23.25" customHeight="1">
      <c r="A35" s="76"/>
      <c r="B35" s="108"/>
      <c r="C35" s="108"/>
      <c r="D35" s="108"/>
      <c r="E35" s="108"/>
      <c r="F35" s="108"/>
      <c r="G35" s="108"/>
      <c r="H35" s="108"/>
      <c r="I35" s="108"/>
      <c r="J35" s="108"/>
      <c r="K35" s="108"/>
      <c r="L35" s="108"/>
      <c r="M35" s="108"/>
      <c r="N35" s="108"/>
      <c r="O35" s="108"/>
      <c r="P35" s="108"/>
      <c r="Q35" s="108"/>
    </row>
    <row r="36" spans="1:17" ht="23.25" customHeight="1">
      <c r="A36" s="76"/>
      <c r="B36" s="108"/>
      <c r="C36" s="108"/>
      <c r="D36" s="108"/>
      <c r="E36" s="108"/>
      <c r="F36" s="108"/>
      <c r="G36" s="108"/>
      <c r="H36" s="108"/>
      <c r="I36" s="108"/>
      <c r="J36" s="108"/>
      <c r="K36" s="108"/>
      <c r="L36" s="108"/>
      <c r="M36" s="108"/>
      <c r="N36" s="108"/>
      <c r="O36" s="108"/>
      <c r="P36" s="108"/>
      <c r="Q36" s="108"/>
    </row>
    <row r="37" spans="1:17" ht="23.25" customHeight="1">
      <c r="A37" s="76"/>
      <c r="B37" s="108"/>
      <c r="C37" s="108"/>
      <c r="D37" s="108"/>
      <c r="E37" s="108"/>
      <c r="F37" s="108"/>
      <c r="G37" s="108"/>
      <c r="H37" s="108"/>
      <c r="I37" s="108"/>
      <c r="J37" s="108"/>
      <c r="K37" s="108"/>
      <c r="L37" s="108"/>
      <c r="M37" s="108"/>
      <c r="N37" s="108"/>
      <c r="O37" s="108"/>
      <c r="P37" s="108"/>
      <c r="Q37" s="108"/>
    </row>
    <row r="38" spans="1:17" ht="23.25" customHeight="1">
      <c r="A38" s="76"/>
      <c r="B38" s="108"/>
      <c r="C38" s="108"/>
      <c r="D38" s="108"/>
      <c r="E38" s="108"/>
      <c r="F38" s="108"/>
      <c r="G38" s="108"/>
      <c r="H38" s="108"/>
      <c r="I38" s="108"/>
      <c r="J38" s="108"/>
      <c r="K38" s="108"/>
      <c r="L38" s="108"/>
      <c r="M38" s="108"/>
      <c r="N38" s="108"/>
      <c r="O38" s="108"/>
      <c r="P38" s="108"/>
      <c r="Q38" s="108"/>
    </row>
    <row r="39" spans="1:17" ht="23.25" customHeight="1">
      <c r="A39" s="76"/>
      <c r="B39" s="108"/>
      <c r="C39" s="108"/>
      <c r="D39" s="108"/>
      <c r="E39" s="108"/>
      <c r="F39" s="108"/>
      <c r="G39" s="108"/>
      <c r="H39" s="108"/>
      <c r="I39" s="108"/>
      <c r="J39" s="108"/>
      <c r="K39" s="108"/>
      <c r="L39" s="108"/>
      <c r="M39" s="108"/>
      <c r="N39" s="108"/>
      <c r="O39" s="108"/>
      <c r="P39" s="108"/>
      <c r="Q39" s="108"/>
    </row>
    <row r="40" spans="1:17" ht="23.25" customHeight="1">
      <c r="A40" s="76"/>
      <c r="B40" s="108"/>
      <c r="C40" s="108"/>
      <c r="D40" s="108"/>
      <c r="E40" s="108"/>
      <c r="F40" s="108"/>
      <c r="G40" s="108"/>
      <c r="H40" s="108"/>
      <c r="I40" s="108"/>
      <c r="J40" s="108"/>
      <c r="K40" s="108"/>
      <c r="L40" s="108"/>
      <c r="M40" s="108"/>
      <c r="N40" s="108"/>
      <c r="O40" s="108"/>
      <c r="P40" s="108"/>
      <c r="Q40" s="108"/>
    </row>
    <row r="41" spans="1:17" ht="23.25" customHeight="1">
      <c r="A41" s="76"/>
      <c r="B41" s="108"/>
      <c r="C41" s="108"/>
      <c r="D41" s="108"/>
      <c r="E41" s="108"/>
      <c r="F41" s="108"/>
      <c r="G41" s="108"/>
      <c r="H41" s="108"/>
      <c r="I41" s="108"/>
      <c r="J41" s="108"/>
      <c r="K41" s="108"/>
      <c r="L41" s="108"/>
      <c r="M41" s="108"/>
      <c r="N41" s="108"/>
      <c r="O41" s="108"/>
      <c r="P41" s="108"/>
      <c r="Q41" s="108"/>
    </row>
    <row r="42" spans="1:17" ht="23.25" customHeight="1">
      <c r="A42" s="76"/>
      <c r="B42" s="108"/>
      <c r="C42" s="108"/>
      <c r="D42" s="108"/>
    </row>
    <row r="43" spans="1:17" ht="23.25" customHeight="1">
      <c r="A43" s="76"/>
      <c r="B43" s="108"/>
      <c r="C43" s="108"/>
      <c r="D43" s="108"/>
    </row>
    <row r="44" spans="1:17" ht="23.25" customHeight="1">
      <c r="A44" s="79"/>
      <c r="B44" s="108"/>
      <c r="C44" s="108"/>
      <c r="D44" s="108"/>
    </row>
    <row r="45" spans="1:17" ht="23.25" customHeight="1">
      <c r="A45" s="76"/>
      <c r="B45" s="108"/>
      <c r="C45" s="108"/>
      <c r="D45" s="108"/>
    </row>
  </sheetData>
  <mergeCells count="2">
    <mergeCell ref="A1:L1"/>
    <mergeCell ref="A3:C3"/>
  </mergeCells>
  <printOptions horizontalCentered="1" verticalCentered="1"/>
  <pageMargins left="0.4" right="0.4" top="0.25" bottom="0.25" header="0.31496062992126" footer="0.31496062992126"/>
  <pageSetup scale="6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M1" sqref="M1:O20"/>
    </sheetView>
  </sheetViews>
  <sheetFormatPr baseColWidth="10" defaultColWidth="11.42578125" defaultRowHeight="15"/>
  <cols>
    <col min="1" max="1" width="12.7109375" style="84" customWidth="1"/>
    <col min="2" max="2" width="12.28515625" style="84" bestFit="1" customWidth="1"/>
    <col min="3" max="3" width="14.7109375" style="84" bestFit="1" customWidth="1"/>
    <col min="4" max="4" width="12.5703125" style="84" customWidth="1"/>
    <col min="5" max="5" width="17.5703125" style="84" customWidth="1"/>
    <col min="6" max="6" width="15.5703125" style="84" customWidth="1"/>
    <col min="7" max="7" width="22.42578125" style="84" customWidth="1"/>
    <col min="8" max="8" width="16.140625" style="84" customWidth="1"/>
    <col min="9" max="9" width="19.28515625" style="84" customWidth="1"/>
    <col min="10" max="10" width="16.28515625" style="84" customWidth="1"/>
    <col min="11" max="11" width="16" style="84" customWidth="1"/>
    <col min="12" max="12" width="16.42578125" style="84" customWidth="1"/>
    <col min="13" max="13" width="12.5703125" style="84" customWidth="1"/>
    <col min="14" max="14" width="22" style="84" customWidth="1"/>
    <col min="15" max="17" width="11.42578125" style="84"/>
    <col min="18" max="18" width="17" style="84" customWidth="1"/>
    <col min="19" max="16384" width="11.42578125" style="84"/>
  </cols>
  <sheetData>
    <row r="1" spans="1:15" ht="68.25" customHeight="1">
      <c r="A1" s="1786"/>
      <c r="B1" s="1786"/>
      <c r="C1" s="1786"/>
      <c r="D1" s="1786"/>
      <c r="E1" s="1786"/>
      <c r="F1" s="1786"/>
      <c r="G1" s="1786"/>
      <c r="H1" s="1786"/>
      <c r="I1" s="1786"/>
      <c r="J1" s="1786"/>
      <c r="K1" s="1786"/>
      <c r="L1" s="1786"/>
      <c r="M1" s="139"/>
      <c r="N1" s="139"/>
    </row>
    <row r="2" spans="1:15" ht="15" customHeight="1">
      <c r="A2" s="1799"/>
      <c r="B2" s="1800"/>
      <c r="C2" s="1800"/>
      <c r="D2" s="1800"/>
      <c r="E2" s="1800"/>
      <c r="F2" s="1800"/>
      <c r="G2" s="1800"/>
      <c r="H2" s="1800"/>
      <c r="I2" s="1800"/>
      <c r="J2" s="1800"/>
      <c r="K2" s="1800"/>
      <c r="L2" s="1800"/>
      <c r="M2" s="180"/>
      <c r="N2" s="180"/>
    </row>
    <row r="3" spans="1:15" s="225" customFormat="1" ht="33" customHeight="1">
      <c r="A3" s="1546" t="s">
        <v>154</v>
      </c>
      <c r="B3" s="1547" t="s">
        <v>101</v>
      </c>
      <c r="C3" s="1540" t="s">
        <v>102</v>
      </c>
      <c r="D3" s="1540" t="s">
        <v>92</v>
      </c>
      <c r="E3" s="1540" t="s">
        <v>93</v>
      </c>
      <c r="F3" s="1540" t="s">
        <v>94</v>
      </c>
      <c r="G3" s="1547" t="s">
        <v>188</v>
      </c>
      <c r="H3" s="1548" t="s">
        <v>155</v>
      </c>
      <c r="I3" s="1548" t="s">
        <v>466</v>
      </c>
      <c r="J3" s="1549" t="s">
        <v>23</v>
      </c>
      <c r="K3" s="1550"/>
      <c r="L3" s="1551"/>
      <c r="M3" s="1552"/>
      <c r="N3" s="1553"/>
    </row>
    <row r="4" spans="1:15" ht="18.75" customHeight="1">
      <c r="A4" s="1539" t="s">
        <v>636</v>
      </c>
      <c r="B4" s="1554">
        <v>421439</v>
      </c>
      <c r="C4" s="1554">
        <v>192971</v>
      </c>
      <c r="D4" s="1554">
        <v>11441</v>
      </c>
      <c r="E4" s="1554">
        <v>407476</v>
      </c>
      <c r="F4" s="1554">
        <v>257824</v>
      </c>
      <c r="G4" s="1554">
        <v>84797</v>
      </c>
      <c r="H4" s="1554">
        <v>40725</v>
      </c>
      <c r="I4" s="1554">
        <v>6523</v>
      </c>
      <c r="J4" s="1555">
        <f>+B4+C4+D4+E4+F4+G4+H4+I4</f>
        <v>1423196</v>
      </c>
      <c r="L4" s="102"/>
      <c r="M4" s="174"/>
      <c r="N4" s="174"/>
    </row>
    <row r="5" spans="1:15" ht="17.25" customHeight="1">
      <c r="A5" s="833" t="s">
        <v>44</v>
      </c>
      <c r="B5" s="862">
        <f>B4/$J$4</f>
        <v>0.29612154615386777</v>
      </c>
      <c r="C5" s="862">
        <f t="shared" ref="C5:H5" si="0">C4/$J$4</f>
        <v>0.13558989766694116</v>
      </c>
      <c r="D5" s="862">
        <f t="shared" si="0"/>
        <v>8.0389489571359111E-3</v>
      </c>
      <c r="E5" s="862">
        <f t="shared" si="0"/>
        <v>0.28631052925949763</v>
      </c>
      <c r="F5" s="862">
        <f t="shared" si="0"/>
        <v>0.18115846306482031</v>
      </c>
      <c r="G5" s="862">
        <f t="shared" si="0"/>
        <v>5.9582095508981192E-2</v>
      </c>
      <c r="H5" s="862">
        <f t="shared" si="0"/>
        <v>2.861517317361769E-2</v>
      </c>
      <c r="I5" s="1556">
        <f>I4/$J$4</f>
        <v>4.5833462151383224E-3</v>
      </c>
      <c r="J5" s="1557">
        <f>SUM(B5:I5)</f>
        <v>1</v>
      </c>
      <c r="K5" s="102"/>
      <c r="L5" s="21"/>
      <c r="N5" s="174"/>
    </row>
    <row r="6" spans="1:15">
      <c r="A6" s="105"/>
      <c r="B6" s="291"/>
      <c r="C6" s="291"/>
      <c r="D6" s="291"/>
      <c r="E6" s="290"/>
      <c r="F6" s="290"/>
      <c r="G6" s="291"/>
      <c r="H6" s="291"/>
      <c r="I6" s="105"/>
      <c r="J6" s="105"/>
      <c r="K6" s="102"/>
      <c r="L6" s="102"/>
      <c r="N6" s="174"/>
    </row>
    <row r="7" spans="1:15">
      <c r="E7" s="9"/>
      <c r="F7" s="9"/>
      <c r="G7" s="102"/>
      <c r="H7" s="102"/>
      <c r="I7" s="102"/>
      <c r="J7" s="102"/>
      <c r="K7" s="102"/>
      <c r="L7" s="102"/>
      <c r="M7" s="102"/>
    </row>
    <row r="8" spans="1:15">
      <c r="E8" s="9"/>
      <c r="F8" s="9"/>
      <c r="G8" s="102"/>
      <c r="H8" s="102"/>
      <c r="I8" s="102"/>
      <c r="J8" s="102"/>
      <c r="K8" s="102"/>
      <c r="L8" s="102"/>
      <c r="M8" s="102"/>
    </row>
    <row r="9" spans="1:15">
      <c r="E9" s="8"/>
      <c r="F9" s="9"/>
      <c r="G9" s="102"/>
      <c r="H9" s="102"/>
      <c r="I9" s="102"/>
      <c r="J9" s="102"/>
      <c r="K9" s="102"/>
      <c r="L9" s="102"/>
      <c r="M9" s="21"/>
      <c r="N9" s="214"/>
      <c r="O9" s="130"/>
    </row>
    <row r="10" spans="1:15">
      <c r="E10" s="8"/>
      <c r="F10" s="8"/>
      <c r="G10" s="102"/>
      <c r="H10" s="102"/>
      <c r="I10" s="102"/>
      <c r="J10" s="102"/>
      <c r="K10" s="102"/>
      <c r="L10" s="102"/>
      <c r="M10" s="21"/>
      <c r="N10" s="102"/>
      <c r="O10" s="19"/>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9"/>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c r="B25" s="1"/>
      <c r="C25" s="1"/>
      <c r="D25" s="1"/>
      <c r="E25" s="1"/>
      <c r="F25" s="1"/>
      <c r="G25" s="1"/>
      <c r="H25" s="1"/>
      <c r="I25" s="1"/>
      <c r="J25" s="1"/>
      <c r="K25" s="1"/>
      <c r="L25" s="1"/>
      <c r="M25" s="1"/>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25"/>
  <sheetViews>
    <sheetView showGridLines="0" view="pageBreakPreview" zoomScaleNormal="100" zoomScaleSheetLayoutView="100" workbookViewId="0">
      <pane ySplit="1" topLeftCell="A2" activePane="bottomLeft" state="frozen"/>
      <selection pane="bottomLeft" activeCell="P30" sqref="P30"/>
    </sheetView>
  </sheetViews>
  <sheetFormatPr baseColWidth="10" defaultColWidth="11.42578125" defaultRowHeight="11.25"/>
  <cols>
    <col min="1" max="1" width="8.42578125" style="218" customWidth="1"/>
    <col min="2" max="2" width="12.85546875" style="218" customWidth="1"/>
    <col min="3" max="3" width="10.28515625" style="218" customWidth="1"/>
    <col min="4" max="4" width="8.85546875" style="218" customWidth="1"/>
    <col min="5" max="5" width="8.7109375" style="218" customWidth="1"/>
    <col min="6" max="6" width="8.85546875" style="218" customWidth="1"/>
    <col min="7" max="7" width="13.28515625" style="218" customWidth="1"/>
    <col min="8" max="8" width="8.42578125" style="218" customWidth="1"/>
    <col min="9" max="9" width="9.5703125" style="218" customWidth="1"/>
    <col min="10" max="10" width="8.7109375" style="218" customWidth="1"/>
    <col min="11" max="11" width="8.5703125" style="218" customWidth="1"/>
    <col min="12" max="12" width="9.140625" style="218" customWidth="1"/>
    <col min="13" max="13" width="10.28515625" style="218" customWidth="1"/>
    <col min="14" max="14" width="11.42578125" style="218"/>
    <col min="15" max="15" width="13.5703125" style="218" bestFit="1" customWidth="1"/>
    <col min="16" max="16384" width="11.42578125" style="218"/>
  </cols>
  <sheetData>
    <row r="1" spans="1:14" ht="66" customHeight="1">
      <c r="A1" s="1801"/>
      <c r="B1" s="1801"/>
      <c r="C1" s="1801"/>
      <c r="D1" s="1801"/>
      <c r="E1" s="1801"/>
      <c r="F1" s="1801"/>
      <c r="G1" s="1801"/>
      <c r="H1" s="1801"/>
      <c r="I1" s="1801"/>
      <c r="J1" s="1801"/>
      <c r="K1" s="1801"/>
      <c r="L1" s="1801"/>
      <c r="M1" s="1801"/>
      <c r="N1" s="1801"/>
    </row>
    <row r="2" spans="1:14" ht="3" customHeight="1"/>
    <row r="3" spans="1:14" ht="33.75" customHeight="1">
      <c r="A3" s="574" t="s">
        <v>25</v>
      </c>
      <c r="B3" s="581" t="s">
        <v>497</v>
      </c>
      <c r="C3" s="581" t="s">
        <v>486</v>
      </c>
      <c r="D3" s="581" t="s">
        <v>487</v>
      </c>
      <c r="E3" s="581" t="s">
        <v>488</v>
      </c>
      <c r="F3" s="581" t="s">
        <v>489</v>
      </c>
      <c r="G3" s="594" t="s">
        <v>490</v>
      </c>
      <c r="H3" s="594" t="s">
        <v>491</v>
      </c>
      <c r="I3" s="581" t="s">
        <v>492</v>
      </c>
      <c r="J3" s="581" t="s">
        <v>493</v>
      </c>
      <c r="K3" s="581" t="s">
        <v>494</v>
      </c>
      <c r="L3" s="581" t="s">
        <v>653</v>
      </c>
      <c r="M3" s="582" t="s">
        <v>654</v>
      </c>
    </row>
    <row r="4" spans="1:14" hidden="1">
      <c r="A4" s="583">
        <v>2003</v>
      </c>
      <c r="B4" s="575">
        <f>SUM(C4:D4)</f>
        <v>3693897</v>
      </c>
      <c r="C4" s="576">
        <v>2273368</v>
      </c>
      <c r="D4" s="576">
        <v>1420529</v>
      </c>
      <c r="E4" s="577">
        <f>C4/B4</f>
        <v>0.61543892534090694</v>
      </c>
      <c r="F4" s="577">
        <f>D4/B4</f>
        <v>0.38456107465909312</v>
      </c>
      <c r="G4" s="595">
        <v>576869</v>
      </c>
      <c r="H4" s="596">
        <v>350832</v>
      </c>
      <c r="I4" s="578">
        <v>226037</v>
      </c>
      <c r="J4" s="579">
        <f>H4/G4</f>
        <v>0.60816580540816023</v>
      </c>
      <c r="K4" s="579">
        <f>I4/G4</f>
        <v>0.39183419459183977</v>
      </c>
      <c r="L4" s="580">
        <f>H4/C4</f>
        <v>0.15432257338011268</v>
      </c>
      <c r="M4" s="586">
        <f>I4/D4</f>
        <v>0.15912170747658091</v>
      </c>
    </row>
    <row r="5" spans="1:14" hidden="1">
      <c r="A5" s="583">
        <v>2004</v>
      </c>
      <c r="B5" s="575">
        <f t="shared" ref="B5:B11" si="0">SUM(C5:D5)</f>
        <v>3830703</v>
      </c>
      <c r="C5" s="576">
        <v>2363072</v>
      </c>
      <c r="D5" s="576">
        <v>1467631</v>
      </c>
      <c r="E5" s="577">
        <f t="shared" ref="E5:E13" si="1">C5/B5</f>
        <v>0.61687685001943504</v>
      </c>
      <c r="F5" s="577">
        <f t="shared" ref="F5:F13" si="2">D5/B5</f>
        <v>0.3831231499805649</v>
      </c>
      <c r="G5" s="595">
        <v>593286</v>
      </c>
      <c r="H5" s="596">
        <v>356770</v>
      </c>
      <c r="I5" s="578">
        <v>236516</v>
      </c>
      <c r="J5" s="579">
        <f t="shared" ref="J5:J13" si="3">H5/G5</f>
        <v>0.60134572533314457</v>
      </c>
      <c r="K5" s="579">
        <f t="shared" ref="K5:K13" si="4">I5/G5</f>
        <v>0.39865427466685543</v>
      </c>
      <c r="L5" s="580">
        <f t="shared" ref="L5:M13" si="5">H5/C5</f>
        <v>0.15097720255667199</v>
      </c>
      <c r="M5" s="586">
        <f t="shared" si="5"/>
        <v>0.16115494971147379</v>
      </c>
    </row>
    <row r="6" spans="1:14">
      <c r="A6" s="583">
        <v>2005</v>
      </c>
      <c r="B6" s="575">
        <f t="shared" si="0"/>
        <v>3992338</v>
      </c>
      <c r="C6" s="576">
        <v>2426609</v>
      </c>
      <c r="D6" s="576">
        <v>1565729</v>
      </c>
      <c r="E6" s="577">
        <f t="shared" si="1"/>
        <v>0.60781652254894247</v>
      </c>
      <c r="F6" s="577">
        <f t="shared" si="2"/>
        <v>0.39218347745105753</v>
      </c>
      <c r="G6" s="595">
        <v>626615</v>
      </c>
      <c r="H6" s="596">
        <v>386054</v>
      </c>
      <c r="I6" s="578">
        <v>240561</v>
      </c>
      <c r="J6" s="579">
        <f t="shared" si="3"/>
        <v>0.6160944120392905</v>
      </c>
      <c r="K6" s="579">
        <f t="shared" si="4"/>
        <v>0.3839055879607095</v>
      </c>
      <c r="L6" s="580">
        <f t="shared" si="5"/>
        <v>0.15909196743274256</v>
      </c>
      <c r="M6" s="586">
        <f t="shared" si="5"/>
        <v>0.1536415305586088</v>
      </c>
    </row>
    <row r="7" spans="1:14">
      <c r="A7" s="583">
        <v>2006</v>
      </c>
      <c r="B7" s="575">
        <f t="shared" si="0"/>
        <v>4073427</v>
      </c>
      <c r="C7" s="576">
        <v>2470897</v>
      </c>
      <c r="D7" s="576">
        <v>1602530</v>
      </c>
      <c r="E7" s="577">
        <f t="shared" si="1"/>
        <v>0.60658924291511795</v>
      </c>
      <c r="F7" s="577">
        <f t="shared" si="2"/>
        <v>0.3934107570848821</v>
      </c>
      <c r="G7" s="595">
        <v>808496</v>
      </c>
      <c r="H7" s="596">
        <v>486327</v>
      </c>
      <c r="I7" s="578">
        <v>322169</v>
      </c>
      <c r="J7" s="579">
        <f t="shared" si="3"/>
        <v>0.60152060121509565</v>
      </c>
      <c r="K7" s="579">
        <f t="shared" si="4"/>
        <v>0.39847939878490429</v>
      </c>
      <c r="L7" s="580">
        <f t="shared" si="5"/>
        <v>0.19682204478778353</v>
      </c>
      <c r="M7" s="586">
        <f t="shared" si="5"/>
        <v>0.20103773408298128</v>
      </c>
    </row>
    <row r="8" spans="1:14">
      <c r="A8" s="583">
        <v>2007</v>
      </c>
      <c r="B8" s="575">
        <f t="shared" si="0"/>
        <v>4176861</v>
      </c>
      <c r="C8" s="576">
        <v>2565530</v>
      </c>
      <c r="D8" s="576">
        <v>1611331</v>
      </c>
      <c r="E8" s="577">
        <f t="shared" si="1"/>
        <v>0.61422441397978056</v>
      </c>
      <c r="F8" s="577">
        <f t="shared" si="2"/>
        <v>0.3857755860202195</v>
      </c>
      <c r="G8" s="595">
        <v>913203</v>
      </c>
      <c r="H8" s="596">
        <v>549737</v>
      </c>
      <c r="I8" s="578">
        <v>363466</v>
      </c>
      <c r="J8" s="579">
        <f t="shared" si="3"/>
        <v>0.60198772890584018</v>
      </c>
      <c r="K8" s="579">
        <f t="shared" si="4"/>
        <v>0.39801227109415976</v>
      </c>
      <c r="L8" s="580">
        <f t="shared" si="5"/>
        <v>0.2142781413587056</v>
      </c>
      <c r="M8" s="586">
        <f t="shared" si="5"/>
        <v>0.22556879995481996</v>
      </c>
    </row>
    <row r="9" spans="1:14">
      <c r="A9" s="583">
        <v>2008</v>
      </c>
      <c r="B9" s="575">
        <f t="shared" si="0"/>
        <v>4246171</v>
      </c>
      <c r="C9" s="576">
        <v>2547846</v>
      </c>
      <c r="D9" s="576">
        <v>1698325</v>
      </c>
      <c r="E9" s="577">
        <f t="shared" si="1"/>
        <v>0.60003377160269811</v>
      </c>
      <c r="F9" s="577">
        <f t="shared" si="2"/>
        <v>0.39996622839730195</v>
      </c>
      <c r="G9" s="595">
        <v>929743</v>
      </c>
      <c r="H9" s="596">
        <v>552570</v>
      </c>
      <c r="I9" s="578">
        <v>377173</v>
      </c>
      <c r="J9" s="579">
        <f t="shared" si="3"/>
        <v>0.59432552866759958</v>
      </c>
      <c r="K9" s="579">
        <f t="shared" si="4"/>
        <v>0.40567447133240048</v>
      </c>
      <c r="L9" s="580">
        <f t="shared" si="5"/>
        <v>0.21687731519094952</v>
      </c>
      <c r="M9" s="586">
        <f t="shared" si="5"/>
        <v>0.22208528991800744</v>
      </c>
    </row>
    <row r="10" spans="1:14">
      <c r="A10" s="583">
        <v>2009</v>
      </c>
      <c r="B10" s="575">
        <f t="shared" si="0"/>
        <v>4201485</v>
      </c>
      <c r="C10" s="576">
        <v>2624690</v>
      </c>
      <c r="D10" s="576">
        <v>1576795</v>
      </c>
      <c r="E10" s="577">
        <f t="shared" si="1"/>
        <v>0.62470531252640438</v>
      </c>
      <c r="F10" s="577">
        <f t="shared" si="2"/>
        <v>0.37529468747359562</v>
      </c>
      <c r="G10" s="595">
        <v>1118293</v>
      </c>
      <c r="H10" s="596">
        <v>634008</v>
      </c>
      <c r="I10" s="578">
        <v>484285</v>
      </c>
      <c r="J10" s="579">
        <f t="shared" si="3"/>
        <v>0.56694265277525657</v>
      </c>
      <c r="K10" s="579">
        <f t="shared" si="4"/>
        <v>0.43305734722474343</v>
      </c>
      <c r="L10" s="580">
        <f t="shared" si="5"/>
        <v>0.24155538368340643</v>
      </c>
      <c r="M10" s="586">
        <f t="shared" si="5"/>
        <v>0.30713250612793674</v>
      </c>
    </row>
    <row r="11" spans="1:14">
      <c r="A11" s="583">
        <v>2010</v>
      </c>
      <c r="B11" s="575">
        <f t="shared" si="0"/>
        <v>4368912</v>
      </c>
      <c r="C11" s="576">
        <v>2686681</v>
      </c>
      <c r="D11" s="576">
        <v>1682231</v>
      </c>
      <c r="E11" s="577">
        <f t="shared" si="1"/>
        <v>0.61495424947904653</v>
      </c>
      <c r="F11" s="577">
        <f t="shared" si="2"/>
        <v>0.38504575052095352</v>
      </c>
      <c r="G11" s="595">
        <v>1189601</v>
      </c>
      <c r="H11" s="596">
        <v>675015</v>
      </c>
      <c r="I11" s="578">
        <v>514586</v>
      </c>
      <c r="J11" s="579">
        <f t="shared" si="3"/>
        <v>0.56742975165622755</v>
      </c>
      <c r="K11" s="579">
        <f t="shared" si="4"/>
        <v>0.43257024834377239</v>
      </c>
      <c r="L11" s="580">
        <f t="shared" si="5"/>
        <v>0.25124493752700822</v>
      </c>
      <c r="M11" s="586">
        <f t="shared" si="5"/>
        <v>0.305894969240253</v>
      </c>
    </row>
    <row r="12" spans="1:14">
      <c r="A12" s="584">
        <v>2011</v>
      </c>
      <c r="B12" s="575">
        <f>SUM(C12:D12)</f>
        <v>4601758</v>
      </c>
      <c r="C12" s="576">
        <v>2782416</v>
      </c>
      <c r="D12" s="576">
        <v>1819342</v>
      </c>
      <c r="E12" s="577">
        <f t="shared" si="1"/>
        <v>0.60464196509247115</v>
      </c>
      <c r="F12" s="577">
        <f t="shared" si="2"/>
        <v>0.3953580349075288</v>
      </c>
      <c r="G12" s="595">
        <f>+H12+I12</f>
        <v>1242780</v>
      </c>
      <c r="H12" s="596">
        <v>702422</v>
      </c>
      <c r="I12" s="578">
        <v>540358</v>
      </c>
      <c r="J12" s="579">
        <f t="shared" si="3"/>
        <v>0.56520220795313736</v>
      </c>
      <c r="K12" s="579">
        <f t="shared" si="4"/>
        <v>0.4347977920468627</v>
      </c>
      <c r="L12" s="580">
        <f t="shared" si="5"/>
        <v>0.25245038843939943</v>
      </c>
      <c r="M12" s="586">
        <f t="shared" si="5"/>
        <v>0.29700737959108292</v>
      </c>
    </row>
    <row r="13" spans="1:14">
      <c r="A13" s="584">
        <v>2012</v>
      </c>
      <c r="B13" s="575">
        <f>SUM(C13:D13)</f>
        <v>4689622</v>
      </c>
      <c r="C13" s="576">
        <v>2791393</v>
      </c>
      <c r="D13" s="576">
        <v>1898229</v>
      </c>
      <c r="E13" s="577">
        <f t="shared" si="1"/>
        <v>0.59522771771370908</v>
      </c>
      <c r="F13" s="577">
        <f t="shared" si="2"/>
        <v>0.40477228228629086</v>
      </c>
      <c r="G13" s="595">
        <f>+H13+I13</f>
        <v>1291137</v>
      </c>
      <c r="H13" s="596">
        <v>726141</v>
      </c>
      <c r="I13" s="578">
        <v>564996</v>
      </c>
      <c r="J13" s="579">
        <f t="shared" si="3"/>
        <v>0.56240429946628434</v>
      </c>
      <c r="K13" s="579">
        <f t="shared" si="4"/>
        <v>0.43759570053371566</v>
      </c>
      <c r="L13" s="580">
        <f t="shared" si="5"/>
        <v>0.26013571002005093</v>
      </c>
      <c r="M13" s="586">
        <f t="shared" si="5"/>
        <v>0.29764375109641672</v>
      </c>
    </row>
    <row r="14" spans="1:14">
      <c r="A14" s="584">
        <v>2013</v>
      </c>
      <c r="B14" s="575">
        <f>SUM(C14:D14)</f>
        <v>4728655</v>
      </c>
      <c r="C14" s="576">
        <v>2845650</v>
      </c>
      <c r="D14" s="576">
        <v>1883005</v>
      </c>
      <c r="E14" s="577">
        <f>C14/B14</f>
        <v>0.60178845781728629</v>
      </c>
      <c r="F14" s="577">
        <f>D14/B14</f>
        <v>0.39821154218271371</v>
      </c>
      <c r="G14" s="595">
        <f>+H14+I14</f>
        <v>1376966</v>
      </c>
      <c r="H14" s="596">
        <v>770060</v>
      </c>
      <c r="I14" s="578">
        <v>606906</v>
      </c>
      <c r="J14" s="579">
        <f>H14/G14</f>
        <v>0.55924401909705834</v>
      </c>
      <c r="K14" s="579">
        <f>I14/G14</f>
        <v>0.44075598090294166</v>
      </c>
      <c r="L14" s="580">
        <f>H14/C14</f>
        <v>0.27060952682164002</v>
      </c>
      <c r="M14" s="586">
        <f>I14/D14</f>
        <v>0.3223071632842186</v>
      </c>
      <c r="N14" s="573"/>
    </row>
    <row r="15" spans="1:14">
      <c r="A15" s="584">
        <v>2014</v>
      </c>
      <c r="B15" s="575">
        <v>4486359</v>
      </c>
      <c r="C15" s="576">
        <v>2802258</v>
      </c>
      <c r="D15" s="576">
        <v>1684101</v>
      </c>
      <c r="E15" s="577">
        <v>0.6246174236167904</v>
      </c>
      <c r="F15" s="577">
        <v>0.37538257638320965</v>
      </c>
      <c r="G15" s="595">
        <v>1508392</v>
      </c>
      <c r="H15" s="596">
        <v>835620</v>
      </c>
      <c r="I15" s="578">
        <v>672772</v>
      </c>
      <c r="J15" s="579">
        <v>0.55398066285156644</v>
      </c>
      <c r="K15" s="579">
        <v>0.44601933714843356</v>
      </c>
      <c r="L15" s="580">
        <v>0.29819524112340834</v>
      </c>
      <c r="M15" s="586">
        <v>0.39948435396689391</v>
      </c>
      <c r="N15" s="573"/>
    </row>
    <row r="16" spans="1:14">
      <c r="A16" s="585" t="s">
        <v>655</v>
      </c>
      <c r="B16" s="587">
        <f>SUM(C16:D16)</f>
        <v>4486359</v>
      </c>
      <c r="C16" s="588">
        <v>2802258</v>
      </c>
      <c r="D16" s="588">
        <v>1684101</v>
      </c>
      <c r="E16" s="589">
        <f>C16/B16</f>
        <v>0.6246174236167904</v>
      </c>
      <c r="F16" s="589">
        <f>D16/B16</f>
        <v>0.37538257638320965</v>
      </c>
      <c r="G16" s="597">
        <f>+H16+I16</f>
        <v>1423196</v>
      </c>
      <c r="H16" s="598">
        <v>790179</v>
      </c>
      <c r="I16" s="590">
        <v>633017</v>
      </c>
      <c r="J16" s="591">
        <f>H16/G16</f>
        <v>0.55521446097375204</v>
      </c>
      <c r="K16" s="591">
        <f>I16/G16</f>
        <v>0.44478553902624796</v>
      </c>
      <c r="L16" s="592">
        <f>H16/C16</f>
        <v>0.28197938947805662</v>
      </c>
      <c r="M16" s="593">
        <f>I16/D16</f>
        <v>0.3758782875848895</v>
      </c>
      <c r="N16" s="573"/>
    </row>
    <row r="17" spans="1:14">
      <c r="A17" s="218" t="s">
        <v>903</v>
      </c>
    </row>
    <row r="19" spans="1:14">
      <c r="N19" s="218" t="s">
        <v>220</v>
      </c>
    </row>
    <row r="25" spans="1:14">
      <c r="A25" s="219"/>
      <c r="B25" s="219">
        <f>AVERAGE(F4:F12)</f>
        <v>0.38830208294391078</v>
      </c>
    </row>
  </sheetData>
  <mergeCells count="1">
    <mergeCell ref="A1:N1"/>
  </mergeCells>
  <pageMargins left="0.7" right="0.7" top="0.75" bottom="0.75" header="0.3" footer="0.3"/>
  <pageSetup scale="85" orientation="landscape"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C19"/>
  <sheetViews>
    <sheetView showGridLines="0" view="pageBreakPreview" zoomScale="85" zoomScaleNormal="70" zoomScaleSheetLayoutView="85" workbookViewId="0">
      <pane ySplit="1" topLeftCell="A2" activePane="bottomLeft" state="frozen"/>
      <selection pane="bottomLeft" activeCell="O61" sqref="O61"/>
    </sheetView>
  </sheetViews>
  <sheetFormatPr baseColWidth="10" defaultColWidth="11.42578125" defaultRowHeight="15"/>
  <cols>
    <col min="1" max="1" width="11.42578125" style="84"/>
    <col min="2" max="2" width="13.28515625" style="84" customWidth="1"/>
    <col min="3" max="3" width="12.42578125" style="84" customWidth="1"/>
    <col min="4" max="4" width="0" style="84" hidden="1" customWidth="1"/>
    <col min="5" max="5" width="17.140625" style="84" customWidth="1"/>
    <col min="6" max="6" width="12.5703125" style="84" customWidth="1"/>
    <col min="7" max="7" width="11.42578125" style="84"/>
    <col min="8" max="8" width="0" style="84" hidden="1" customWidth="1"/>
    <col min="9" max="9" width="16.140625" style="84" customWidth="1"/>
    <col min="10" max="47" width="11.42578125" style="84"/>
    <col min="48" max="49" width="11.42578125" style="1735"/>
    <col min="50" max="50" width="20.42578125" style="1735" bestFit="1" customWidth="1"/>
    <col min="51" max="51" width="21.85546875" style="1735" bestFit="1" customWidth="1"/>
    <col min="52" max="52" width="19.7109375" style="1735" bestFit="1" customWidth="1"/>
    <col min="53" max="53" width="21" style="1735" bestFit="1" customWidth="1"/>
    <col min="54" max="54" width="10.42578125" style="1735" customWidth="1"/>
    <col min="55" max="16384" width="11.42578125" style="84"/>
  </cols>
  <sheetData>
    <row r="1" spans="1:55" ht="67.5" customHeight="1">
      <c r="A1" s="1792"/>
      <c r="B1" s="1792"/>
      <c r="C1" s="1792"/>
      <c r="D1" s="1792"/>
      <c r="E1" s="1792"/>
      <c r="F1" s="1792"/>
      <c r="G1" s="1792"/>
      <c r="H1" s="1792"/>
      <c r="I1" s="1792"/>
      <c r="J1" s="1792"/>
      <c r="K1" s="1792"/>
      <c r="L1" s="1792"/>
      <c r="M1" s="1792"/>
      <c r="N1" s="1792"/>
      <c r="O1" s="1792"/>
      <c r="P1" s="1717"/>
      <c r="Q1" s="1717"/>
      <c r="R1" s="1717"/>
      <c r="S1" s="1717"/>
      <c r="T1" s="1717"/>
      <c r="U1" s="1717"/>
      <c r="V1" s="1717"/>
      <c r="W1" s="1717"/>
      <c r="X1" s="1717"/>
      <c r="Y1" s="1717"/>
      <c r="Z1" s="1717"/>
      <c r="AA1" s="1717"/>
      <c r="AB1" s="1717"/>
      <c r="AC1" s="1717"/>
      <c r="AD1" s="1717"/>
      <c r="AE1" s="1717"/>
      <c r="AF1" s="1717"/>
      <c r="AG1" s="1717"/>
      <c r="AH1" s="1717"/>
      <c r="AI1" s="1717"/>
      <c r="AJ1" s="1717"/>
      <c r="AK1" s="1717"/>
      <c r="AL1" s="1717"/>
      <c r="AM1" s="1717"/>
      <c r="AN1" s="1717"/>
      <c r="AO1" s="1717"/>
      <c r="AP1" s="1717"/>
      <c r="AQ1" s="1717"/>
      <c r="AR1" s="1717"/>
      <c r="AS1" s="1717"/>
      <c r="AT1" s="1717"/>
    </row>
    <row r="2" spans="1:55" ht="3" customHeight="1"/>
    <row r="3" spans="1:55" ht="8.25" customHeight="1"/>
    <row r="4" spans="1:55" ht="16.5" customHeight="1">
      <c r="A4" s="1802" t="s">
        <v>154</v>
      </c>
      <c r="B4" s="1804" t="s">
        <v>543</v>
      </c>
      <c r="C4" s="1805"/>
      <c r="D4" s="1805"/>
      <c r="E4" s="1806"/>
      <c r="F4" s="1805" t="s">
        <v>46</v>
      </c>
      <c r="G4" s="1805"/>
      <c r="H4" s="1805"/>
      <c r="I4" s="1806"/>
      <c r="AY4" s="1735">
        <f>+-1</f>
        <v>-1</v>
      </c>
    </row>
    <row r="5" spans="1:55">
      <c r="A5" s="1803"/>
      <c r="B5" s="610" t="s">
        <v>50</v>
      </c>
      <c r="C5" s="606" t="s">
        <v>51</v>
      </c>
      <c r="D5" s="606" t="s">
        <v>103</v>
      </c>
      <c r="E5" s="607" t="s">
        <v>23</v>
      </c>
      <c r="F5" s="606" t="s">
        <v>50</v>
      </c>
      <c r="G5" s="606" t="s">
        <v>51</v>
      </c>
      <c r="H5" s="606" t="s">
        <v>51</v>
      </c>
      <c r="I5" s="607" t="s">
        <v>23</v>
      </c>
    </row>
    <row r="6" spans="1:55" hidden="1">
      <c r="A6" s="608">
        <v>37986</v>
      </c>
      <c r="B6" s="611">
        <v>568158</v>
      </c>
      <c r="C6" s="600">
        <v>418380</v>
      </c>
      <c r="D6" s="601">
        <v>986538</v>
      </c>
      <c r="E6" s="602">
        <f>+C6+B6</f>
        <v>986538</v>
      </c>
      <c r="F6" s="600">
        <v>350832</v>
      </c>
      <c r="G6" s="600">
        <v>226037</v>
      </c>
      <c r="H6" s="600">
        <v>226037</v>
      </c>
      <c r="I6" s="602">
        <f>+G6+F6</f>
        <v>576869</v>
      </c>
      <c r="J6" s="19"/>
      <c r="K6" s="19"/>
      <c r="AW6" s="1736" t="s">
        <v>154</v>
      </c>
      <c r="AX6" s="1733" t="s">
        <v>548</v>
      </c>
      <c r="AY6" s="1733" t="s">
        <v>550</v>
      </c>
      <c r="AZ6" s="1733" t="s">
        <v>551</v>
      </c>
      <c r="BA6" s="1733" t="s">
        <v>549</v>
      </c>
      <c r="BB6" s="1733"/>
      <c r="BC6" s="599"/>
    </row>
    <row r="7" spans="1:55" hidden="1">
      <c r="A7" s="608">
        <v>38352</v>
      </c>
      <c r="B7" s="611">
        <v>685676</v>
      </c>
      <c r="C7" s="600">
        <v>504526</v>
      </c>
      <c r="D7" s="601">
        <v>1190202</v>
      </c>
      <c r="E7" s="602">
        <f t="shared" ref="E7:E16" si="0">+C7+B7</f>
        <v>1190202</v>
      </c>
      <c r="F7" s="600">
        <v>356770</v>
      </c>
      <c r="G7" s="600">
        <v>236516</v>
      </c>
      <c r="H7" s="600">
        <v>236516</v>
      </c>
      <c r="I7" s="602">
        <f t="shared" ref="I7:I16" si="1">+G7+F7</f>
        <v>593286</v>
      </c>
      <c r="J7" s="19"/>
      <c r="K7" s="19"/>
      <c r="AW7" s="1737" t="s">
        <v>545</v>
      </c>
      <c r="AX7" s="1738">
        <f t="shared" ref="AX7:AX16" si="2">+B6</f>
        <v>568158</v>
      </c>
      <c r="AY7" s="1738">
        <f t="shared" ref="AY7:AY17" si="3">+F6</f>
        <v>350832</v>
      </c>
      <c r="AZ7" s="1739">
        <f t="shared" ref="AZ7:AZ17" si="4">+C6*$AY$4</f>
        <v>-418380</v>
      </c>
      <c r="BA7" s="1739">
        <f t="shared" ref="BA7:BA17" si="5">+$AY$4*G6</f>
        <v>-226037</v>
      </c>
      <c r="BB7" s="1734"/>
      <c r="BC7" s="100"/>
    </row>
    <row r="8" spans="1:55" ht="16.5" customHeight="1">
      <c r="A8" s="608">
        <v>38717</v>
      </c>
      <c r="B8" s="611">
        <v>828566</v>
      </c>
      <c r="C8" s="600">
        <v>600955</v>
      </c>
      <c r="D8" s="601">
        <v>1429521</v>
      </c>
      <c r="E8" s="602">
        <f t="shared" si="0"/>
        <v>1429521</v>
      </c>
      <c r="F8" s="600">
        <v>386054</v>
      </c>
      <c r="G8" s="600">
        <v>240561</v>
      </c>
      <c r="H8" s="600">
        <v>240561</v>
      </c>
      <c r="I8" s="602">
        <f t="shared" si="1"/>
        <v>626615</v>
      </c>
      <c r="J8" s="19"/>
      <c r="K8" s="19"/>
      <c r="AU8" s="289"/>
      <c r="AW8" s="1737" t="s">
        <v>546</v>
      </c>
      <c r="AX8" s="1738">
        <f t="shared" si="2"/>
        <v>685676</v>
      </c>
      <c r="AY8" s="1738">
        <f t="shared" si="3"/>
        <v>356770</v>
      </c>
      <c r="AZ8" s="1739">
        <f t="shared" si="4"/>
        <v>-504526</v>
      </c>
      <c r="BA8" s="1739">
        <f t="shared" si="5"/>
        <v>-236516</v>
      </c>
      <c r="BB8" s="1734"/>
      <c r="BC8" s="100"/>
    </row>
    <row r="9" spans="1:55">
      <c r="A9" s="608">
        <v>39082</v>
      </c>
      <c r="B9" s="611">
        <v>930043</v>
      </c>
      <c r="C9" s="600">
        <v>658578</v>
      </c>
      <c r="D9" s="601">
        <f t="shared" ref="D9:D16" si="6">B9+C9</f>
        <v>1588621</v>
      </c>
      <c r="E9" s="602">
        <f t="shared" si="0"/>
        <v>1588621</v>
      </c>
      <c r="F9" s="600">
        <v>486327</v>
      </c>
      <c r="G9" s="600">
        <v>322169</v>
      </c>
      <c r="H9" s="600">
        <v>322169</v>
      </c>
      <c r="I9" s="602">
        <f t="shared" si="1"/>
        <v>808496</v>
      </c>
      <c r="J9" s="19"/>
      <c r="K9" s="19"/>
      <c r="AU9" s="289"/>
      <c r="AW9" s="1737" t="s">
        <v>547</v>
      </c>
      <c r="AX9" s="1738">
        <f t="shared" si="2"/>
        <v>828566</v>
      </c>
      <c r="AY9" s="1738">
        <f t="shared" si="3"/>
        <v>386054</v>
      </c>
      <c r="AZ9" s="1739">
        <f t="shared" si="4"/>
        <v>-600955</v>
      </c>
      <c r="BA9" s="1739">
        <f t="shared" si="5"/>
        <v>-240561</v>
      </c>
      <c r="BB9" s="1734"/>
      <c r="BC9" s="100"/>
    </row>
    <row r="10" spans="1:55">
      <c r="A10" s="608">
        <v>39417</v>
      </c>
      <c r="B10" s="611">
        <v>1055907</v>
      </c>
      <c r="C10" s="600">
        <v>741120</v>
      </c>
      <c r="D10" s="601">
        <f t="shared" si="6"/>
        <v>1797027</v>
      </c>
      <c r="E10" s="602">
        <f t="shared" si="0"/>
        <v>1797027</v>
      </c>
      <c r="F10" s="600">
        <v>549737</v>
      </c>
      <c r="G10" s="600">
        <v>363466</v>
      </c>
      <c r="H10" s="600">
        <v>363466</v>
      </c>
      <c r="I10" s="602">
        <f t="shared" si="1"/>
        <v>913203</v>
      </c>
      <c r="J10" s="19"/>
      <c r="K10" s="19"/>
      <c r="L10" s="154"/>
      <c r="AU10" s="289"/>
      <c r="AW10" s="1737" t="s">
        <v>533</v>
      </c>
      <c r="AX10" s="1738">
        <f t="shared" si="2"/>
        <v>930043</v>
      </c>
      <c r="AY10" s="1738">
        <f t="shared" si="3"/>
        <v>486327</v>
      </c>
      <c r="AZ10" s="1739">
        <f t="shared" si="4"/>
        <v>-658578</v>
      </c>
      <c r="BA10" s="1739">
        <f t="shared" si="5"/>
        <v>-322169</v>
      </c>
      <c r="BB10" s="1734"/>
      <c r="BC10" s="100"/>
    </row>
    <row r="11" spans="1:55">
      <c r="A11" s="608">
        <v>39783</v>
      </c>
      <c r="B11" s="611">
        <v>1165631</v>
      </c>
      <c r="C11" s="600">
        <v>818089</v>
      </c>
      <c r="D11" s="601">
        <f t="shared" si="6"/>
        <v>1983720</v>
      </c>
      <c r="E11" s="602">
        <f t="shared" si="0"/>
        <v>1983720</v>
      </c>
      <c r="F11" s="600">
        <v>552570</v>
      </c>
      <c r="G11" s="600">
        <v>377173</v>
      </c>
      <c r="H11" s="600">
        <v>377173</v>
      </c>
      <c r="I11" s="602">
        <f t="shared" si="1"/>
        <v>929743</v>
      </c>
      <c r="J11" s="19"/>
      <c r="K11" s="19"/>
      <c r="L11" s="222"/>
      <c r="M11" s="84" t="s">
        <v>33</v>
      </c>
      <c r="AU11" s="289"/>
      <c r="AW11" s="1737" t="s">
        <v>530</v>
      </c>
      <c r="AX11" s="1738">
        <f t="shared" si="2"/>
        <v>1055907</v>
      </c>
      <c r="AY11" s="1738">
        <f t="shared" si="3"/>
        <v>549737</v>
      </c>
      <c r="AZ11" s="1739">
        <f t="shared" si="4"/>
        <v>-741120</v>
      </c>
      <c r="BA11" s="1739">
        <f t="shared" si="5"/>
        <v>-363466</v>
      </c>
      <c r="BB11" s="1734"/>
      <c r="BC11" s="100"/>
    </row>
    <row r="12" spans="1:55">
      <c r="A12" s="608">
        <v>40148</v>
      </c>
      <c r="B12" s="611">
        <v>1281904</v>
      </c>
      <c r="C12" s="600">
        <v>911986</v>
      </c>
      <c r="D12" s="601">
        <f t="shared" si="6"/>
        <v>2193890</v>
      </c>
      <c r="E12" s="602">
        <f t="shared" si="0"/>
        <v>2193890</v>
      </c>
      <c r="F12" s="600">
        <v>634008</v>
      </c>
      <c r="G12" s="600">
        <v>484285</v>
      </c>
      <c r="H12" s="600">
        <v>484285</v>
      </c>
      <c r="I12" s="602">
        <f t="shared" si="1"/>
        <v>1118293</v>
      </c>
      <c r="J12" s="19"/>
      <c r="K12" s="19"/>
      <c r="AW12" s="1737" t="s">
        <v>500</v>
      </c>
      <c r="AX12" s="1738">
        <f t="shared" si="2"/>
        <v>1165631</v>
      </c>
      <c r="AY12" s="1738">
        <f t="shared" si="3"/>
        <v>552570</v>
      </c>
      <c r="AZ12" s="1739">
        <f t="shared" si="4"/>
        <v>-818089</v>
      </c>
      <c r="BA12" s="1739">
        <f t="shared" si="5"/>
        <v>-377173</v>
      </c>
      <c r="BB12" s="1734"/>
      <c r="BC12" s="100"/>
    </row>
    <row r="13" spans="1:55">
      <c r="A13" s="608">
        <v>40513</v>
      </c>
      <c r="B13" s="611">
        <v>1383536</v>
      </c>
      <c r="C13" s="600">
        <v>991247</v>
      </c>
      <c r="D13" s="601">
        <f t="shared" si="6"/>
        <v>2374783</v>
      </c>
      <c r="E13" s="602">
        <f t="shared" si="0"/>
        <v>2374783</v>
      </c>
      <c r="F13" s="600">
        <v>675015</v>
      </c>
      <c r="G13" s="600">
        <v>514586</v>
      </c>
      <c r="H13" s="600">
        <v>514586</v>
      </c>
      <c r="I13" s="602">
        <f t="shared" si="1"/>
        <v>1189601</v>
      </c>
      <c r="J13" s="19"/>
      <c r="K13" s="19"/>
      <c r="AW13" s="1737" t="s">
        <v>439</v>
      </c>
      <c r="AX13" s="1738">
        <f t="shared" si="2"/>
        <v>1281904</v>
      </c>
      <c r="AY13" s="1738">
        <f t="shared" si="3"/>
        <v>634008</v>
      </c>
      <c r="AZ13" s="1739">
        <f t="shared" si="4"/>
        <v>-911986</v>
      </c>
      <c r="BA13" s="1739">
        <f t="shared" si="5"/>
        <v>-484285</v>
      </c>
      <c r="BB13" s="1734"/>
      <c r="BC13" s="100"/>
    </row>
    <row r="14" spans="1:55">
      <c r="A14" s="608">
        <v>40878</v>
      </c>
      <c r="B14" s="611">
        <v>1480731</v>
      </c>
      <c r="C14" s="600">
        <v>1072243</v>
      </c>
      <c r="D14" s="601">
        <f t="shared" si="6"/>
        <v>2552974</v>
      </c>
      <c r="E14" s="602">
        <f t="shared" si="0"/>
        <v>2552974</v>
      </c>
      <c r="F14" s="600">
        <v>702422</v>
      </c>
      <c r="G14" s="600">
        <v>540358</v>
      </c>
      <c r="H14" s="600">
        <v>540358</v>
      </c>
      <c r="I14" s="602">
        <f t="shared" si="1"/>
        <v>1242780</v>
      </c>
      <c r="J14" s="19"/>
      <c r="K14" s="19"/>
      <c r="AW14" s="1737" t="s">
        <v>440</v>
      </c>
      <c r="AX14" s="1738">
        <f t="shared" si="2"/>
        <v>1383536</v>
      </c>
      <c r="AY14" s="1738">
        <f t="shared" si="3"/>
        <v>675015</v>
      </c>
      <c r="AZ14" s="1739">
        <f t="shared" si="4"/>
        <v>-991247</v>
      </c>
      <c r="BA14" s="1739">
        <f t="shared" si="5"/>
        <v>-514586</v>
      </c>
      <c r="BB14" s="1734"/>
      <c r="BC14" s="100"/>
    </row>
    <row r="15" spans="1:55">
      <c r="A15" s="608">
        <v>41244</v>
      </c>
      <c r="B15" s="611">
        <v>1570504</v>
      </c>
      <c r="C15" s="600">
        <v>1143945</v>
      </c>
      <c r="D15" s="601">
        <f t="shared" si="6"/>
        <v>2714449</v>
      </c>
      <c r="E15" s="602">
        <f t="shared" si="0"/>
        <v>2714449</v>
      </c>
      <c r="F15" s="600">
        <v>726141</v>
      </c>
      <c r="G15" s="600">
        <v>564996</v>
      </c>
      <c r="H15" s="600">
        <v>564996</v>
      </c>
      <c r="I15" s="602">
        <f t="shared" si="1"/>
        <v>1291137</v>
      </c>
      <c r="J15" s="19"/>
      <c r="K15" s="19"/>
      <c r="AW15" s="1737" t="s">
        <v>441</v>
      </c>
      <c r="AX15" s="1738">
        <f t="shared" si="2"/>
        <v>1480731</v>
      </c>
      <c r="AY15" s="1738">
        <f t="shared" si="3"/>
        <v>702422</v>
      </c>
      <c r="AZ15" s="1739">
        <f t="shared" si="4"/>
        <v>-1072243</v>
      </c>
      <c r="BA15" s="1739">
        <f t="shared" si="5"/>
        <v>-540358</v>
      </c>
      <c r="BB15" s="1734"/>
      <c r="BC15" s="100"/>
    </row>
    <row r="16" spans="1:55">
      <c r="A16" s="608">
        <v>41609</v>
      </c>
      <c r="B16" s="611">
        <v>1661097</v>
      </c>
      <c r="C16" s="600">
        <v>1220033</v>
      </c>
      <c r="D16" s="601">
        <f t="shared" si="6"/>
        <v>2881130</v>
      </c>
      <c r="E16" s="602">
        <f t="shared" si="0"/>
        <v>2881130</v>
      </c>
      <c r="F16" s="600">
        <v>770060</v>
      </c>
      <c r="G16" s="600">
        <v>606906</v>
      </c>
      <c r="H16" s="600">
        <v>542857</v>
      </c>
      <c r="I16" s="602">
        <f t="shared" si="1"/>
        <v>1376966</v>
      </c>
      <c r="J16" s="19"/>
      <c r="K16" s="19"/>
      <c r="AW16" s="1737" t="s">
        <v>501</v>
      </c>
      <c r="AX16" s="1738">
        <f t="shared" si="2"/>
        <v>1570504</v>
      </c>
      <c r="AY16" s="1738">
        <f t="shared" si="3"/>
        <v>726141</v>
      </c>
      <c r="AZ16" s="1739">
        <f t="shared" si="4"/>
        <v>-1143945</v>
      </c>
      <c r="BA16" s="1739">
        <f t="shared" si="5"/>
        <v>-564996</v>
      </c>
      <c r="BB16" s="1734"/>
      <c r="BC16" s="100"/>
    </row>
    <row r="17" spans="1:55">
      <c r="A17" s="608">
        <v>41974</v>
      </c>
      <c r="B17" s="611">
        <v>1759926</v>
      </c>
      <c r="C17" s="600">
        <v>1309974</v>
      </c>
      <c r="D17" s="601">
        <f>B17+C17</f>
        <v>3069900</v>
      </c>
      <c r="E17" s="602">
        <f>+C17+B17</f>
        <v>3069900</v>
      </c>
      <c r="F17" s="600">
        <v>835620</v>
      </c>
      <c r="G17" s="600">
        <v>672772</v>
      </c>
      <c r="H17" s="600">
        <v>542857</v>
      </c>
      <c r="I17" s="602">
        <f>+G17+F17</f>
        <v>1508392</v>
      </c>
      <c r="AW17" s="1737" t="s">
        <v>570</v>
      </c>
      <c r="AX17" s="1738">
        <f>+B16</f>
        <v>1661097</v>
      </c>
      <c r="AY17" s="1738">
        <f t="shared" si="3"/>
        <v>770060</v>
      </c>
      <c r="AZ17" s="1739">
        <f t="shared" si="4"/>
        <v>-1220033</v>
      </c>
      <c r="BA17" s="1739">
        <f t="shared" si="5"/>
        <v>-606906</v>
      </c>
      <c r="BB17" s="1734"/>
      <c r="BC17" s="100"/>
    </row>
    <row r="18" spans="1:55">
      <c r="A18" s="609">
        <v>42005</v>
      </c>
      <c r="B18" s="612">
        <v>1766896</v>
      </c>
      <c r="C18" s="603">
        <v>1315813</v>
      </c>
      <c r="D18" s="604">
        <f>B18+C18</f>
        <v>3082709</v>
      </c>
      <c r="E18" s="605">
        <f>+C18+B18</f>
        <v>3082709</v>
      </c>
      <c r="F18" s="603">
        <v>790179</v>
      </c>
      <c r="G18" s="603">
        <v>633017</v>
      </c>
      <c r="H18" s="603">
        <v>542857</v>
      </c>
      <c r="I18" s="605">
        <f>+G18+F18</f>
        <v>1423196</v>
      </c>
      <c r="AW18" s="1737" t="s">
        <v>635</v>
      </c>
      <c r="AX18" s="1738">
        <f>+B17</f>
        <v>1759926</v>
      </c>
      <c r="AY18" s="1738">
        <f>+F17</f>
        <v>835620</v>
      </c>
      <c r="AZ18" s="1739">
        <f>+C17*$AY$4</f>
        <v>-1309974</v>
      </c>
      <c r="BA18" s="1739">
        <f>+$AY$4*G17</f>
        <v>-672772</v>
      </c>
    </row>
    <row r="19" spans="1:55">
      <c r="AW19" s="1737" t="s">
        <v>636</v>
      </c>
      <c r="AX19" s="1738">
        <f>+B18</f>
        <v>1766896</v>
      </c>
      <c r="AY19" s="1738">
        <f>+F18</f>
        <v>790179</v>
      </c>
      <c r="AZ19" s="1739">
        <f>+C18*$AY$4</f>
        <v>-1315813</v>
      </c>
      <c r="BA19" s="1739">
        <f>+$AY$4*G18</f>
        <v>-633017</v>
      </c>
    </row>
  </sheetData>
  <mergeCells count="4">
    <mergeCell ref="A1:O1"/>
    <mergeCell ref="A4:A5"/>
    <mergeCell ref="B4:E4"/>
    <mergeCell ref="F4:I4"/>
  </mergeCells>
  <pageMargins left="0.7" right="0.7" top="0.75" bottom="0.75" header="0.3" footer="0.3"/>
  <pageSetup scale="7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R7" sqref="R7:T29"/>
    </sheetView>
  </sheetViews>
  <sheetFormatPr baseColWidth="10" defaultColWidth="11.42578125" defaultRowHeight="15"/>
  <cols>
    <col min="1" max="1" width="17.5703125" style="84" customWidth="1"/>
    <col min="2" max="2" width="17.7109375" style="84" customWidth="1"/>
    <col min="3" max="3" width="17.85546875" style="84" customWidth="1"/>
    <col min="4" max="4" width="10.28515625" style="84" customWidth="1"/>
    <col min="5" max="5" width="17.5703125" style="84" customWidth="1"/>
    <col min="6" max="6" width="10.42578125" style="84" customWidth="1"/>
    <col min="7" max="7" width="11.7109375" style="84" customWidth="1"/>
    <col min="8" max="8" width="10.42578125" style="84" customWidth="1"/>
    <col min="9" max="9" width="16.140625" style="84" customWidth="1"/>
    <col min="10" max="10" width="11.140625" style="84" customWidth="1"/>
    <col min="11" max="11" width="12.5703125" style="84" customWidth="1"/>
    <col min="12" max="12" width="11.140625" style="84" customWidth="1"/>
    <col min="13" max="13" width="16.42578125" style="84" customWidth="1"/>
    <col min="14" max="14" width="12" style="84" customWidth="1"/>
    <col min="15" max="15" width="22" style="84" customWidth="1"/>
    <col min="16" max="16" width="27.7109375" style="84" customWidth="1"/>
    <col min="17" max="17" width="16.7109375" style="84" customWidth="1"/>
    <col min="18" max="18" width="15.28515625" style="84" customWidth="1"/>
    <col min="19" max="19" width="12.5703125" style="84" bestFit="1" customWidth="1"/>
    <col min="20" max="20" width="11.42578125" style="84"/>
    <col min="21" max="21" width="15.42578125" style="84" bestFit="1" customWidth="1"/>
    <col min="22" max="16384" width="11.42578125" style="84"/>
  </cols>
  <sheetData>
    <row r="1" spans="1:19" ht="111" customHeight="1">
      <c r="A1" s="1807"/>
      <c r="B1" s="1807"/>
      <c r="C1" s="1807"/>
      <c r="D1" s="1807"/>
      <c r="E1" s="1807"/>
      <c r="F1" s="1807"/>
      <c r="G1" s="1807"/>
      <c r="H1" s="1807"/>
      <c r="I1" s="1807"/>
      <c r="J1" s="1807"/>
      <c r="K1" s="1807"/>
      <c r="L1" s="1807"/>
      <c r="M1" s="1807"/>
      <c r="N1" s="1807"/>
      <c r="O1" s="1807"/>
      <c r="P1" s="1807"/>
      <c r="Q1" s="1807"/>
    </row>
    <row r="2" spans="1:19" ht="4.5" customHeight="1">
      <c r="A2" s="55"/>
      <c r="B2" s="55"/>
      <c r="C2" s="55"/>
      <c r="D2" s="55"/>
      <c r="E2" s="55"/>
      <c r="F2" s="55"/>
      <c r="G2" s="55"/>
      <c r="H2" s="55"/>
      <c r="I2" s="55"/>
      <c r="J2" s="55"/>
      <c r="K2" s="55"/>
      <c r="L2" s="55"/>
      <c r="M2" s="55"/>
      <c r="N2" s="55"/>
      <c r="O2" s="55"/>
      <c r="P2" s="55"/>
      <c r="Q2" s="55"/>
      <c r="R2" s="55"/>
      <c r="S2" s="55"/>
    </row>
    <row r="3" spans="1:19" s="44" customFormat="1" ht="22.5" customHeight="1">
      <c r="A3" s="1808" t="s">
        <v>656</v>
      </c>
      <c r="B3" s="1808"/>
      <c r="C3" s="84"/>
      <c r="D3" s="84"/>
      <c r="E3" s="84"/>
      <c r="F3" s="55"/>
      <c r="G3" s="55"/>
      <c r="H3" s="55"/>
      <c r="I3" s="55"/>
      <c r="J3" s="55"/>
      <c r="K3" s="55"/>
      <c r="L3" s="55"/>
      <c r="M3" s="55"/>
      <c r="N3" s="55"/>
      <c r="O3" s="55"/>
      <c r="P3" s="55"/>
      <c r="Q3" s="55"/>
      <c r="R3" s="55"/>
      <c r="S3" s="55"/>
    </row>
    <row r="4" spans="1:19" s="44" customFormat="1" ht="23.25" customHeight="1">
      <c r="A4" s="430" t="s">
        <v>194</v>
      </c>
      <c r="B4" s="1399" t="s">
        <v>195</v>
      </c>
      <c r="C4" s="84"/>
      <c r="D4" s="84"/>
      <c r="E4" s="84"/>
      <c r="F4" s="141"/>
      <c r="G4" s="59"/>
      <c r="H4" s="84"/>
      <c r="I4" s="104"/>
      <c r="J4" s="104"/>
      <c r="K4" s="104"/>
      <c r="L4" s="104"/>
      <c r="M4" s="84"/>
      <c r="N4" s="84"/>
      <c r="O4" s="84"/>
      <c r="P4" s="84"/>
      <c r="Q4" s="84"/>
      <c r="R4" s="122"/>
    </row>
    <row r="5" spans="1:19" s="44" customFormat="1" ht="21">
      <c r="A5" s="1620">
        <v>2004</v>
      </c>
      <c r="B5" s="1621">
        <v>1348</v>
      </c>
      <c r="C5" s="84"/>
      <c r="D5" s="84"/>
      <c r="E5" s="84"/>
      <c r="F5" s="141"/>
      <c r="G5" s="59"/>
      <c r="H5" s="84"/>
      <c r="I5" s="104"/>
      <c r="J5" s="104"/>
      <c r="K5" s="104"/>
      <c r="L5" s="104"/>
      <c r="M5" s="84"/>
      <c r="N5" s="84"/>
      <c r="O5" s="84"/>
      <c r="P5" s="84"/>
      <c r="Q5" s="84"/>
      <c r="R5" s="122"/>
    </row>
    <row r="6" spans="1:19" s="44" customFormat="1" ht="21">
      <c r="A6" s="1620">
        <v>2005</v>
      </c>
      <c r="B6" s="1622">
        <v>733</v>
      </c>
      <c r="C6" s="84"/>
      <c r="D6" s="84"/>
      <c r="E6" s="84"/>
      <c r="F6" s="141"/>
      <c r="G6" s="59"/>
      <c r="H6" s="84"/>
      <c r="I6" s="104"/>
      <c r="J6" s="104"/>
      <c r="K6" s="104"/>
      <c r="L6" s="104"/>
      <c r="M6" s="84"/>
      <c r="N6" s="84"/>
      <c r="O6" s="84"/>
      <c r="P6" s="84"/>
      <c r="Q6" s="84"/>
      <c r="R6" s="122"/>
    </row>
    <row r="7" spans="1:19" s="44" customFormat="1" ht="21">
      <c r="A7" s="1620">
        <v>2006</v>
      </c>
      <c r="B7" s="1622">
        <v>1859</v>
      </c>
      <c r="C7" s="84"/>
      <c r="D7" s="84"/>
      <c r="E7" s="84"/>
      <c r="F7" s="141"/>
      <c r="G7" s="59"/>
      <c r="H7" s="84"/>
      <c r="I7" s="104"/>
      <c r="J7" s="104"/>
      <c r="K7" s="104"/>
      <c r="L7" s="104"/>
      <c r="M7" s="84"/>
      <c r="N7" s="84"/>
      <c r="O7" s="84"/>
      <c r="P7" s="84"/>
      <c r="Q7" s="84"/>
      <c r="R7" s="122"/>
    </row>
    <row r="8" spans="1:19" s="44" customFormat="1" ht="21">
      <c r="A8" s="1620">
        <v>2007</v>
      </c>
      <c r="B8" s="1622">
        <v>1247</v>
      </c>
      <c r="C8" s="84"/>
      <c r="D8" s="84"/>
      <c r="E8" s="84"/>
      <c r="F8" s="141"/>
      <c r="G8" s="59"/>
      <c r="H8" s="84"/>
      <c r="I8" s="104"/>
      <c r="J8" s="104"/>
      <c r="K8" s="104"/>
      <c r="L8" s="104"/>
      <c r="M8" s="84"/>
      <c r="N8" s="84"/>
      <c r="O8" s="84"/>
      <c r="P8" s="84"/>
      <c r="Q8" s="84"/>
      <c r="R8" s="122"/>
    </row>
    <row r="9" spans="1:19" s="44" customFormat="1" ht="21">
      <c r="A9" s="1620">
        <v>2008</v>
      </c>
      <c r="B9" s="1622">
        <v>1028</v>
      </c>
      <c r="C9" s="84"/>
      <c r="D9" s="84"/>
      <c r="E9" s="84"/>
      <c r="F9" s="141"/>
      <c r="G9" s="59"/>
      <c r="H9" s="84"/>
      <c r="I9" s="104"/>
      <c r="J9" s="104"/>
      <c r="K9" s="104"/>
      <c r="L9" s="104"/>
      <c r="M9" s="84"/>
      <c r="N9" s="84"/>
      <c r="O9" s="84"/>
      <c r="P9" s="84"/>
      <c r="Q9" s="84"/>
      <c r="R9" s="57"/>
      <c r="S9" s="58"/>
    </row>
    <row r="10" spans="1:19" s="44" customFormat="1" ht="21">
      <c r="A10" s="1620">
        <v>2009</v>
      </c>
      <c r="B10" s="1622">
        <v>25287</v>
      </c>
      <c r="C10" s="84"/>
      <c r="D10" s="84"/>
      <c r="E10" s="84"/>
      <c r="F10" s="141"/>
      <c r="G10" s="59"/>
      <c r="H10" s="84"/>
      <c r="J10" s="104"/>
      <c r="K10" s="104"/>
      <c r="L10" s="104"/>
      <c r="M10" s="84"/>
      <c r="N10" s="84"/>
      <c r="O10" s="84"/>
      <c r="P10" s="84"/>
      <c r="Q10" s="84"/>
      <c r="R10" s="122"/>
    </row>
    <row r="11" spans="1:19" s="44" customFormat="1" ht="21">
      <c r="A11" s="1620">
        <v>2010</v>
      </c>
      <c r="B11" s="1622">
        <v>10644</v>
      </c>
      <c r="C11" s="84"/>
      <c r="D11" s="84"/>
      <c r="E11" s="84"/>
      <c r="F11" s="169"/>
      <c r="G11" s="59"/>
      <c r="H11" s="84"/>
      <c r="I11" s="104"/>
      <c r="J11" s="104"/>
      <c r="K11" s="104"/>
      <c r="L11" s="104"/>
      <c r="M11" s="84"/>
      <c r="N11" s="84"/>
      <c r="O11" s="84"/>
      <c r="P11" s="84"/>
      <c r="Q11" s="84"/>
      <c r="R11" s="122"/>
    </row>
    <row r="12" spans="1:19" s="44" customFormat="1" ht="19.5" customHeight="1">
      <c r="A12" s="1620">
        <v>2011</v>
      </c>
      <c r="B12" s="1622">
        <v>6268</v>
      </c>
      <c r="C12" s="84"/>
      <c r="D12" s="84"/>
      <c r="E12" s="84"/>
      <c r="G12" s="59"/>
      <c r="H12" s="84"/>
      <c r="I12" s="104"/>
      <c r="J12" s="104"/>
      <c r="K12" s="104"/>
      <c r="L12" s="104"/>
      <c r="M12" s="84"/>
      <c r="N12" s="84"/>
      <c r="O12" s="84"/>
      <c r="P12" s="84"/>
      <c r="Q12" s="84"/>
      <c r="R12" s="122"/>
    </row>
    <row r="13" spans="1:19" s="44" customFormat="1" ht="19.5" customHeight="1">
      <c r="A13" s="1620" t="s">
        <v>499</v>
      </c>
      <c r="B13" s="1623">
        <v>10046</v>
      </c>
      <c r="C13" s="84"/>
      <c r="D13" s="84"/>
      <c r="E13" s="84"/>
      <c r="G13" s="59"/>
      <c r="H13" s="84"/>
      <c r="I13" s="104"/>
      <c r="J13" s="104"/>
      <c r="K13" s="104"/>
      <c r="L13" s="104"/>
      <c r="M13" s="84"/>
      <c r="N13" s="84"/>
      <c r="O13" s="84"/>
      <c r="P13" s="84"/>
      <c r="Q13" s="84"/>
      <c r="R13" s="122"/>
    </row>
    <row r="14" spans="1:19" s="44" customFormat="1" ht="19.5" customHeight="1">
      <c r="A14" s="1620" t="s">
        <v>619</v>
      </c>
      <c r="B14" s="1623">
        <v>15740</v>
      </c>
      <c r="C14" s="84"/>
      <c r="D14" s="84"/>
      <c r="G14" s="59"/>
      <c r="H14" s="84"/>
      <c r="I14" s="104"/>
      <c r="J14" s="104"/>
      <c r="K14" s="104"/>
      <c r="L14" s="104"/>
      <c r="M14" s="84"/>
      <c r="N14" s="84"/>
      <c r="O14" s="84"/>
      <c r="P14" s="84"/>
      <c r="Q14" s="84"/>
      <c r="R14" s="122"/>
    </row>
    <row r="15" spans="1:19" s="44" customFormat="1" ht="19.5" customHeight="1">
      <c r="A15" s="1620" t="s">
        <v>628</v>
      </c>
      <c r="B15" s="1623">
        <f>+' Trasp. recibidos'!Q14</f>
        <v>32365</v>
      </c>
      <c r="C15" s="84"/>
      <c r="D15" s="84"/>
      <c r="E15" s="84"/>
      <c r="G15" s="59"/>
      <c r="H15" s="84"/>
      <c r="I15" s="104"/>
      <c r="J15" s="104"/>
      <c r="K15" s="104"/>
      <c r="L15" s="104"/>
      <c r="M15" s="84"/>
      <c r="N15" s="84"/>
      <c r="O15" s="84"/>
      <c r="P15" s="84"/>
      <c r="Q15" s="84"/>
      <c r="R15" s="122"/>
    </row>
    <row r="16" spans="1:19" s="44" customFormat="1" ht="19.5" customHeight="1">
      <c r="A16" s="1620" t="s">
        <v>636</v>
      </c>
      <c r="B16" s="1624">
        <f>+' Trasp. recibidos'!Q15</f>
        <v>1210</v>
      </c>
      <c r="C16" s="84"/>
      <c r="D16" s="84"/>
      <c r="E16" s="84"/>
      <c r="G16" s="59"/>
      <c r="H16" s="84"/>
      <c r="I16" s="104"/>
      <c r="J16" s="104"/>
      <c r="K16" s="104"/>
      <c r="L16" s="104"/>
      <c r="M16" s="84"/>
      <c r="N16" s="84"/>
      <c r="O16" s="84"/>
      <c r="P16" s="84"/>
      <c r="Q16" s="84"/>
      <c r="R16" s="122"/>
    </row>
    <row r="17" spans="1:19" s="44" customFormat="1" ht="21">
      <c r="A17" s="1625" t="s">
        <v>23</v>
      </c>
      <c r="B17" s="1626">
        <f>SUM(B5:B16)</f>
        <v>107775</v>
      </c>
      <c r="C17" s="84"/>
      <c r="D17" s="84"/>
      <c r="E17" s="84"/>
      <c r="F17" s="59"/>
      <c r="G17" s="59"/>
      <c r="H17" s="84"/>
      <c r="I17" s="104"/>
      <c r="J17" s="104"/>
      <c r="K17" s="104"/>
      <c r="L17" s="104"/>
      <c r="M17" s="84"/>
      <c r="N17" s="84"/>
      <c r="O17" s="84"/>
      <c r="P17" s="84"/>
      <c r="Q17" s="84"/>
      <c r="R17" s="122"/>
      <c r="S17" s="121"/>
    </row>
    <row r="18" spans="1:19" s="44" customFormat="1">
      <c r="A18" s="104"/>
      <c r="B18" s="104"/>
      <c r="C18" s="104"/>
      <c r="D18" s="104"/>
      <c r="E18" s="104"/>
      <c r="F18" s="104"/>
      <c r="G18" s="104"/>
      <c r="H18" s="104"/>
      <c r="I18" s="104"/>
      <c r="J18" s="104"/>
      <c r="K18" s="104"/>
      <c r="L18" s="104"/>
      <c r="M18" s="104"/>
      <c r="N18" s="104"/>
      <c r="O18" s="104"/>
      <c r="P18" s="104"/>
      <c r="Q18" s="104"/>
      <c r="R18" s="122"/>
      <c r="S18" s="121"/>
    </row>
    <row r="19" spans="1:19" s="44" customFormat="1">
      <c r="A19" s="104"/>
      <c r="B19" s="104"/>
      <c r="C19" s="49"/>
      <c r="D19" s="49"/>
      <c r="E19" s="49"/>
      <c r="F19" s="49"/>
      <c r="G19" s="66"/>
      <c r="H19" s="49"/>
      <c r="I19" s="66"/>
      <c r="J19" s="49"/>
      <c r="K19" s="49"/>
      <c r="L19" s="49"/>
      <c r="M19" s="49"/>
      <c r="N19" s="49"/>
      <c r="O19" s="49"/>
      <c r="P19" s="66"/>
      <c r="Q19" s="26"/>
      <c r="R19" s="122"/>
      <c r="S19" s="121"/>
    </row>
    <row r="20" spans="1:19" s="44" customFormat="1">
      <c r="A20" s="104"/>
      <c r="B20" s="104"/>
      <c r="C20" s="49"/>
      <c r="D20" s="49"/>
      <c r="E20" s="49"/>
      <c r="F20" s="49"/>
      <c r="G20" s="66"/>
      <c r="H20" s="49"/>
      <c r="I20" s="66"/>
      <c r="J20" s="49"/>
      <c r="K20" s="49"/>
      <c r="L20" s="49"/>
      <c r="M20" s="66"/>
      <c r="N20" s="49"/>
      <c r="O20" s="49"/>
      <c r="P20" s="49"/>
      <c r="Q20" s="49"/>
      <c r="R20" s="122"/>
      <c r="S20" s="121"/>
    </row>
    <row r="21" spans="1:19" s="44" customFormat="1">
      <c r="A21" s="104"/>
      <c r="B21" s="104"/>
      <c r="C21" s="49"/>
      <c r="D21" s="49"/>
      <c r="E21" s="49"/>
      <c r="F21" s="49"/>
      <c r="G21" s="66"/>
      <c r="H21" s="49"/>
      <c r="I21" s="66"/>
      <c r="J21" s="49"/>
      <c r="K21" s="49"/>
      <c r="L21" s="49"/>
      <c r="M21" s="66"/>
      <c r="N21" s="49"/>
      <c r="O21" s="49"/>
      <c r="P21" s="49"/>
      <c r="Q21" s="49"/>
      <c r="R21" s="122"/>
      <c r="S21" s="122"/>
    </row>
    <row r="22" spans="1:19" s="44" customFormat="1">
      <c r="A22" s="104"/>
      <c r="B22" s="104"/>
      <c r="C22" s="49"/>
      <c r="D22" s="49"/>
      <c r="E22" s="49"/>
      <c r="F22" s="49"/>
      <c r="G22" s="66"/>
      <c r="H22" s="49"/>
      <c r="I22" s="66"/>
      <c r="J22" s="49"/>
      <c r="K22" s="49"/>
      <c r="L22" s="49"/>
      <c r="M22" s="49"/>
      <c r="N22" s="49"/>
      <c r="O22" s="49"/>
      <c r="P22" s="66"/>
      <c r="Q22" s="49"/>
      <c r="R22" s="122"/>
      <c r="S22" s="122"/>
    </row>
    <row r="23" spans="1:19" s="44" customFormat="1">
      <c r="A23" s="104"/>
      <c r="B23" s="104"/>
      <c r="C23" s="49"/>
      <c r="D23" s="49"/>
      <c r="E23" s="49"/>
      <c r="F23" s="49"/>
      <c r="G23" s="66"/>
      <c r="H23" s="49"/>
      <c r="I23" s="66"/>
      <c r="J23" s="49"/>
      <c r="K23" s="49"/>
      <c r="L23" s="49"/>
      <c r="M23" s="66"/>
      <c r="N23" s="49"/>
      <c r="O23" s="49"/>
      <c r="P23" s="66"/>
      <c r="Q23" s="66"/>
      <c r="R23" s="122"/>
      <c r="S23" s="122"/>
    </row>
    <row r="24" spans="1:19" s="44" customFormat="1">
      <c r="A24" s="104"/>
      <c r="B24" s="104"/>
      <c r="C24" s="49"/>
      <c r="D24" s="49"/>
      <c r="E24" s="49"/>
      <c r="F24" s="49"/>
      <c r="G24" s="49"/>
      <c r="H24" s="49"/>
      <c r="I24" s="66"/>
      <c r="J24" s="49"/>
      <c r="K24" s="66"/>
      <c r="L24" s="66"/>
      <c r="M24" s="49"/>
      <c r="N24" s="49"/>
      <c r="O24" s="49"/>
      <c r="P24" s="49"/>
      <c r="Q24" s="49"/>
      <c r="R24" s="122"/>
      <c r="S24" s="122"/>
    </row>
    <row r="25" spans="1:19" s="44" customFormat="1">
      <c r="A25" s="104"/>
      <c r="B25" s="104"/>
      <c r="C25" s="49"/>
      <c r="D25" s="49"/>
      <c r="E25" s="49"/>
      <c r="F25" s="49"/>
      <c r="G25" s="49"/>
      <c r="H25" s="49"/>
      <c r="I25" s="66"/>
      <c r="J25" s="49"/>
      <c r="K25" s="49"/>
      <c r="L25" s="49"/>
      <c r="M25" s="66"/>
      <c r="N25" s="49"/>
      <c r="O25" s="49"/>
      <c r="P25" s="49"/>
      <c r="Q25" s="66"/>
      <c r="R25" s="122"/>
      <c r="S25" s="122"/>
    </row>
    <row r="26" spans="1:19" s="44" customFormat="1">
      <c r="A26" s="104"/>
      <c r="B26" s="104"/>
      <c r="C26" s="49"/>
      <c r="D26" s="49"/>
      <c r="E26" s="49"/>
      <c r="F26" s="49"/>
      <c r="G26" s="66"/>
      <c r="H26" s="49"/>
      <c r="I26" s="66"/>
      <c r="J26" s="49"/>
      <c r="K26" s="49"/>
      <c r="L26" s="49"/>
      <c r="M26" s="66"/>
      <c r="N26" s="49"/>
      <c r="O26" s="49"/>
      <c r="P26" s="49"/>
      <c r="Q26" s="66"/>
      <c r="R26" s="122"/>
      <c r="S26" s="122"/>
    </row>
    <row r="27" spans="1:19" s="44" customFormat="1">
      <c r="A27" s="104"/>
      <c r="B27" s="104"/>
      <c r="C27" s="104"/>
      <c r="D27" s="27"/>
      <c r="E27" s="27"/>
      <c r="F27" s="27"/>
      <c r="G27" s="28"/>
      <c r="H27" s="27"/>
      <c r="I27" s="28"/>
      <c r="J27" s="27"/>
      <c r="K27" s="28"/>
      <c r="L27" s="28"/>
      <c r="M27" s="28"/>
      <c r="N27" s="27"/>
      <c r="O27" s="27"/>
      <c r="P27" s="27"/>
      <c r="Q27" s="29"/>
      <c r="R27" s="122"/>
      <c r="S27" s="122"/>
    </row>
    <row r="28" spans="1:19" s="44" customFormat="1">
      <c r="A28" s="104"/>
      <c r="B28" s="104"/>
      <c r="C28" s="49"/>
      <c r="D28" s="49"/>
      <c r="E28" s="49"/>
      <c r="F28" s="49"/>
      <c r="G28" s="66"/>
      <c r="H28" s="49"/>
      <c r="I28" s="66"/>
      <c r="J28" s="49"/>
      <c r="K28" s="49"/>
      <c r="L28" s="49"/>
      <c r="M28" s="66"/>
      <c r="N28" s="49"/>
      <c r="O28" s="49"/>
      <c r="P28" s="66"/>
      <c r="Q28" s="66"/>
      <c r="R28" s="122"/>
      <c r="S28" s="122"/>
    </row>
    <row r="29" spans="1:19" s="44" customFormat="1">
      <c r="A29" s="104"/>
      <c r="B29" s="104"/>
      <c r="C29" s="104"/>
      <c r="D29" s="104"/>
      <c r="E29" s="104"/>
      <c r="F29" s="104"/>
      <c r="G29" s="104"/>
      <c r="H29" s="104"/>
      <c r="I29" s="104"/>
      <c r="J29" s="104"/>
      <c r="K29" s="104"/>
      <c r="L29" s="104"/>
      <c r="M29" s="104"/>
      <c r="N29" s="104"/>
      <c r="O29" s="104"/>
      <c r="P29" s="104"/>
      <c r="Q29" s="104"/>
      <c r="R29" s="122"/>
      <c r="S29" s="122"/>
    </row>
    <row r="30" spans="1:19" s="44" customFormat="1">
      <c r="A30" s="104"/>
      <c r="B30" s="104"/>
      <c r="C30" s="104"/>
      <c r="D30" s="104"/>
      <c r="E30" s="104"/>
      <c r="F30" s="104"/>
      <c r="G30" s="104"/>
      <c r="H30" s="104"/>
      <c r="I30" s="104"/>
      <c r="J30" s="104"/>
      <c r="K30" s="104"/>
      <c r="L30" s="104"/>
      <c r="M30" s="104"/>
      <c r="N30" s="104"/>
      <c r="O30" s="104"/>
      <c r="P30" s="104"/>
      <c r="Q30" s="104"/>
      <c r="R30" s="122"/>
      <c r="S30" s="122"/>
    </row>
    <row r="31" spans="1:19" s="44" customFormat="1">
      <c r="A31" s="104"/>
      <c r="B31" s="104"/>
      <c r="C31" s="104"/>
      <c r="D31" s="104"/>
      <c r="E31" s="104"/>
      <c r="F31" s="104"/>
      <c r="G31" s="104"/>
      <c r="H31" s="104"/>
      <c r="I31" s="104"/>
      <c r="J31" s="104"/>
      <c r="K31" s="104"/>
      <c r="L31" s="104"/>
      <c r="M31" s="104"/>
      <c r="N31" s="104"/>
      <c r="O31" s="104"/>
      <c r="P31" s="104"/>
      <c r="Q31" s="104"/>
      <c r="R31" s="122"/>
      <c r="S31" s="122"/>
    </row>
    <row r="32" spans="1:19" s="44" customFormat="1">
      <c r="A32" s="104"/>
      <c r="B32" s="104"/>
      <c r="C32" s="104"/>
      <c r="D32" s="104"/>
      <c r="E32" s="104"/>
      <c r="F32" s="104"/>
      <c r="G32" s="104"/>
      <c r="H32" s="104"/>
      <c r="I32" s="104"/>
      <c r="J32" s="104"/>
      <c r="K32" s="104"/>
      <c r="L32" s="104"/>
      <c r="M32" s="104"/>
      <c r="N32" s="104"/>
      <c r="O32" s="104"/>
      <c r="P32" s="104"/>
      <c r="Q32" s="104"/>
      <c r="R32" s="122"/>
      <c r="S32" s="122"/>
    </row>
    <row r="33" spans="1:21" s="44" customFormat="1">
      <c r="A33" s="104"/>
      <c r="B33" s="104"/>
      <c r="C33" s="104"/>
      <c r="D33" s="104"/>
      <c r="E33" s="104"/>
      <c r="F33" s="104"/>
      <c r="G33" s="104"/>
      <c r="H33" s="104"/>
      <c r="I33" s="104"/>
      <c r="J33" s="104"/>
      <c r="K33" s="104"/>
      <c r="L33" s="104"/>
      <c r="M33" s="104"/>
      <c r="N33" s="104"/>
      <c r="O33" s="104"/>
      <c r="P33" s="104"/>
      <c r="Q33" s="104"/>
      <c r="R33" s="122"/>
      <c r="S33" s="122"/>
    </row>
    <row r="34" spans="1:21" s="44" customFormat="1">
      <c r="A34" s="104"/>
      <c r="B34" s="104"/>
      <c r="C34" s="104"/>
      <c r="D34" s="104"/>
      <c r="E34" s="104"/>
      <c r="F34" s="104"/>
      <c r="G34" s="104"/>
      <c r="H34" s="104"/>
      <c r="I34" s="104"/>
      <c r="J34" s="104"/>
      <c r="K34" s="104"/>
      <c r="L34" s="104"/>
      <c r="M34" s="104"/>
      <c r="N34" s="104"/>
      <c r="O34" s="104"/>
      <c r="P34" s="104"/>
      <c r="Q34" s="104"/>
      <c r="R34" s="122"/>
      <c r="S34" s="122"/>
    </row>
    <row r="35" spans="1:21" s="44" customFormat="1">
      <c r="A35" s="104"/>
      <c r="B35" s="104"/>
      <c r="C35" s="104"/>
      <c r="D35" s="104"/>
      <c r="E35" s="104"/>
      <c r="F35" s="104"/>
      <c r="G35" s="104"/>
      <c r="H35" s="104"/>
      <c r="I35" s="104"/>
      <c r="J35" s="104"/>
      <c r="K35" s="104"/>
      <c r="L35" s="104"/>
      <c r="M35" s="104"/>
      <c r="N35" s="104"/>
      <c r="O35" s="104"/>
      <c r="P35" s="104"/>
      <c r="Q35" s="104"/>
    </row>
    <row r="36" spans="1:21" s="44" customFormat="1">
      <c r="A36" s="104"/>
      <c r="B36" s="104"/>
      <c r="C36" s="104"/>
      <c r="D36" s="104"/>
      <c r="E36" s="104"/>
      <c r="F36" s="104"/>
      <c r="G36" s="104"/>
      <c r="H36" s="104"/>
      <c r="I36" s="104"/>
      <c r="J36" s="104"/>
      <c r="K36" s="104"/>
      <c r="L36" s="104"/>
      <c r="M36" s="104"/>
      <c r="N36" s="104"/>
      <c r="O36" s="104"/>
      <c r="P36" s="104"/>
      <c r="Q36" s="104"/>
    </row>
    <row r="37" spans="1:21" s="44" customFormat="1">
      <c r="A37" s="104"/>
      <c r="B37" s="104"/>
      <c r="C37" s="104"/>
      <c r="D37" s="104"/>
      <c r="E37" s="104"/>
      <c r="F37" s="104"/>
      <c r="G37" s="104"/>
      <c r="H37" s="104"/>
      <c r="I37" s="104"/>
      <c r="J37" s="104"/>
      <c r="K37" s="104"/>
      <c r="L37" s="104"/>
      <c r="M37" s="104"/>
      <c r="N37" s="104"/>
      <c r="O37" s="104"/>
      <c r="P37" s="104"/>
      <c r="Q37" s="104"/>
      <c r="U37" s="96"/>
    </row>
    <row r="38" spans="1:21" s="44" customFormat="1">
      <c r="A38" s="84"/>
      <c r="B38" s="84"/>
      <c r="C38" s="84"/>
      <c r="D38" s="84"/>
      <c r="E38" s="84"/>
      <c r="F38" s="84"/>
      <c r="G38" s="84"/>
      <c r="H38" s="84"/>
      <c r="I38" s="84"/>
      <c r="J38" s="84"/>
      <c r="K38" s="84"/>
      <c r="L38" s="84"/>
      <c r="M38" s="84"/>
      <c r="N38" s="84"/>
      <c r="O38" s="84"/>
      <c r="P38" s="84"/>
      <c r="Q38" s="84"/>
    </row>
    <row r="39" spans="1:21" s="44" customFormat="1">
      <c r="A39" s="84"/>
      <c r="B39" s="84"/>
      <c r="C39" s="84"/>
      <c r="D39" s="84"/>
      <c r="E39" s="84"/>
      <c r="F39" s="84"/>
      <c r="G39" s="84"/>
      <c r="H39" s="84"/>
      <c r="I39" s="84"/>
      <c r="J39" s="84"/>
      <c r="K39" s="84"/>
      <c r="L39" s="84"/>
      <c r="M39" s="84"/>
      <c r="N39" s="84"/>
      <c r="O39" s="84"/>
      <c r="P39" s="84"/>
      <c r="Q39" s="84"/>
    </row>
    <row r="40" spans="1:21" s="44" customFormat="1">
      <c r="A40" s="84"/>
      <c r="B40" s="84"/>
      <c r="C40" s="84"/>
      <c r="D40" s="84"/>
      <c r="E40" s="84"/>
      <c r="F40" s="84"/>
      <c r="G40" s="84"/>
      <c r="H40" s="84"/>
      <c r="I40" s="84"/>
      <c r="J40" s="84"/>
      <c r="K40" s="84"/>
      <c r="L40" s="84"/>
      <c r="M40" s="84"/>
      <c r="N40" s="84"/>
      <c r="O40" s="84"/>
      <c r="P40" s="84"/>
      <c r="Q40" s="84"/>
    </row>
    <row r="41" spans="1:21" s="44" customFormat="1">
      <c r="A41" s="84"/>
      <c r="B41" s="84"/>
      <c r="C41" s="84"/>
      <c r="D41" s="84"/>
      <c r="E41" s="84"/>
      <c r="F41" s="84"/>
      <c r="G41" s="84"/>
      <c r="H41" s="84"/>
      <c r="I41" s="84"/>
      <c r="J41" s="84"/>
      <c r="K41" s="84"/>
      <c r="L41" s="84"/>
      <c r="M41" s="84"/>
      <c r="N41" s="84"/>
      <c r="O41" s="84"/>
      <c r="P41" s="84"/>
      <c r="Q41" s="84"/>
    </row>
    <row r="42" spans="1:21" s="44" customFormat="1">
      <c r="A42" s="84"/>
      <c r="B42" s="84"/>
      <c r="C42" s="84"/>
      <c r="D42" s="84"/>
      <c r="E42" s="84"/>
      <c r="F42" s="84"/>
      <c r="G42" s="84"/>
      <c r="H42" s="84"/>
      <c r="I42" s="84"/>
      <c r="J42" s="84"/>
      <c r="K42" s="84"/>
      <c r="L42" s="84"/>
      <c r="M42" s="84"/>
      <c r="N42" s="84"/>
      <c r="O42" s="84"/>
      <c r="P42" s="84"/>
      <c r="Q42" s="84"/>
    </row>
    <row r="43" spans="1:21" s="44" customFormat="1">
      <c r="A43" s="84"/>
      <c r="B43" s="84"/>
      <c r="C43" s="84"/>
      <c r="D43" s="84"/>
      <c r="E43" s="84"/>
      <c r="F43" s="84"/>
      <c r="G43" s="84"/>
      <c r="H43" s="84"/>
      <c r="I43" s="84"/>
      <c r="J43" s="84"/>
      <c r="K43" s="84"/>
      <c r="L43" s="84"/>
      <c r="M43" s="84"/>
      <c r="N43" s="84"/>
      <c r="O43" s="84"/>
      <c r="P43" s="84"/>
      <c r="Q43" s="84"/>
    </row>
    <row r="44" spans="1:21" s="44" customFormat="1">
      <c r="A44" s="84"/>
      <c r="B44" s="84"/>
      <c r="C44" s="84"/>
      <c r="D44" s="84"/>
      <c r="E44" s="84"/>
      <c r="F44" s="84"/>
      <c r="G44" s="84"/>
      <c r="H44" s="84"/>
      <c r="I44" s="84"/>
      <c r="J44" s="84"/>
      <c r="K44" s="84"/>
      <c r="L44" s="84"/>
      <c r="M44" s="84"/>
      <c r="N44" s="84"/>
      <c r="O44" s="84"/>
      <c r="P44" s="84"/>
      <c r="Q44" s="84"/>
    </row>
    <row r="45" spans="1:21" s="44" customFormat="1">
      <c r="A45" s="84"/>
      <c r="B45" s="84"/>
      <c r="C45" s="84"/>
      <c r="D45" s="84"/>
      <c r="E45" s="84"/>
      <c r="F45" s="84"/>
      <c r="G45" s="84"/>
      <c r="H45" s="84"/>
      <c r="I45" s="84"/>
      <c r="J45" s="84"/>
      <c r="K45" s="84"/>
      <c r="L45" s="84"/>
      <c r="M45" s="84"/>
      <c r="N45" s="84"/>
      <c r="O45" s="84"/>
      <c r="P45" s="84"/>
      <c r="Q45" s="84"/>
    </row>
    <row r="46" spans="1:21" s="44" customFormat="1">
      <c r="A46" s="84"/>
      <c r="B46" s="84"/>
      <c r="C46" s="84"/>
      <c r="D46" s="84"/>
      <c r="E46" s="84"/>
      <c r="F46" s="84"/>
      <c r="G46" s="84"/>
      <c r="H46" s="84"/>
      <c r="I46" s="84"/>
      <c r="J46" s="84"/>
      <c r="K46" s="84"/>
      <c r="L46" s="84"/>
      <c r="M46" s="84"/>
      <c r="N46" s="84"/>
      <c r="O46" s="84"/>
      <c r="P46" s="84"/>
      <c r="Q46" s="84"/>
    </row>
    <row r="47" spans="1:21" s="44" customFormat="1">
      <c r="A47" s="84"/>
      <c r="B47" s="84"/>
      <c r="C47" s="84"/>
      <c r="D47" s="84"/>
      <c r="E47" s="84"/>
      <c r="F47" s="84"/>
      <c r="G47" s="84"/>
      <c r="H47" s="84"/>
      <c r="I47" s="84"/>
      <c r="J47" s="84"/>
      <c r="K47" s="84"/>
      <c r="L47" s="84"/>
      <c r="M47" s="84"/>
      <c r="N47" s="84"/>
      <c r="O47" s="84"/>
      <c r="P47" s="84"/>
      <c r="Q47" s="84"/>
    </row>
    <row r="48" spans="1:21"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c r="A108" s="84"/>
      <c r="B108" s="84"/>
      <c r="C108" s="84"/>
      <c r="D108" s="84"/>
      <c r="E108" s="84"/>
      <c r="F108" s="84"/>
      <c r="G108" s="84"/>
      <c r="H108" s="84"/>
      <c r="I108" s="84"/>
      <c r="J108" s="84"/>
      <c r="K108" s="84"/>
      <c r="L108" s="84"/>
      <c r="M108" s="84"/>
      <c r="N108" s="84"/>
      <c r="O108" s="84"/>
      <c r="P108" s="84"/>
      <c r="Q108" s="84"/>
    </row>
    <row r="109" spans="1:17" s="44" customFormat="1"/>
    <row r="110" spans="1:17" s="44" customFormat="1"/>
    <row r="111" spans="1:17" s="44" customFormat="1"/>
    <row r="112" spans="1:17" s="44"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T33" sqref="T33"/>
    </sheetView>
  </sheetViews>
  <sheetFormatPr baseColWidth="10" defaultColWidth="11.42578125" defaultRowHeight="15"/>
  <cols>
    <col min="1" max="1" width="14" style="84" customWidth="1"/>
    <col min="2" max="2" width="8.5703125" style="84" customWidth="1"/>
    <col min="3" max="3" width="10.28515625" style="84" customWidth="1"/>
    <col min="4" max="4" width="8" style="84" customWidth="1"/>
    <col min="5" max="5" width="8.85546875" style="84" customWidth="1"/>
    <col min="6" max="6" width="9.42578125" style="84" customWidth="1"/>
    <col min="7" max="7" width="10.7109375" style="84" customWidth="1"/>
    <col min="8" max="8" width="9.42578125" style="84" customWidth="1"/>
    <col min="9" max="9" width="14.85546875" style="84" customWidth="1"/>
    <col min="10" max="10" width="10.5703125" style="84" customWidth="1"/>
    <col min="11" max="11" width="11" style="84" customWidth="1"/>
    <col min="12" max="12" width="9.140625" style="84" customWidth="1"/>
    <col min="13" max="13" width="10.7109375" style="84" customWidth="1"/>
    <col min="14" max="14" width="12" style="84" customWidth="1"/>
    <col min="15" max="15" width="14.5703125" style="84" customWidth="1"/>
    <col min="16" max="16" width="11.140625" style="84" customWidth="1"/>
    <col min="17" max="17" width="15.28515625" style="84" customWidth="1"/>
    <col min="18" max="18" width="12.140625" style="84" customWidth="1"/>
    <col min="19" max="19" width="20.28515625" style="84" customWidth="1"/>
    <col min="20" max="16384" width="11.42578125" style="84"/>
  </cols>
  <sheetData>
    <row r="1" spans="1:20" ht="85.5" customHeight="1">
      <c r="A1" s="1792"/>
      <c r="B1" s="1792"/>
      <c r="C1" s="1792"/>
      <c r="D1" s="1792"/>
      <c r="E1" s="1792"/>
      <c r="F1" s="1792"/>
      <c r="G1" s="1792"/>
      <c r="H1" s="1792"/>
      <c r="I1" s="1792"/>
      <c r="J1" s="1792"/>
      <c r="K1" s="1792"/>
      <c r="L1" s="1792"/>
      <c r="M1" s="1792"/>
      <c r="N1" s="1792"/>
      <c r="O1" s="1792"/>
      <c r="P1" s="1792"/>
      <c r="Q1" s="1792"/>
    </row>
    <row r="2" spans="1:20" s="43" customFormat="1" ht="7.5" customHeight="1">
      <c r="A2" s="1809" t="s">
        <v>697</v>
      </c>
      <c r="B2" s="1809"/>
      <c r="C2" s="1809"/>
      <c r="D2" s="1809"/>
      <c r="E2" s="1809"/>
      <c r="F2" s="1809"/>
      <c r="G2" s="1809"/>
      <c r="H2" s="1809"/>
      <c r="I2" s="1809"/>
      <c r="J2" s="1809"/>
      <c r="K2" s="1809"/>
      <c r="L2" s="1809"/>
      <c r="M2" s="1809"/>
      <c r="N2" s="1809"/>
      <c r="O2" s="1809"/>
      <c r="P2" s="1809"/>
      <c r="Q2" s="1809"/>
    </row>
    <row r="3" spans="1:20" s="44" customFormat="1" ht="23.25" customHeight="1">
      <c r="A3" s="1810" t="s">
        <v>225</v>
      </c>
      <c r="B3" s="1811"/>
      <c r="C3" s="1811"/>
      <c r="D3" s="1811"/>
      <c r="E3" s="1811"/>
      <c r="F3" s="1811"/>
      <c r="G3" s="1811"/>
      <c r="H3" s="1811"/>
      <c r="I3" s="1811"/>
      <c r="J3" s="1811"/>
      <c r="K3" s="1811"/>
      <c r="L3" s="1811"/>
      <c r="M3" s="1811"/>
      <c r="N3" s="1811"/>
      <c r="O3" s="1811"/>
      <c r="P3" s="1811"/>
      <c r="Q3" s="1812"/>
    </row>
    <row r="4" spans="1:20" s="202" customFormat="1" ht="33" customHeight="1">
      <c r="A4" s="550" t="s">
        <v>47</v>
      </c>
      <c r="B4" s="617" t="s">
        <v>86</v>
      </c>
      <c r="C4" s="617" t="s">
        <v>87</v>
      </c>
      <c r="D4" s="617" t="s">
        <v>88</v>
      </c>
      <c r="E4" s="617" t="s">
        <v>89</v>
      </c>
      <c r="F4" s="617" t="s">
        <v>90</v>
      </c>
      <c r="G4" s="617" t="s">
        <v>91</v>
      </c>
      <c r="H4" s="617" t="s">
        <v>92</v>
      </c>
      <c r="I4" s="352" t="s">
        <v>93</v>
      </c>
      <c r="J4" s="617" t="s">
        <v>94</v>
      </c>
      <c r="K4" s="550" t="s">
        <v>95</v>
      </c>
      <c r="L4" s="617" t="s">
        <v>96</v>
      </c>
      <c r="M4" s="352" t="s">
        <v>459</v>
      </c>
      <c r="N4" s="617" t="s">
        <v>85</v>
      </c>
      <c r="O4" s="352" t="s">
        <v>199</v>
      </c>
      <c r="P4" s="354" t="s">
        <v>99</v>
      </c>
      <c r="Q4" s="622" t="s">
        <v>100</v>
      </c>
    </row>
    <row r="5" spans="1:20" s="44" customFormat="1" ht="15.75">
      <c r="A5" s="618">
        <v>2005</v>
      </c>
      <c r="B5" s="616">
        <v>0</v>
      </c>
      <c r="C5" s="616">
        <v>4</v>
      </c>
      <c r="D5" s="616">
        <v>279</v>
      </c>
      <c r="E5" s="616">
        <v>115</v>
      </c>
      <c r="F5" s="616">
        <v>0</v>
      </c>
      <c r="G5" s="616">
        <v>128</v>
      </c>
      <c r="H5" s="616">
        <v>3</v>
      </c>
      <c r="I5" s="616">
        <v>68</v>
      </c>
      <c r="J5" s="616">
        <v>136</v>
      </c>
      <c r="K5" s="621">
        <f t="shared" ref="K5:K15" si="0">SUM(B5:J5)</f>
        <v>733</v>
      </c>
      <c r="L5" s="616">
        <v>0</v>
      </c>
      <c r="M5" s="616">
        <v>0</v>
      </c>
      <c r="N5" s="616">
        <v>0</v>
      </c>
      <c r="O5" s="616">
        <v>0</v>
      </c>
      <c r="P5" s="623">
        <f t="shared" ref="P5:P14" si="1">SUM(L5:O5)</f>
        <v>0</v>
      </c>
      <c r="Q5" s="621">
        <f>K5+P5</f>
        <v>733</v>
      </c>
      <c r="S5" s="202"/>
      <c r="T5" s="202"/>
    </row>
    <row r="6" spans="1:20" s="44" customFormat="1" ht="15.75">
      <c r="A6" s="618">
        <v>2006</v>
      </c>
      <c r="B6" s="616">
        <v>0</v>
      </c>
      <c r="C6" s="616">
        <v>19</v>
      </c>
      <c r="D6" s="616">
        <v>349</v>
      </c>
      <c r="E6" s="616">
        <v>176</v>
      </c>
      <c r="F6" s="616">
        <v>0</v>
      </c>
      <c r="G6" s="616">
        <v>1070</v>
      </c>
      <c r="H6" s="616">
        <v>19</v>
      </c>
      <c r="I6" s="616">
        <v>94</v>
      </c>
      <c r="J6" s="616">
        <v>112</v>
      </c>
      <c r="K6" s="621">
        <f t="shared" si="0"/>
        <v>1839</v>
      </c>
      <c r="L6" s="616">
        <v>0</v>
      </c>
      <c r="M6" s="616">
        <v>0</v>
      </c>
      <c r="N6" s="616">
        <v>0</v>
      </c>
      <c r="O6" s="616">
        <v>20</v>
      </c>
      <c r="P6" s="623">
        <f t="shared" si="1"/>
        <v>20</v>
      </c>
      <c r="Q6" s="621">
        <f>K6+P6</f>
        <v>1859</v>
      </c>
      <c r="S6" s="202"/>
      <c r="T6" s="202"/>
    </row>
    <row r="7" spans="1:20" s="44" customFormat="1" ht="15.75">
      <c r="A7" s="618">
        <v>2007</v>
      </c>
      <c r="B7" s="616">
        <v>0</v>
      </c>
      <c r="C7" s="616">
        <v>0</v>
      </c>
      <c r="D7" s="616">
        <v>57</v>
      </c>
      <c r="E7" s="616">
        <v>136</v>
      </c>
      <c r="F7" s="616">
        <v>0</v>
      </c>
      <c r="G7" s="616">
        <v>585</v>
      </c>
      <c r="H7" s="616">
        <v>8</v>
      </c>
      <c r="I7" s="616">
        <v>27</v>
      </c>
      <c r="J7" s="616">
        <v>434</v>
      </c>
      <c r="K7" s="621">
        <f t="shared" si="0"/>
        <v>1247</v>
      </c>
      <c r="L7" s="616">
        <v>0</v>
      </c>
      <c r="M7" s="616">
        <v>0</v>
      </c>
      <c r="N7" s="616">
        <v>0</v>
      </c>
      <c r="O7" s="616">
        <v>0</v>
      </c>
      <c r="P7" s="623">
        <f t="shared" si="1"/>
        <v>0</v>
      </c>
      <c r="Q7" s="621">
        <f>K7+P7</f>
        <v>1247</v>
      </c>
      <c r="S7" s="202"/>
      <c r="T7" s="202"/>
    </row>
    <row r="8" spans="1:20" s="44" customFormat="1" ht="15.75">
      <c r="A8" s="618">
        <v>2008</v>
      </c>
      <c r="B8" s="616">
        <v>0</v>
      </c>
      <c r="C8" s="616">
        <v>0</v>
      </c>
      <c r="D8" s="616">
        <v>0</v>
      </c>
      <c r="E8" s="616">
        <v>217</v>
      </c>
      <c r="F8" s="616">
        <v>0</v>
      </c>
      <c r="G8" s="616">
        <v>497</v>
      </c>
      <c r="H8" s="616">
        <v>3</v>
      </c>
      <c r="I8" s="616">
        <v>131</v>
      </c>
      <c r="J8" s="616">
        <v>180</v>
      </c>
      <c r="K8" s="621">
        <f t="shared" si="0"/>
        <v>1028</v>
      </c>
      <c r="L8" s="616">
        <v>0</v>
      </c>
      <c r="M8" s="616">
        <v>0</v>
      </c>
      <c r="N8" s="616">
        <v>0</v>
      </c>
      <c r="O8" s="616">
        <v>0</v>
      </c>
      <c r="P8" s="623">
        <f t="shared" si="1"/>
        <v>0</v>
      </c>
      <c r="Q8" s="621">
        <f>K8+P8</f>
        <v>1028</v>
      </c>
      <c r="S8" s="202"/>
      <c r="T8" s="202"/>
    </row>
    <row r="9" spans="1:20" s="44" customFormat="1" ht="15.75">
      <c r="A9" s="618">
        <v>2009</v>
      </c>
      <c r="B9" s="616">
        <v>0</v>
      </c>
      <c r="C9" s="616">
        <v>0</v>
      </c>
      <c r="D9" s="616">
        <v>0</v>
      </c>
      <c r="E9" s="616">
        <v>174</v>
      </c>
      <c r="F9" s="616">
        <v>0</v>
      </c>
      <c r="G9" s="616">
        <v>1232</v>
      </c>
      <c r="H9" s="616">
        <v>3</v>
      </c>
      <c r="I9" s="616">
        <v>52</v>
      </c>
      <c r="J9" s="616">
        <v>105</v>
      </c>
      <c r="K9" s="621">
        <f t="shared" si="0"/>
        <v>1566</v>
      </c>
      <c r="L9" s="616">
        <v>0</v>
      </c>
      <c r="M9" s="616">
        <v>0</v>
      </c>
      <c r="N9" s="616">
        <v>21139</v>
      </c>
      <c r="O9" s="616">
        <v>2582</v>
      </c>
      <c r="P9" s="623">
        <f t="shared" si="1"/>
        <v>23721</v>
      </c>
      <c r="Q9" s="621">
        <f>K9+P9</f>
        <v>25287</v>
      </c>
      <c r="S9" s="202"/>
      <c r="T9" s="202"/>
    </row>
    <row r="10" spans="1:20" s="44" customFormat="1" ht="15.75">
      <c r="A10" s="618">
        <v>2010</v>
      </c>
      <c r="B10" s="616">
        <v>0</v>
      </c>
      <c r="C10" s="616">
        <v>0</v>
      </c>
      <c r="D10" s="616">
        <v>0</v>
      </c>
      <c r="E10" s="616">
        <v>505</v>
      </c>
      <c r="F10" s="616">
        <v>0</v>
      </c>
      <c r="G10" s="616">
        <v>2471</v>
      </c>
      <c r="H10" s="616">
        <v>2</v>
      </c>
      <c r="I10" s="616">
        <v>116</v>
      </c>
      <c r="J10" s="616">
        <v>125</v>
      </c>
      <c r="K10" s="621">
        <f t="shared" si="0"/>
        <v>3219</v>
      </c>
      <c r="L10" s="616">
        <v>0</v>
      </c>
      <c r="M10" s="616">
        <v>1</v>
      </c>
      <c r="N10" s="616">
        <v>3310</v>
      </c>
      <c r="O10" s="616">
        <v>4114</v>
      </c>
      <c r="P10" s="623">
        <f t="shared" si="1"/>
        <v>7425</v>
      </c>
      <c r="Q10" s="621">
        <f t="shared" ref="Q10:Q15" si="2">K10+P10</f>
        <v>10644</v>
      </c>
      <c r="S10" s="202"/>
      <c r="T10" s="202"/>
    </row>
    <row r="11" spans="1:20" s="44" customFormat="1" ht="15.75">
      <c r="A11" s="618">
        <v>2011</v>
      </c>
      <c r="B11" s="616">
        <v>0</v>
      </c>
      <c r="C11" s="616">
        <v>0</v>
      </c>
      <c r="D11" s="616">
        <v>0</v>
      </c>
      <c r="E11" s="616">
        <v>572</v>
      </c>
      <c r="F11" s="616">
        <v>0</v>
      </c>
      <c r="G11" s="616">
        <v>3158</v>
      </c>
      <c r="H11" s="616">
        <v>8</v>
      </c>
      <c r="I11" s="616">
        <v>306</v>
      </c>
      <c r="J11" s="616">
        <v>247</v>
      </c>
      <c r="K11" s="621">
        <f t="shared" si="0"/>
        <v>4291</v>
      </c>
      <c r="L11" s="616">
        <v>0</v>
      </c>
      <c r="M11" s="616">
        <v>0</v>
      </c>
      <c r="N11" s="616">
        <v>1778</v>
      </c>
      <c r="O11" s="616">
        <v>199</v>
      </c>
      <c r="P11" s="623">
        <f t="shared" si="1"/>
        <v>1977</v>
      </c>
      <c r="Q11" s="621">
        <f t="shared" si="2"/>
        <v>6268</v>
      </c>
      <c r="S11" s="202"/>
      <c r="T11" s="202"/>
    </row>
    <row r="12" spans="1:20" s="44" customFormat="1" ht="15.75">
      <c r="A12" s="618" t="s">
        <v>499</v>
      </c>
      <c r="B12" s="616">
        <v>0</v>
      </c>
      <c r="C12" s="616">
        <v>0</v>
      </c>
      <c r="D12" s="616">
        <v>0</v>
      </c>
      <c r="E12" s="616">
        <v>1014</v>
      </c>
      <c r="F12" s="616">
        <v>0</v>
      </c>
      <c r="G12" s="616">
        <v>3741</v>
      </c>
      <c r="H12" s="616">
        <v>11</v>
      </c>
      <c r="I12" s="616">
        <v>1022</v>
      </c>
      <c r="J12" s="616">
        <v>783</v>
      </c>
      <c r="K12" s="621">
        <f t="shared" si="0"/>
        <v>6571</v>
      </c>
      <c r="L12" s="616">
        <v>0</v>
      </c>
      <c r="M12" s="616">
        <v>513</v>
      </c>
      <c r="N12" s="616">
        <v>2945</v>
      </c>
      <c r="O12" s="616">
        <v>17</v>
      </c>
      <c r="P12" s="623">
        <f t="shared" si="1"/>
        <v>3475</v>
      </c>
      <c r="Q12" s="621">
        <f t="shared" si="2"/>
        <v>10046</v>
      </c>
      <c r="S12" s="202"/>
      <c r="T12" s="202"/>
    </row>
    <row r="13" spans="1:20" s="44" customFormat="1" ht="15.75">
      <c r="A13" s="618" t="s">
        <v>619</v>
      </c>
      <c r="B13" s="616">
        <v>0</v>
      </c>
      <c r="C13" s="616">
        <v>0</v>
      </c>
      <c r="D13" s="616">
        <v>0</v>
      </c>
      <c r="E13" s="616">
        <v>1482</v>
      </c>
      <c r="F13" s="616">
        <v>0</v>
      </c>
      <c r="G13" s="616">
        <v>7614</v>
      </c>
      <c r="H13" s="616">
        <v>7</v>
      </c>
      <c r="I13" s="616">
        <v>1578</v>
      </c>
      <c r="J13" s="616">
        <v>1278</v>
      </c>
      <c r="K13" s="621">
        <f t="shared" si="0"/>
        <v>11959</v>
      </c>
      <c r="L13" s="616">
        <v>0</v>
      </c>
      <c r="M13" s="616">
        <v>0</v>
      </c>
      <c r="N13" s="616">
        <v>2249</v>
      </c>
      <c r="O13" s="616">
        <v>1532</v>
      </c>
      <c r="P13" s="623">
        <f t="shared" si="1"/>
        <v>3781</v>
      </c>
      <c r="Q13" s="621">
        <f t="shared" si="2"/>
        <v>15740</v>
      </c>
      <c r="S13" s="202"/>
      <c r="T13" s="202"/>
    </row>
    <row r="14" spans="1:20" s="44" customFormat="1" ht="15.75">
      <c r="A14" s="618" t="s">
        <v>628</v>
      </c>
      <c r="B14" s="616">
        <v>0</v>
      </c>
      <c r="C14" s="616">
        <v>0</v>
      </c>
      <c r="D14" s="616">
        <v>0</v>
      </c>
      <c r="E14" s="616">
        <f>233+2235</f>
        <v>2468</v>
      </c>
      <c r="F14" s="616">
        <v>0</v>
      </c>
      <c r="G14" s="616">
        <f>1369+13437</f>
        <v>14806</v>
      </c>
      <c r="H14" s="616">
        <f>127+641</f>
        <v>768</v>
      </c>
      <c r="I14" s="616">
        <f>298+4015</f>
        <v>4313</v>
      </c>
      <c r="J14" s="616">
        <f>232+2281</f>
        <v>2513</v>
      </c>
      <c r="K14" s="621">
        <f t="shared" si="0"/>
        <v>24868</v>
      </c>
      <c r="L14" s="616">
        <v>0</v>
      </c>
      <c r="M14" s="616">
        <v>0</v>
      </c>
      <c r="N14" s="616">
        <f>1036+5999</f>
        <v>7035</v>
      </c>
      <c r="O14" s="616">
        <v>462</v>
      </c>
      <c r="P14" s="623">
        <f t="shared" si="1"/>
        <v>7497</v>
      </c>
      <c r="Q14" s="621">
        <f t="shared" si="2"/>
        <v>32365</v>
      </c>
      <c r="S14" s="202"/>
      <c r="T14" s="202"/>
    </row>
    <row r="15" spans="1:20" s="44" customFormat="1" ht="15.75">
      <c r="A15" s="618" t="s">
        <v>636</v>
      </c>
      <c r="B15" s="616">
        <v>0</v>
      </c>
      <c r="C15" s="616">
        <v>0</v>
      </c>
      <c r="D15" s="616">
        <v>0</v>
      </c>
      <c r="E15" s="616">
        <v>139</v>
      </c>
      <c r="F15" s="616">
        <v>0</v>
      </c>
      <c r="G15" s="616">
        <v>781</v>
      </c>
      <c r="H15" s="616">
        <v>66</v>
      </c>
      <c r="I15" s="616">
        <v>38</v>
      </c>
      <c r="J15" s="616">
        <v>174</v>
      </c>
      <c r="K15" s="621">
        <f t="shared" si="0"/>
        <v>1198</v>
      </c>
      <c r="L15" s="616">
        <v>0</v>
      </c>
      <c r="M15" s="616">
        <v>11</v>
      </c>
      <c r="N15" s="616">
        <v>1</v>
      </c>
      <c r="O15" s="616">
        <v>0</v>
      </c>
      <c r="P15" s="623">
        <f>SUM(L15:O15)</f>
        <v>12</v>
      </c>
      <c r="Q15" s="621">
        <f t="shared" si="2"/>
        <v>1210</v>
      </c>
      <c r="S15" s="202"/>
      <c r="T15" s="202"/>
    </row>
    <row r="16" spans="1:20" s="44" customFormat="1" ht="15.75">
      <c r="A16" s="550" t="s">
        <v>23</v>
      </c>
      <c r="B16" s="620">
        <f>SUM(B5:B15)</f>
        <v>0</v>
      </c>
      <c r="C16" s="620">
        <f t="shared" ref="C16:Q16" si="3">SUM(C5:C15)</f>
        <v>23</v>
      </c>
      <c r="D16" s="620">
        <f t="shared" si="3"/>
        <v>685</v>
      </c>
      <c r="E16" s="620">
        <f t="shared" si="3"/>
        <v>6998</v>
      </c>
      <c r="F16" s="620">
        <f t="shared" si="3"/>
        <v>0</v>
      </c>
      <c r="G16" s="620">
        <f t="shared" si="3"/>
        <v>36083</v>
      </c>
      <c r="H16" s="620">
        <f t="shared" si="3"/>
        <v>898</v>
      </c>
      <c r="I16" s="620">
        <f t="shared" si="3"/>
        <v>7745</v>
      </c>
      <c r="J16" s="620">
        <f t="shared" si="3"/>
        <v>6087</v>
      </c>
      <c r="K16" s="1496">
        <f t="shared" si="3"/>
        <v>58519</v>
      </c>
      <c r="L16" s="620">
        <f t="shared" si="3"/>
        <v>0</v>
      </c>
      <c r="M16" s="620">
        <f>SUM(M5:M15)</f>
        <v>525</v>
      </c>
      <c r="N16" s="620">
        <f t="shared" si="3"/>
        <v>38457</v>
      </c>
      <c r="O16" s="620">
        <f t="shared" si="3"/>
        <v>8926</v>
      </c>
      <c r="P16" s="1497">
        <f t="shared" si="3"/>
        <v>47908</v>
      </c>
      <c r="Q16" s="1496">
        <f t="shared" si="3"/>
        <v>106427</v>
      </c>
      <c r="S16" s="202"/>
      <c r="T16" s="202"/>
    </row>
    <row r="17" spans="1:20" s="44" customFormat="1">
      <c r="A17" s="104"/>
      <c r="B17" s="104"/>
      <c r="C17" s="104"/>
      <c r="D17" s="104"/>
      <c r="E17" s="84"/>
      <c r="F17" s="84"/>
      <c r="G17" s="84"/>
      <c r="H17" s="104"/>
      <c r="I17" s="104"/>
      <c r="J17" s="104"/>
      <c r="K17" s="104"/>
      <c r="L17" s="104" t="s">
        <v>220</v>
      </c>
      <c r="M17" s="104"/>
      <c r="N17" s="104"/>
      <c r="O17" s="104"/>
      <c r="P17" s="104"/>
      <c r="Q17" s="104"/>
      <c r="S17" s="202"/>
      <c r="T17" s="202"/>
    </row>
    <row r="18" spans="1:20" s="44" customFormat="1">
      <c r="A18" s="104"/>
      <c r="B18" s="104"/>
      <c r="C18" s="49"/>
      <c r="D18" s="49"/>
      <c r="E18" s="49"/>
      <c r="F18" s="49"/>
      <c r="G18" s="66"/>
      <c r="H18" s="49"/>
      <c r="I18" s="66"/>
      <c r="J18" s="49"/>
      <c r="K18" s="49"/>
      <c r="L18" s="49"/>
      <c r="M18" s="49"/>
      <c r="N18" s="49"/>
      <c r="O18" s="49"/>
      <c r="P18" s="66"/>
      <c r="Q18" s="26"/>
    </row>
    <row r="19" spans="1:20" s="44" customFormat="1">
      <c r="A19" s="104"/>
      <c r="B19" s="104"/>
      <c r="C19" s="49"/>
      <c r="D19" s="49"/>
      <c r="E19" s="49"/>
      <c r="F19" s="49"/>
      <c r="G19" s="66"/>
      <c r="H19" s="49"/>
      <c r="I19" s="66"/>
      <c r="J19" s="49"/>
      <c r="K19" s="49"/>
      <c r="L19" s="49"/>
      <c r="M19" s="66"/>
      <c r="N19" s="49"/>
      <c r="O19" s="49"/>
      <c r="P19" s="49"/>
      <c r="Q19" s="49"/>
    </row>
    <row r="20" spans="1:20" s="44" customFormat="1">
      <c r="A20" s="104"/>
      <c r="B20" s="104"/>
      <c r="C20" s="49"/>
      <c r="D20" s="49"/>
      <c r="E20" s="49"/>
      <c r="F20" s="49"/>
      <c r="G20" s="66"/>
      <c r="H20" s="49"/>
      <c r="I20" s="66"/>
      <c r="J20" s="49"/>
      <c r="K20" s="49"/>
      <c r="L20" s="49"/>
      <c r="M20" s="66"/>
      <c r="N20" s="49"/>
      <c r="O20" s="49"/>
      <c r="P20" s="49"/>
      <c r="Q20" s="49"/>
    </row>
    <row r="21" spans="1:20" s="44" customFormat="1">
      <c r="A21" s="104"/>
      <c r="B21" s="104"/>
      <c r="C21" s="49"/>
      <c r="D21" s="49"/>
      <c r="E21" s="49"/>
      <c r="F21" s="49"/>
      <c r="G21" s="66"/>
      <c r="H21" s="49"/>
      <c r="I21" s="66"/>
      <c r="J21" s="49"/>
      <c r="K21" s="49"/>
      <c r="L21" s="49"/>
      <c r="M21" s="49"/>
      <c r="N21" s="49"/>
      <c r="O21" s="49"/>
      <c r="P21" s="66"/>
      <c r="Q21" s="49"/>
    </row>
    <row r="22" spans="1:20" s="44" customFormat="1">
      <c r="A22" s="104"/>
      <c r="B22" s="104"/>
      <c r="C22" s="49"/>
      <c r="D22" s="49"/>
      <c r="E22" s="49"/>
      <c r="F22" s="49"/>
      <c r="G22" s="66"/>
      <c r="H22" s="49"/>
      <c r="I22" s="66"/>
      <c r="J22" s="49"/>
      <c r="K22" s="49"/>
      <c r="L22" s="49"/>
      <c r="M22" s="66"/>
      <c r="N22" s="49"/>
      <c r="O22" s="49"/>
      <c r="P22" s="66"/>
      <c r="Q22" s="66"/>
    </row>
    <row r="23" spans="1:20" s="44" customFormat="1">
      <c r="A23" s="104"/>
      <c r="B23" s="104"/>
      <c r="C23" s="49"/>
      <c r="D23" s="49"/>
      <c r="E23" s="49"/>
      <c r="F23" s="49"/>
      <c r="G23" s="49"/>
      <c r="H23" s="49"/>
      <c r="I23" s="66"/>
      <c r="J23" s="49"/>
      <c r="K23" s="66"/>
      <c r="L23" s="66"/>
      <c r="M23" s="49"/>
      <c r="N23" s="49"/>
      <c r="O23" s="49"/>
      <c r="P23" s="49"/>
      <c r="Q23" s="49"/>
    </row>
    <row r="24" spans="1:20" s="44" customFormat="1">
      <c r="A24" s="104"/>
      <c r="B24" s="104"/>
      <c r="C24" s="49"/>
      <c r="D24" s="49"/>
      <c r="E24" s="49"/>
      <c r="F24" s="49"/>
      <c r="G24" s="49"/>
      <c r="H24" s="49"/>
      <c r="I24" s="66"/>
      <c r="J24" s="49"/>
      <c r="K24" s="49"/>
      <c r="L24" s="49"/>
      <c r="M24" s="66"/>
      <c r="N24" s="49"/>
      <c r="O24" s="49"/>
      <c r="P24" s="49"/>
      <c r="Q24" s="66"/>
    </row>
    <row r="25" spans="1:20" s="44" customFormat="1">
      <c r="A25" s="104"/>
      <c r="B25" s="104"/>
      <c r="C25" s="49"/>
      <c r="D25" s="49"/>
      <c r="E25" s="49"/>
      <c r="F25" s="49"/>
      <c r="G25" s="66"/>
      <c r="H25" s="49"/>
      <c r="I25" s="66"/>
      <c r="J25" s="49"/>
      <c r="K25" s="49"/>
      <c r="L25" s="49"/>
      <c r="M25" s="66"/>
      <c r="N25" s="49"/>
      <c r="O25" s="49"/>
      <c r="P25" s="49"/>
      <c r="Q25" s="66"/>
    </row>
    <row r="26" spans="1:20" s="44" customFormat="1">
      <c r="A26" s="104"/>
      <c r="B26" s="104"/>
      <c r="C26" s="104"/>
      <c r="D26" s="27"/>
      <c r="E26" s="27"/>
      <c r="F26" s="27"/>
      <c r="G26" s="28"/>
      <c r="H26" s="27"/>
      <c r="I26" s="28"/>
      <c r="J26" s="27"/>
      <c r="K26" s="28"/>
      <c r="L26" s="28"/>
      <c r="M26" s="28"/>
      <c r="N26" s="27"/>
      <c r="O26" s="27"/>
      <c r="P26" s="27"/>
      <c r="Q26" s="29"/>
    </row>
    <row r="27" spans="1:20" s="44" customFormat="1">
      <c r="A27" s="104"/>
      <c r="B27" s="104"/>
      <c r="C27" s="49"/>
      <c r="D27" s="49"/>
      <c r="E27" s="49"/>
      <c r="F27" s="49"/>
      <c r="G27" s="66"/>
      <c r="H27" s="49"/>
      <c r="I27" s="66"/>
      <c r="J27" s="49"/>
      <c r="K27" s="49"/>
      <c r="L27" s="49"/>
      <c r="M27" s="66"/>
      <c r="N27" s="49"/>
      <c r="O27" s="49"/>
      <c r="P27" s="66"/>
      <c r="Q27" s="66"/>
    </row>
    <row r="28" spans="1:20" s="44" customFormat="1">
      <c r="A28" s="104"/>
      <c r="B28" s="104"/>
      <c r="C28" s="104"/>
      <c r="D28" s="104"/>
      <c r="E28" s="104"/>
      <c r="F28" s="104"/>
      <c r="G28" s="104"/>
      <c r="H28" s="104"/>
      <c r="I28" s="104"/>
      <c r="J28" s="104"/>
      <c r="K28" s="104"/>
      <c r="L28" s="104"/>
      <c r="M28" s="104"/>
      <c r="N28" s="104"/>
      <c r="O28" s="104"/>
      <c r="P28" s="104"/>
      <c r="Q28" s="104"/>
    </row>
    <row r="29" spans="1:20" s="44" customFormat="1">
      <c r="A29" s="104"/>
      <c r="B29" s="104"/>
      <c r="C29" s="104"/>
      <c r="D29" s="104"/>
      <c r="E29" s="104"/>
      <c r="F29" s="104"/>
      <c r="G29" s="104"/>
      <c r="H29" s="104"/>
      <c r="I29" s="104"/>
      <c r="J29" s="104"/>
      <c r="K29" s="104"/>
      <c r="L29" s="104"/>
      <c r="M29" s="104"/>
      <c r="N29" s="104"/>
      <c r="O29" s="104"/>
      <c r="P29" s="104"/>
      <c r="Q29" s="104"/>
    </row>
    <row r="30" spans="1:20" s="44" customFormat="1">
      <c r="A30" s="104"/>
      <c r="B30" s="104"/>
      <c r="C30" s="104"/>
      <c r="D30" s="104"/>
      <c r="E30" s="104"/>
      <c r="F30" s="104"/>
      <c r="G30" s="104"/>
      <c r="H30" s="104"/>
      <c r="I30" s="104"/>
      <c r="J30" s="104"/>
      <c r="K30" s="104"/>
      <c r="L30" s="104"/>
      <c r="M30" s="104"/>
      <c r="N30" s="104"/>
      <c r="O30" s="104"/>
      <c r="P30" s="104"/>
      <c r="Q30" s="104"/>
    </row>
    <row r="31" spans="1:20" s="44" customFormat="1">
      <c r="A31" s="104"/>
      <c r="B31" s="104"/>
      <c r="C31" s="104"/>
      <c r="D31" s="104"/>
      <c r="E31" s="104"/>
      <c r="F31" s="104"/>
      <c r="G31" s="104"/>
      <c r="H31" s="104"/>
      <c r="I31" s="104"/>
      <c r="J31" s="104"/>
      <c r="K31" s="104"/>
      <c r="L31" s="104"/>
      <c r="M31" s="104"/>
      <c r="N31" s="104"/>
      <c r="O31" s="104"/>
      <c r="P31" s="104"/>
      <c r="Q31" s="104"/>
    </row>
    <row r="32" spans="1:20" s="44" customFormat="1">
      <c r="A32" s="104"/>
      <c r="B32" s="104"/>
      <c r="C32" s="104"/>
      <c r="D32" s="104"/>
      <c r="E32" s="104"/>
      <c r="F32" s="104"/>
      <c r="G32" s="104"/>
      <c r="H32" s="104"/>
      <c r="I32" s="104"/>
      <c r="J32" s="104"/>
      <c r="K32" s="104"/>
      <c r="L32" s="104"/>
      <c r="M32" s="104"/>
      <c r="N32" s="104"/>
      <c r="O32" s="104"/>
      <c r="P32" s="104"/>
      <c r="Q32" s="104"/>
    </row>
    <row r="33" spans="1:17" s="44" customFormat="1">
      <c r="A33" s="104"/>
      <c r="B33" s="104"/>
      <c r="C33" s="104"/>
      <c r="D33" s="104"/>
      <c r="E33" s="104"/>
      <c r="F33" s="104"/>
      <c r="G33" s="104"/>
      <c r="H33" s="104"/>
      <c r="I33" s="104"/>
      <c r="J33" s="104"/>
      <c r="K33" s="104"/>
      <c r="L33" s="104"/>
      <c r="M33" s="104"/>
      <c r="N33" s="104"/>
      <c r="O33" s="104"/>
      <c r="P33" s="104"/>
      <c r="Q33" s="104"/>
    </row>
    <row r="34" spans="1:17" s="44" customFormat="1">
      <c r="A34" s="104"/>
      <c r="B34" s="104"/>
      <c r="C34" s="104"/>
      <c r="D34" s="104"/>
      <c r="E34" s="104"/>
      <c r="F34" s="104"/>
      <c r="G34" s="104"/>
      <c r="H34" s="104"/>
      <c r="I34" s="104"/>
      <c r="J34" s="104"/>
      <c r="K34" s="104"/>
      <c r="L34" s="104"/>
      <c r="M34" s="104"/>
      <c r="N34" s="104"/>
      <c r="O34" s="104"/>
      <c r="P34" s="104"/>
      <c r="Q34" s="104"/>
    </row>
    <row r="35" spans="1:17" s="44" customFormat="1">
      <c r="A35" s="104"/>
      <c r="B35" s="104"/>
      <c r="C35" s="104"/>
      <c r="D35" s="104"/>
      <c r="E35" s="104"/>
      <c r="F35" s="104"/>
      <c r="G35" s="104"/>
      <c r="H35" s="104"/>
      <c r="I35" s="104"/>
      <c r="J35" s="104"/>
      <c r="K35" s="104"/>
      <c r="L35" s="104"/>
      <c r="M35" s="104"/>
      <c r="N35" s="104"/>
      <c r="O35" s="104"/>
      <c r="P35" s="104"/>
      <c r="Q35" s="104"/>
    </row>
    <row r="36" spans="1:17" s="44" customFormat="1">
      <c r="A36" s="104"/>
      <c r="B36" s="104"/>
      <c r="C36" s="104"/>
      <c r="D36" s="104"/>
      <c r="E36" s="104"/>
      <c r="F36" s="104"/>
      <c r="G36" s="104"/>
      <c r="H36" s="104"/>
      <c r="I36" s="104"/>
      <c r="J36" s="104"/>
      <c r="K36" s="104"/>
      <c r="L36" s="104"/>
      <c r="M36" s="104"/>
      <c r="N36" s="104"/>
      <c r="O36" s="104"/>
      <c r="P36" s="104"/>
      <c r="Q36" s="104"/>
    </row>
    <row r="37" spans="1:17" s="44" customFormat="1">
      <c r="A37" s="84"/>
      <c r="B37" s="84"/>
      <c r="C37" s="84"/>
      <c r="D37" s="84"/>
      <c r="E37" s="84"/>
      <c r="F37" s="84"/>
      <c r="G37" s="84"/>
      <c r="H37" s="84"/>
      <c r="I37" s="84"/>
      <c r="J37" s="84"/>
      <c r="K37" s="84"/>
      <c r="L37" s="84"/>
      <c r="M37" s="84"/>
      <c r="N37" s="84"/>
      <c r="O37" s="84"/>
      <c r="P37" s="84"/>
      <c r="Q37" s="84"/>
    </row>
    <row r="38" spans="1:17" s="44" customFormat="1">
      <c r="A38" s="84"/>
      <c r="B38" s="84"/>
      <c r="C38" s="84"/>
      <c r="D38" s="84"/>
      <c r="E38" s="84"/>
      <c r="F38" s="84"/>
      <c r="G38" s="84"/>
      <c r="H38" s="84"/>
      <c r="I38" s="84"/>
      <c r="J38" s="84"/>
      <c r="K38" s="84"/>
      <c r="L38" s="84"/>
      <c r="M38" s="84"/>
      <c r="N38" s="84"/>
      <c r="O38" s="84"/>
      <c r="P38" s="84"/>
      <c r="Q38" s="84"/>
    </row>
    <row r="39" spans="1:17" s="44" customFormat="1">
      <c r="A39" s="84"/>
      <c r="B39" s="84"/>
      <c r="C39" s="84"/>
      <c r="D39" s="84"/>
      <c r="E39" s="84"/>
      <c r="F39" s="84"/>
      <c r="G39" s="84"/>
      <c r="H39" s="84"/>
      <c r="I39" s="84"/>
      <c r="J39" s="84"/>
      <c r="K39" s="84"/>
      <c r="L39" s="84"/>
      <c r="M39" s="84"/>
      <c r="N39" s="84"/>
      <c r="O39" s="84"/>
      <c r="P39" s="84"/>
      <c r="Q39" s="84"/>
    </row>
    <row r="40" spans="1:17" s="44" customFormat="1">
      <c r="A40" s="84"/>
      <c r="B40" s="84"/>
      <c r="C40" s="84"/>
      <c r="D40" s="84"/>
      <c r="E40" s="84"/>
      <c r="F40" s="84"/>
      <c r="G40" s="84"/>
      <c r="H40" s="84"/>
      <c r="I40" s="84"/>
      <c r="J40" s="84"/>
      <c r="K40" s="84"/>
      <c r="L40" s="84"/>
      <c r="M40" s="84"/>
      <c r="N40" s="84"/>
      <c r="O40" s="84"/>
      <c r="P40" s="84"/>
      <c r="Q40" s="84"/>
    </row>
    <row r="41" spans="1:17" s="44" customFormat="1">
      <c r="A41" s="84"/>
      <c r="B41" s="84"/>
      <c r="C41" s="84"/>
      <c r="D41" s="84"/>
      <c r="E41" s="84"/>
      <c r="F41" s="84"/>
      <c r="G41" s="84"/>
      <c r="H41" s="84"/>
      <c r="I41" s="84"/>
      <c r="J41" s="84"/>
      <c r="K41" s="84"/>
      <c r="L41" s="84"/>
      <c r="M41" s="84"/>
      <c r="N41" s="84"/>
      <c r="O41" s="84"/>
      <c r="P41" s="84"/>
      <c r="Q41" s="84"/>
    </row>
    <row r="42" spans="1:17" s="44" customFormat="1">
      <c r="A42" s="84"/>
      <c r="B42" s="84"/>
      <c r="C42" s="84"/>
      <c r="D42" s="84"/>
      <c r="E42" s="84"/>
      <c r="F42" s="84"/>
      <c r="G42" s="84"/>
      <c r="H42" s="84"/>
      <c r="I42" s="84"/>
      <c r="J42" s="84"/>
      <c r="K42" s="84"/>
      <c r="L42" s="84"/>
      <c r="M42" s="84"/>
      <c r="N42" s="84"/>
      <c r="O42" s="84"/>
      <c r="P42" s="84"/>
      <c r="Q42" s="84"/>
    </row>
    <row r="43" spans="1:17" s="44" customFormat="1">
      <c r="A43" s="84"/>
      <c r="B43" s="84"/>
      <c r="C43" s="84"/>
      <c r="D43" s="84"/>
      <c r="E43" s="84"/>
      <c r="F43" s="84"/>
      <c r="G43" s="84"/>
      <c r="H43" s="84"/>
      <c r="I43" s="84"/>
      <c r="J43" s="84"/>
      <c r="K43" s="84"/>
      <c r="L43" s="84"/>
      <c r="M43" s="84"/>
      <c r="N43" s="84"/>
      <c r="O43" s="84"/>
      <c r="P43" s="84"/>
      <c r="Q43" s="84"/>
    </row>
    <row r="44" spans="1:17" s="44" customFormat="1">
      <c r="A44" s="84"/>
      <c r="B44" s="84"/>
      <c r="C44" s="84"/>
      <c r="D44" s="84"/>
      <c r="E44" s="84"/>
      <c r="F44" s="84"/>
      <c r="G44" s="84"/>
      <c r="H44" s="84"/>
      <c r="I44" s="84"/>
      <c r="J44" s="84"/>
      <c r="K44" s="84"/>
      <c r="L44" s="84"/>
      <c r="M44" s="84"/>
      <c r="N44" s="84"/>
      <c r="O44" s="84"/>
      <c r="P44" s="84"/>
      <c r="Q44" s="84"/>
    </row>
    <row r="45" spans="1:17" s="44" customFormat="1">
      <c r="A45" s="84"/>
      <c r="B45" s="84"/>
      <c r="C45" s="84"/>
      <c r="D45" s="84"/>
      <c r="E45" s="84"/>
      <c r="F45" s="84"/>
      <c r="G45" s="84"/>
      <c r="H45" s="84"/>
      <c r="I45" s="84"/>
      <c r="J45" s="84"/>
      <c r="K45" s="84"/>
      <c r="L45" s="84"/>
      <c r="M45" s="84"/>
      <c r="N45" s="84"/>
      <c r="O45" s="84"/>
      <c r="P45" s="84"/>
      <c r="Q45" s="84"/>
    </row>
    <row r="46" spans="1:17" s="44" customFormat="1">
      <c r="A46" s="84"/>
      <c r="B46" s="84"/>
      <c r="C46" s="84"/>
      <c r="D46" s="84"/>
      <c r="E46" s="84"/>
      <c r="F46" s="84"/>
      <c r="G46" s="84"/>
      <c r="H46" s="84"/>
      <c r="I46" s="84"/>
      <c r="J46" s="84"/>
      <c r="K46" s="84"/>
      <c r="L46" s="84"/>
      <c r="M46" s="84"/>
      <c r="N46" s="84"/>
      <c r="O46" s="84"/>
      <c r="P46" s="84"/>
      <c r="Q46" s="84"/>
    </row>
    <row r="47" spans="1:17" s="44" customFormat="1">
      <c r="A47" s="84"/>
      <c r="B47" s="84"/>
      <c r="C47" s="84"/>
      <c r="D47" s="84"/>
      <c r="E47" s="84"/>
      <c r="F47" s="84"/>
      <c r="G47" s="84"/>
      <c r="H47" s="84"/>
      <c r="I47" s="84"/>
      <c r="J47" s="84"/>
      <c r="K47" s="84"/>
      <c r="L47" s="84"/>
      <c r="M47" s="84"/>
      <c r="N47" s="84"/>
      <c r="O47" s="84"/>
      <c r="P47" s="84"/>
      <c r="Q47" s="84"/>
    </row>
    <row r="48" spans="1:17"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row r="109" spans="1:17" s="44" customFormat="1"/>
    <row r="110" spans="1:17" s="44" customFormat="1"/>
    <row r="111" spans="1:17">
      <c r="A111" s="44"/>
      <c r="B111" s="44"/>
      <c r="C111" s="44"/>
      <c r="D111" s="44"/>
      <c r="E111" s="44"/>
      <c r="F111" s="44"/>
      <c r="G111" s="44"/>
      <c r="H111" s="44"/>
      <c r="I111" s="44"/>
      <c r="J111" s="44"/>
      <c r="K111" s="44"/>
      <c r="L111" s="44"/>
      <c r="M111" s="44"/>
      <c r="N111" s="44"/>
      <c r="O111" s="44"/>
      <c r="P111" s="44"/>
      <c r="Q111" s="44"/>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zoomScale="70" zoomScaleNormal="40" zoomScaleSheetLayoutView="70" workbookViewId="0">
      <selection activeCell="U19" sqref="U19"/>
    </sheetView>
  </sheetViews>
  <sheetFormatPr baseColWidth="10" defaultColWidth="11.42578125" defaultRowHeight="15"/>
  <cols>
    <col min="1" max="1" width="12.7109375" style="84" customWidth="1"/>
    <col min="2" max="2" width="9.85546875" style="84" customWidth="1"/>
    <col min="3" max="3" width="13" style="84" customWidth="1"/>
    <col min="4" max="4" width="9.140625" style="84" customWidth="1"/>
    <col min="5" max="5" width="11.42578125" style="84" customWidth="1"/>
    <col min="6" max="6" width="11.140625" style="84" customWidth="1"/>
    <col min="7" max="7" width="12.140625" style="84" customWidth="1"/>
    <col min="8" max="10" width="10.5703125" style="84" customWidth="1"/>
    <col min="11" max="11" width="11.42578125" style="84" customWidth="1"/>
    <col min="12" max="12" width="9.140625" style="84" customWidth="1"/>
    <col min="13" max="13" width="17" style="84" customWidth="1"/>
    <col min="14" max="14" width="13.85546875" style="84" customWidth="1"/>
    <col min="15" max="15" width="9.5703125" style="84" customWidth="1"/>
    <col min="16" max="16" width="10.42578125" style="84" customWidth="1"/>
    <col min="17" max="17" width="13.7109375" style="84" customWidth="1"/>
    <col min="18" max="18" width="5.140625" style="84" customWidth="1"/>
    <col min="19" max="16384" width="11.42578125" style="84"/>
  </cols>
  <sheetData>
    <row r="1" spans="1:19" ht="78.75" customHeight="1">
      <c r="A1" s="1786"/>
      <c r="B1" s="1786"/>
      <c r="C1" s="1786"/>
      <c r="D1" s="1786"/>
      <c r="E1" s="1786"/>
      <c r="F1" s="1786"/>
      <c r="G1" s="1786"/>
      <c r="H1" s="1786"/>
      <c r="I1" s="1786"/>
      <c r="J1" s="1786"/>
      <c r="K1" s="1786"/>
      <c r="L1" s="1786"/>
      <c r="M1" s="1786"/>
      <c r="N1" s="1786"/>
      <c r="O1" s="1786"/>
      <c r="P1" s="1786"/>
      <c r="Q1" s="1786"/>
    </row>
    <row r="2" spans="1:19" ht="4.5" customHeight="1">
      <c r="A2" s="191"/>
      <c r="B2" s="191"/>
      <c r="C2" s="191"/>
      <c r="D2" s="191"/>
      <c r="E2" s="191"/>
      <c r="F2" s="191"/>
      <c r="G2" s="191"/>
      <c r="H2" s="191"/>
      <c r="I2" s="191"/>
      <c r="J2" s="191"/>
      <c r="K2" s="191"/>
      <c r="L2" s="191"/>
      <c r="M2" s="191"/>
      <c r="N2" s="191"/>
      <c r="O2" s="191"/>
      <c r="P2" s="191"/>
      <c r="Q2" s="191"/>
    </row>
    <row r="3" spans="1:19" s="44" customFormat="1" ht="25.5" customHeight="1">
      <c r="A3" s="1813" t="s">
        <v>173</v>
      </c>
      <c r="B3" s="1814"/>
      <c r="C3" s="1814"/>
      <c r="D3" s="1814"/>
      <c r="E3" s="1814"/>
      <c r="F3" s="1814"/>
      <c r="G3" s="1814"/>
      <c r="H3" s="1814"/>
      <c r="I3" s="1814"/>
      <c r="J3" s="1814"/>
      <c r="K3" s="1814"/>
      <c r="L3" s="1814"/>
      <c r="M3" s="1814"/>
      <c r="N3" s="1814"/>
      <c r="O3" s="1814"/>
      <c r="P3" s="1814"/>
      <c r="Q3" s="1815"/>
    </row>
    <row r="4" spans="1:19" s="44" customFormat="1" ht="33" customHeight="1">
      <c r="A4" s="634" t="s">
        <v>0</v>
      </c>
      <c r="B4" s="626" t="s">
        <v>86</v>
      </c>
      <c r="C4" s="626" t="s">
        <v>87</v>
      </c>
      <c r="D4" s="626" t="s">
        <v>88</v>
      </c>
      <c r="E4" s="626" t="s">
        <v>89</v>
      </c>
      <c r="F4" s="626" t="s">
        <v>90</v>
      </c>
      <c r="G4" s="626" t="s">
        <v>91</v>
      </c>
      <c r="H4" s="626" t="s">
        <v>92</v>
      </c>
      <c r="I4" s="627" t="s">
        <v>93</v>
      </c>
      <c r="J4" s="626" t="s">
        <v>94</v>
      </c>
      <c r="K4" s="619" t="s">
        <v>95</v>
      </c>
      <c r="L4" s="626" t="s">
        <v>96</v>
      </c>
      <c r="M4" s="626" t="s">
        <v>97</v>
      </c>
      <c r="N4" s="626" t="s">
        <v>85</v>
      </c>
      <c r="O4" s="626" t="s">
        <v>98</v>
      </c>
      <c r="P4" s="635" t="s">
        <v>99</v>
      </c>
      <c r="Q4" s="628" t="s">
        <v>100</v>
      </c>
    </row>
    <row r="5" spans="1:19" s="44" customFormat="1" ht="15.75">
      <c r="A5" s="618">
        <v>2005</v>
      </c>
      <c r="B5" s="624">
        <v>0</v>
      </c>
      <c r="C5" s="624">
        <v>57</v>
      </c>
      <c r="D5" s="624">
        <v>14</v>
      </c>
      <c r="E5" s="625">
        <v>135</v>
      </c>
      <c r="F5" s="624">
        <v>0</v>
      </c>
      <c r="G5" s="625">
        <v>76</v>
      </c>
      <c r="H5" s="624">
        <v>8</v>
      </c>
      <c r="I5" s="625">
        <v>133</v>
      </c>
      <c r="J5" s="625">
        <v>310</v>
      </c>
      <c r="K5" s="631">
        <f t="shared" ref="K5:K14" si="0">SUM(B5:J5)</f>
        <v>733</v>
      </c>
      <c r="L5" s="624">
        <v>0</v>
      </c>
      <c r="M5" s="624">
        <v>0</v>
      </c>
      <c r="N5" s="624">
        <v>0</v>
      </c>
      <c r="O5" s="624">
        <v>0</v>
      </c>
      <c r="P5" s="632">
        <f t="shared" ref="P5:P14" si="1">SUM(L5:O5)</f>
        <v>0</v>
      </c>
      <c r="Q5" s="633">
        <f t="shared" ref="Q5:Q14" si="2">K5+P5</f>
        <v>733</v>
      </c>
      <c r="R5" s="58"/>
    </row>
    <row r="6" spans="1:19" s="44" customFormat="1" ht="15.75">
      <c r="A6" s="618">
        <v>2006</v>
      </c>
      <c r="B6" s="624">
        <v>0</v>
      </c>
      <c r="C6" s="624">
        <v>81</v>
      </c>
      <c r="D6" s="624">
        <v>13</v>
      </c>
      <c r="E6" s="625">
        <v>181</v>
      </c>
      <c r="F6" s="624">
        <v>0</v>
      </c>
      <c r="G6" s="625">
        <v>81</v>
      </c>
      <c r="H6" s="624">
        <v>5</v>
      </c>
      <c r="I6" s="625">
        <v>230</v>
      </c>
      <c r="J6" s="625">
        <v>290</v>
      </c>
      <c r="K6" s="631">
        <f t="shared" si="0"/>
        <v>881</v>
      </c>
      <c r="L6" s="624">
        <v>259</v>
      </c>
      <c r="M6" s="624">
        <v>719</v>
      </c>
      <c r="N6" s="624">
        <v>0</v>
      </c>
      <c r="O6" s="624">
        <v>0</v>
      </c>
      <c r="P6" s="632">
        <f t="shared" si="1"/>
        <v>978</v>
      </c>
      <c r="Q6" s="633">
        <f t="shared" si="2"/>
        <v>1859</v>
      </c>
    </row>
    <row r="7" spans="1:19" s="44" customFormat="1" ht="15.75">
      <c r="A7" s="618">
        <v>2007</v>
      </c>
      <c r="B7" s="624">
        <v>0</v>
      </c>
      <c r="C7" s="624">
        <v>363</v>
      </c>
      <c r="D7" s="624">
        <v>10</v>
      </c>
      <c r="E7" s="625">
        <v>208</v>
      </c>
      <c r="F7" s="624">
        <v>0</v>
      </c>
      <c r="G7" s="625">
        <v>55</v>
      </c>
      <c r="H7" s="624">
        <v>8</v>
      </c>
      <c r="I7" s="625">
        <v>288</v>
      </c>
      <c r="J7" s="625">
        <v>213</v>
      </c>
      <c r="K7" s="631">
        <f t="shared" si="0"/>
        <v>1145</v>
      </c>
      <c r="L7" s="624">
        <v>25</v>
      </c>
      <c r="M7" s="624">
        <v>77</v>
      </c>
      <c r="N7" s="624">
        <v>0</v>
      </c>
      <c r="O7" s="624">
        <v>0</v>
      </c>
      <c r="P7" s="632">
        <f t="shared" si="1"/>
        <v>102</v>
      </c>
      <c r="Q7" s="633">
        <f t="shared" si="2"/>
        <v>1247</v>
      </c>
    </row>
    <row r="8" spans="1:19" s="44" customFormat="1" ht="15.75">
      <c r="A8" s="618">
        <v>2008</v>
      </c>
      <c r="B8" s="624">
        <v>0</v>
      </c>
      <c r="C8" s="624">
        <v>0</v>
      </c>
      <c r="D8" s="624">
        <v>0</v>
      </c>
      <c r="E8" s="625">
        <v>288</v>
      </c>
      <c r="F8" s="624">
        <v>0</v>
      </c>
      <c r="G8" s="625">
        <v>65</v>
      </c>
      <c r="H8" s="624">
        <v>19</v>
      </c>
      <c r="I8" s="625">
        <v>362</v>
      </c>
      <c r="J8" s="625">
        <v>228</v>
      </c>
      <c r="K8" s="631">
        <f t="shared" si="0"/>
        <v>962</v>
      </c>
      <c r="L8" s="624">
        <v>7</v>
      </c>
      <c r="M8" s="624">
        <v>59</v>
      </c>
      <c r="N8" s="624">
        <v>0</v>
      </c>
      <c r="O8" s="624">
        <v>0</v>
      </c>
      <c r="P8" s="632">
        <f t="shared" si="1"/>
        <v>66</v>
      </c>
      <c r="Q8" s="633">
        <f t="shared" si="2"/>
        <v>1028</v>
      </c>
    </row>
    <row r="9" spans="1:19" s="44" customFormat="1" ht="15.75">
      <c r="A9" s="618">
        <v>2009</v>
      </c>
      <c r="B9" s="624">
        <v>0</v>
      </c>
      <c r="C9" s="624">
        <v>0</v>
      </c>
      <c r="D9" s="624">
        <v>0</v>
      </c>
      <c r="E9" s="625">
        <v>5982</v>
      </c>
      <c r="F9" s="624">
        <v>0</v>
      </c>
      <c r="G9" s="625">
        <v>5612</v>
      </c>
      <c r="H9" s="624">
        <v>59</v>
      </c>
      <c r="I9" s="625">
        <v>9295</v>
      </c>
      <c r="J9" s="625">
        <v>4268</v>
      </c>
      <c r="K9" s="631">
        <f t="shared" si="0"/>
        <v>25216</v>
      </c>
      <c r="L9" s="624">
        <v>7</v>
      </c>
      <c r="M9" s="624">
        <v>64</v>
      </c>
      <c r="N9" s="624">
        <v>0</v>
      </c>
      <c r="O9" s="624">
        <v>0</v>
      </c>
      <c r="P9" s="632">
        <f t="shared" si="1"/>
        <v>71</v>
      </c>
      <c r="Q9" s="633">
        <f t="shared" si="2"/>
        <v>25287</v>
      </c>
    </row>
    <row r="10" spans="1:19" s="44" customFormat="1" ht="15.75">
      <c r="A10" s="618">
        <v>2010</v>
      </c>
      <c r="B10" s="624">
        <v>0</v>
      </c>
      <c r="C10" s="624">
        <v>0</v>
      </c>
      <c r="D10" s="624">
        <v>0</v>
      </c>
      <c r="E10" s="625">
        <v>2345</v>
      </c>
      <c r="F10" s="624">
        <v>0</v>
      </c>
      <c r="G10" s="625">
        <v>3608</v>
      </c>
      <c r="H10" s="624">
        <v>22</v>
      </c>
      <c r="I10" s="625">
        <v>2869</v>
      </c>
      <c r="J10" s="625">
        <v>1752</v>
      </c>
      <c r="K10" s="631">
        <f t="shared" si="0"/>
        <v>10596</v>
      </c>
      <c r="L10" s="624">
        <v>5</v>
      </c>
      <c r="M10" s="624">
        <v>43</v>
      </c>
      <c r="N10" s="624">
        <v>0</v>
      </c>
      <c r="O10" s="624">
        <v>0</v>
      </c>
      <c r="P10" s="632">
        <f t="shared" si="1"/>
        <v>48</v>
      </c>
      <c r="Q10" s="633">
        <f t="shared" si="2"/>
        <v>10644</v>
      </c>
      <c r="R10" s="122"/>
    </row>
    <row r="11" spans="1:19" s="44" customFormat="1" ht="15.75">
      <c r="A11" s="618">
        <v>2011</v>
      </c>
      <c r="B11" s="624">
        <v>0</v>
      </c>
      <c r="C11" s="624">
        <v>0</v>
      </c>
      <c r="D11" s="624">
        <v>0</v>
      </c>
      <c r="E11" s="625">
        <v>1603</v>
      </c>
      <c r="F11" s="624">
        <v>0</v>
      </c>
      <c r="G11" s="625">
        <v>1068</v>
      </c>
      <c r="H11" s="624">
        <v>23</v>
      </c>
      <c r="I11" s="625">
        <v>2173</v>
      </c>
      <c r="J11" s="625">
        <v>1337</v>
      </c>
      <c r="K11" s="631">
        <f t="shared" si="0"/>
        <v>6204</v>
      </c>
      <c r="L11" s="624">
        <v>23</v>
      </c>
      <c r="M11" s="624">
        <v>41</v>
      </c>
      <c r="N11" s="624">
        <v>0</v>
      </c>
      <c r="O11" s="624">
        <v>0</v>
      </c>
      <c r="P11" s="632">
        <f t="shared" si="1"/>
        <v>64</v>
      </c>
      <c r="Q11" s="633">
        <f t="shared" si="2"/>
        <v>6268</v>
      </c>
      <c r="R11" s="122"/>
    </row>
    <row r="12" spans="1:19" s="44" customFormat="1" ht="15.75">
      <c r="A12" s="618" t="s">
        <v>499</v>
      </c>
      <c r="B12" s="624">
        <v>0</v>
      </c>
      <c r="C12" s="624">
        <v>0</v>
      </c>
      <c r="D12" s="624">
        <v>0</v>
      </c>
      <c r="E12" s="625">
        <v>2631</v>
      </c>
      <c r="F12" s="624">
        <v>0</v>
      </c>
      <c r="G12" s="625">
        <v>1755</v>
      </c>
      <c r="H12" s="624">
        <v>39</v>
      </c>
      <c r="I12" s="625">
        <v>3381</v>
      </c>
      <c r="J12" s="625">
        <v>2221</v>
      </c>
      <c r="K12" s="631">
        <f t="shared" si="0"/>
        <v>10027</v>
      </c>
      <c r="L12" s="624">
        <v>3</v>
      </c>
      <c r="M12" s="624">
        <v>16</v>
      </c>
      <c r="N12" s="624">
        <v>0</v>
      </c>
      <c r="O12" s="624">
        <v>0</v>
      </c>
      <c r="P12" s="632">
        <f t="shared" si="1"/>
        <v>19</v>
      </c>
      <c r="Q12" s="633">
        <f t="shared" si="2"/>
        <v>10046</v>
      </c>
      <c r="R12" s="122"/>
    </row>
    <row r="13" spans="1:19" s="44" customFormat="1" ht="15.75">
      <c r="A13" s="618" t="s">
        <v>619</v>
      </c>
      <c r="B13" s="624">
        <v>0</v>
      </c>
      <c r="C13" s="624">
        <v>0</v>
      </c>
      <c r="D13" s="624">
        <v>0</v>
      </c>
      <c r="E13" s="625">
        <v>3642</v>
      </c>
      <c r="F13" s="624">
        <v>0</v>
      </c>
      <c r="G13" s="625">
        <v>3099</v>
      </c>
      <c r="H13" s="624">
        <v>33</v>
      </c>
      <c r="I13" s="625">
        <v>5417</v>
      </c>
      <c r="J13" s="625">
        <v>3510</v>
      </c>
      <c r="K13" s="631">
        <f t="shared" si="0"/>
        <v>15701</v>
      </c>
      <c r="L13" s="624">
        <v>7</v>
      </c>
      <c r="M13" s="624">
        <v>32</v>
      </c>
      <c r="N13" s="624">
        <v>0</v>
      </c>
      <c r="O13" s="624">
        <v>0</v>
      </c>
      <c r="P13" s="632">
        <f t="shared" si="1"/>
        <v>39</v>
      </c>
      <c r="Q13" s="633">
        <f t="shared" si="2"/>
        <v>15740</v>
      </c>
      <c r="R13" s="122"/>
    </row>
    <row r="14" spans="1:19" s="44" customFormat="1" ht="15.75">
      <c r="A14" s="618" t="str">
        <f>+'[4]V.3.2 Trasp. recibidos'!A15</f>
        <v>2014</v>
      </c>
      <c r="B14" s="624">
        <v>0</v>
      </c>
      <c r="C14" s="624">
        <v>0</v>
      </c>
      <c r="D14" s="624">
        <v>0</v>
      </c>
      <c r="E14" s="625">
        <v>7753</v>
      </c>
      <c r="F14" s="624">
        <v>0</v>
      </c>
      <c r="G14" s="625">
        <v>7468</v>
      </c>
      <c r="H14" s="624">
        <f>14+93</f>
        <v>107</v>
      </c>
      <c r="I14" s="625">
        <v>11143</v>
      </c>
      <c r="J14" s="625">
        <v>5850</v>
      </c>
      <c r="K14" s="631">
        <f t="shared" si="0"/>
        <v>32321</v>
      </c>
      <c r="L14" s="624">
        <v>5</v>
      </c>
      <c r="M14" s="624">
        <f>3+29</f>
        <v>32</v>
      </c>
      <c r="N14" s="624">
        <v>0</v>
      </c>
      <c r="O14" s="624">
        <v>7</v>
      </c>
      <c r="P14" s="632">
        <f t="shared" si="1"/>
        <v>44</v>
      </c>
      <c r="Q14" s="633">
        <f t="shared" si="2"/>
        <v>32365</v>
      </c>
      <c r="R14" s="122"/>
    </row>
    <row r="15" spans="1:19" s="44" customFormat="1" ht="15.75">
      <c r="A15" s="618" t="s">
        <v>632</v>
      </c>
      <c r="B15" s="624">
        <v>0</v>
      </c>
      <c r="C15" s="624">
        <v>0</v>
      </c>
      <c r="D15" s="624">
        <v>0</v>
      </c>
      <c r="E15" s="625">
        <v>206</v>
      </c>
      <c r="F15" s="624">
        <v>0</v>
      </c>
      <c r="G15" s="625">
        <v>143</v>
      </c>
      <c r="H15" s="624">
        <v>7</v>
      </c>
      <c r="I15" s="625">
        <v>527</v>
      </c>
      <c r="J15" s="625">
        <v>313</v>
      </c>
      <c r="K15" s="631">
        <f>SUM(B15:J15)</f>
        <v>1196</v>
      </c>
      <c r="L15" s="624">
        <v>0</v>
      </c>
      <c r="M15" s="624">
        <v>3</v>
      </c>
      <c r="N15" s="624">
        <v>0</v>
      </c>
      <c r="O15" s="624">
        <v>11</v>
      </c>
      <c r="P15" s="632">
        <f>SUM(L15:O15)</f>
        <v>14</v>
      </c>
      <c r="Q15" s="633">
        <f>K15+P15</f>
        <v>1210</v>
      </c>
      <c r="R15" s="122"/>
    </row>
    <row r="16" spans="1:19" ht="15.75">
      <c r="A16" s="550" t="s">
        <v>23</v>
      </c>
      <c r="B16" s="1093">
        <f>SUM(B5:B15)</f>
        <v>0</v>
      </c>
      <c r="C16" s="630">
        <f>SUM(C5:C15)</f>
        <v>501</v>
      </c>
      <c r="D16" s="630">
        <f t="shared" ref="D16:Q16" si="3">SUM(D5:D15)</f>
        <v>37</v>
      </c>
      <c r="E16" s="630">
        <f t="shared" si="3"/>
        <v>24974</v>
      </c>
      <c r="F16" s="630">
        <f t="shared" si="3"/>
        <v>0</v>
      </c>
      <c r="G16" s="630">
        <f t="shared" si="3"/>
        <v>23030</v>
      </c>
      <c r="H16" s="630">
        <f t="shared" si="3"/>
        <v>330</v>
      </c>
      <c r="I16" s="630">
        <f t="shared" si="3"/>
        <v>35818</v>
      </c>
      <c r="J16" s="630">
        <f t="shared" si="3"/>
        <v>20292</v>
      </c>
      <c r="K16" s="630">
        <f t="shared" si="3"/>
        <v>104982</v>
      </c>
      <c r="L16" s="630">
        <f t="shared" si="3"/>
        <v>341</v>
      </c>
      <c r="M16" s="630">
        <f t="shared" si="3"/>
        <v>1086</v>
      </c>
      <c r="N16" s="630">
        <f t="shared" si="3"/>
        <v>0</v>
      </c>
      <c r="O16" s="630">
        <f t="shared" si="3"/>
        <v>18</v>
      </c>
      <c r="P16" s="630">
        <f t="shared" si="3"/>
        <v>1445</v>
      </c>
      <c r="Q16" s="1094">
        <f t="shared" si="3"/>
        <v>106427</v>
      </c>
      <c r="R16" s="122"/>
      <c r="S16" s="44"/>
    </row>
    <row r="17" spans="1:19" s="44" customFormat="1" ht="18" customHeight="1">
      <c r="A17" s="84"/>
      <c r="B17" s="84"/>
      <c r="C17" s="84"/>
      <c r="D17" s="84"/>
      <c r="E17" s="84"/>
      <c r="F17" s="84"/>
      <c r="G17" s="84"/>
      <c r="H17" s="84"/>
      <c r="I17" s="84"/>
      <c r="J17" s="84"/>
      <c r="K17" s="84"/>
      <c r="L17" s="84"/>
      <c r="M17" s="84"/>
      <c r="N17" s="84"/>
      <c r="O17" s="84"/>
      <c r="P17" s="84"/>
      <c r="Q17" s="84"/>
    </row>
    <row r="18" spans="1:19" s="44" customFormat="1">
      <c r="A18" s="104"/>
      <c r="B18" s="104"/>
      <c r="C18" s="104"/>
      <c r="D18" s="104"/>
      <c r="E18" s="104"/>
      <c r="F18" s="104"/>
      <c r="G18" s="104"/>
      <c r="H18" s="104"/>
      <c r="I18" s="104"/>
      <c r="J18" s="104"/>
      <c r="K18" s="104"/>
      <c r="L18" s="104"/>
      <c r="M18" s="104"/>
      <c r="N18" s="104"/>
      <c r="O18" s="104"/>
      <c r="P18" s="104"/>
      <c r="Q18" s="104"/>
    </row>
    <row r="19" spans="1:19" s="44" customFormat="1">
      <c r="A19" s="104"/>
      <c r="B19" s="104"/>
      <c r="C19" s="104"/>
      <c r="D19" s="104"/>
      <c r="E19" s="104"/>
      <c r="F19" s="104"/>
      <c r="G19" s="104"/>
      <c r="H19" s="104"/>
      <c r="I19" s="104"/>
      <c r="J19" s="104"/>
      <c r="K19" s="104"/>
      <c r="L19" s="104"/>
      <c r="M19" s="104"/>
      <c r="N19" s="104"/>
      <c r="O19" s="104"/>
      <c r="P19" s="104"/>
      <c r="Q19" s="104"/>
    </row>
    <row r="20" spans="1:19" s="44" customFormat="1">
      <c r="A20" s="104"/>
      <c r="B20" s="104"/>
      <c r="C20" s="104"/>
      <c r="D20" s="104"/>
      <c r="E20" s="104"/>
      <c r="F20" s="104"/>
      <c r="G20" s="104"/>
      <c r="H20" s="104"/>
      <c r="I20" s="104"/>
      <c r="J20" s="104"/>
      <c r="K20" s="104"/>
      <c r="L20" s="104"/>
      <c r="M20" s="104"/>
      <c r="N20" s="104"/>
      <c r="O20" s="104"/>
      <c r="P20" s="104"/>
      <c r="Q20" s="104"/>
    </row>
    <row r="21" spans="1:19" s="44" customFormat="1">
      <c r="A21" s="104"/>
      <c r="B21" s="104"/>
      <c r="C21" s="104"/>
      <c r="D21" s="104"/>
      <c r="E21" s="104"/>
      <c r="F21" s="104"/>
      <c r="G21" s="104"/>
      <c r="H21" s="104"/>
      <c r="I21" s="104"/>
      <c r="J21" s="104"/>
      <c r="K21" s="104"/>
      <c r="L21" s="104"/>
      <c r="M21" s="104"/>
      <c r="N21" s="104"/>
      <c r="O21" s="104"/>
      <c r="P21" s="104"/>
      <c r="Q21" s="104"/>
    </row>
    <row r="22" spans="1:19" s="44" customFormat="1">
      <c r="A22" s="104"/>
      <c r="B22" s="104"/>
      <c r="C22" s="104"/>
      <c r="D22" s="104"/>
      <c r="E22" s="104"/>
      <c r="F22" s="104"/>
      <c r="G22" s="104"/>
      <c r="H22" s="104"/>
      <c r="I22" s="104"/>
      <c r="J22" s="104"/>
      <c r="K22" s="104"/>
      <c r="L22" s="104"/>
      <c r="M22" s="104"/>
      <c r="N22" s="104"/>
      <c r="O22" s="104"/>
      <c r="P22" s="104"/>
      <c r="Q22" s="104"/>
    </row>
    <row r="23" spans="1:19" s="44" customFormat="1">
      <c r="A23" s="104"/>
      <c r="B23" s="104"/>
      <c r="C23" s="104"/>
      <c r="D23" s="104"/>
      <c r="E23" s="104"/>
      <c r="F23" s="104"/>
      <c r="G23" s="104"/>
      <c r="H23" s="104"/>
      <c r="I23" s="104"/>
      <c r="J23" s="104"/>
      <c r="K23" s="104"/>
      <c r="L23" s="104"/>
      <c r="M23" s="104"/>
      <c r="N23" s="104"/>
      <c r="O23" s="104"/>
      <c r="P23" s="104"/>
      <c r="Q23" s="104"/>
    </row>
    <row r="24" spans="1:19" s="44" customFormat="1">
      <c r="A24" s="104"/>
      <c r="B24" s="104"/>
      <c r="C24" s="104"/>
      <c r="D24" s="104"/>
      <c r="E24" s="104"/>
      <c r="F24" s="104"/>
      <c r="G24" s="104"/>
      <c r="H24" s="104"/>
      <c r="I24" s="104"/>
      <c r="J24" s="104"/>
      <c r="K24" s="104"/>
      <c r="L24" s="104"/>
      <c r="M24" s="104"/>
      <c r="N24" s="104"/>
      <c r="O24" s="104"/>
      <c r="P24" s="104"/>
      <c r="Q24" s="104"/>
    </row>
    <row r="25" spans="1:19" s="44" customFormat="1">
      <c r="A25" s="104"/>
      <c r="B25" s="104"/>
      <c r="C25" s="104"/>
      <c r="D25" s="104"/>
      <c r="E25" s="104"/>
      <c r="F25" s="104"/>
      <c r="G25" s="104"/>
      <c r="H25" s="104"/>
      <c r="I25" s="104"/>
      <c r="J25" s="104"/>
      <c r="K25" s="104"/>
      <c r="L25" s="104"/>
      <c r="M25" s="104"/>
      <c r="N25" s="104"/>
      <c r="O25" s="104"/>
      <c r="P25" s="104"/>
      <c r="Q25" s="104"/>
      <c r="S25" s="84"/>
    </row>
    <row r="26" spans="1:19" s="44" customFormat="1">
      <c r="A26" s="104"/>
      <c r="B26" s="104"/>
      <c r="C26" s="104"/>
      <c r="D26" s="104"/>
      <c r="E26" s="104"/>
      <c r="F26" s="104"/>
      <c r="G26" s="104"/>
      <c r="H26" s="104"/>
      <c r="I26" s="104"/>
      <c r="J26" s="104"/>
      <c r="K26" s="104"/>
      <c r="L26" s="104"/>
      <c r="M26" s="104"/>
      <c r="N26" s="104"/>
      <c r="O26" s="104"/>
      <c r="P26" s="104"/>
      <c r="Q26" s="104"/>
      <c r="S26" s="84"/>
    </row>
    <row r="27" spans="1:19" s="44" customFormat="1">
      <c r="A27" s="104"/>
      <c r="B27" s="104"/>
      <c r="C27" s="104"/>
      <c r="D27" s="104"/>
      <c r="E27" s="104"/>
      <c r="F27" s="104"/>
      <c r="G27" s="104"/>
      <c r="H27" s="104"/>
      <c r="I27" s="104"/>
      <c r="J27" s="104"/>
      <c r="K27" s="104"/>
      <c r="L27" s="104"/>
      <c r="M27" s="104"/>
      <c r="N27" s="104"/>
      <c r="O27" s="104"/>
      <c r="P27" s="104"/>
      <c r="Q27" s="104"/>
      <c r="S27" s="84"/>
    </row>
    <row r="28" spans="1:19" s="44" customFormat="1">
      <c r="A28" s="104"/>
      <c r="B28" s="104"/>
      <c r="C28" s="104"/>
      <c r="D28" s="104"/>
      <c r="E28" s="104"/>
      <c r="F28" s="104"/>
      <c r="G28" s="104"/>
      <c r="H28" s="104"/>
      <c r="I28" s="104"/>
      <c r="J28" s="104"/>
      <c r="K28" s="104"/>
      <c r="L28" s="104"/>
      <c r="M28" s="104"/>
      <c r="N28" s="104"/>
      <c r="O28" s="104"/>
      <c r="P28" s="104"/>
      <c r="Q28" s="104"/>
      <c r="S28" s="84"/>
    </row>
    <row r="29" spans="1:19" s="44" customFormat="1">
      <c r="A29" s="104"/>
      <c r="B29" s="104"/>
      <c r="C29" s="104"/>
      <c r="D29" s="104"/>
      <c r="E29" s="104"/>
      <c r="F29" s="104"/>
      <c r="G29" s="104"/>
      <c r="H29" s="104"/>
      <c r="I29" s="104"/>
      <c r="J29" s="104"/>
      <c r="K29" s="104"/>
      <c r="L29" s="104"/>
      <c r="M29" s="104"/>
      <c r="N29" s="104"/>
      <c r="O29" s="104"/>
      <c r="P29" s="104"/>
      <c r="Q29" s="104"/>
      <c r="S29" s="84"/>
    </row>
    <row r="30" spans="1:19" s="44" customFormat="1">
      <c r="A30" s="104"/>
      <c r="B30" s="104"/>
      <c r="C30" s="104"/>
      <c r="D30" s="104"/>
      <c r="E30" s="104"/>
      <c r="F30" s="104"/>
      <c r="G30" s="104"/>
      <c r="H30" s="104"/>
      <c r="I30" s="104"/>
      <c r="J30" s="104"/>
      <c r="K30" s="104"/>
      <c r="L30" s="104"/>
      <c r="M30" s="104"/>
      <c r="N30" s="104"/>
      <c r="O30" s="104"/>
      <c r="P30" s="104"/>
      <c r="Q30" s="104"/>
      <c r="S30" s="84"/>
    </row>
    <row r="31" spans="1:19" s="44" customFormat="1">
      <c r="A31" s="104"/>
      <c r="B31" s="11"/>
      <c r="C31" s="104"/>
      <c r="D31" s="104"/>
      <c r="E31" s="104"/>
      <c r="F31" s="104"/>
      <c r="G31" s="104"/>
      <c r="H31" s="104"/>
      <c r="I31" s="104"/>
      <c r="J31" s="104"/>
      <c r="K31" s="104"/>
      <c r="L31" s="104"/>
      <c r="M31" s="104"/>
      <c r="N31" s="104"/>
      <c r="O31" s="104"/>
      <c r="P31" s="104"/>
      <c r="Q31" s="104"/>
      <c r="S31" s="84"/>
    </row>
    <row r="32" spans="1:19" s="44" customFormat="1">
      <c r="A32" s="104"/>
      <c r="B32" s="10"/>
      <c r="C32" s="104"/>
      <c r="D32" s="104"/>
      <c r="E32" s="104"/>
      <c r="F32" s="104"/>
      <c r="G32" s="104"/>
      <c r="H32" s="104"/>
      <c r="I32" s="104"/>
      <c r="J32" s="104"/>
      <c r="K32" s="104"/>
      <c r="L32" s="104"/>
      <c r="M32" s="104"/>
      <c r="N32" s="104"/>
      <c r="O32" s="104"/>
      <c r="P32" s="104"/>
      <c r="Q32" s="104"/>
      <c r="S32" s="84"/>
    </row>
    <row r="33" spans="1:19" s="44" customFormat="1">
      <c r="A33" s="104"/>
      <c r="B33" s="30"/>
      <c r="C33" s="104"/>
      <c r="D33" s="104"/>
      <c r="E33" s="104"/>
      <c r="F33" s="104"/>
      <c r="G33" s="104"/>
      <c r="H33" s="104"/>
      <c r="I33" s="104"/>
      <c r="J33" s="104"/>
      <c r="K33" s="104"/>
      <c r="L33" s="104"/>
      <c r="M33" s="104"/>
      <c r="N33" s="104"/>
      <c r="O33" s="104"/>
      <c r="P33" s="104"/>
      <c r="Q33" s="104"/>
      <c r="S33" s="84"/>
    </row>
    <row r="34" spans="1:19" s="44" customFormat="1">
      <c r="A34" s="104"/>
      <c r="B34" s="104"/>
      <c r="C34" s="104"/>
      <c r="D34" s="104"/>
      <c r="E34" s="104"/>
      <c r="F34" s="104"/>
      <c r="G34" s="104"/>
      <c r="H34" s="104"/>
      <c r="I34" s="104"/>
      <c r="J34" s="104"/>
      <c r="K34" s="104"/>
      <c r="L34" s="104"/>
      <c r="M34" s="104"/>
      <c r="N34" s="104"/>
      <c r="O34" s="104"/>
      <c r="P34" s="104"/>
      <c r="Q34" s="104"/>
      <c r="S34" s="84"/>
    </row>
    <row r="35" spans="1:19" s="44" customFormat="1">
      <c r="A35" s="104"/>
      <c r="B35" s="104"/>
      <c r="C35" s="104"/>
      <c r="D35" s="104"/>
      <c r="E35" s="104"/>
      <c r="F35" s="104"/>
      <c r="G35" s="104"/>
      <c r="H35" s="104"/>
      <c r="I35" s="104"/>
      <c r="J35" s="104"/>
      <c r="K35" s="104"/>
      <c r="L35" s="104"/>
      <c r="M35" s="104"/>
      <c r="N35" s="104"/>
      <c r="O35" s="104"/>
      <c r="P35" s="104"/>
      <c r="Q35" s="104"/>
      <c r="S35" s="84"/>
    </row>
    <row r="36" spans="1:19" s="44" customFormat="1">
      <c r="A36" s="104"/>
      <c r="B36" s="104"/>
      <c r="C36" s="104"/>
      <c r="D36" s="104"/>
      <c r="E36" s="104"/>
      <c r="F36" s="104"/>
      <c r="G36" s="104"/>
      <c r="H36" s="104"/>
      <c r="I36" s="104"/>
      <c r="J36" s="104"/>
      <c r="K36" s="104"/>
      <c r="L36" s="104"/>
      <c r="M36" s="104"/>
      <c r="N36" s="104"/>
      <c r="O36" s="104"/>
      <c r="P36" s="104"/>
      <c r="Q36" s="104"/>
      <c r="S36" s="84"/>
    </row>
    <row r="37" spans="1:19" s="44" customFormat="1">
      <c r="A37" s="104"/>
      <c r="B37" s="104"/>
      <c r="C37" s="104"/>
      <c r="D37" s="104"/>
      <c r="E37" s="104"/>
      <c r="F37" s="104"/>
      <c r="G37" s="104"/>
      <c r="H37" s="104"/>
      <c r="I37" s="104"/>
      <c r="J37" s="104"/>
      <c r="K37" s="104"/>
      <c r="L37" s="104"/>
      <c r="M37" s="104"/>
      <c r="N37" s="104"/>
      <c r="O37" s="104"/>
      <c r="P37" s="104"/>
      <c r="Q37" s="104"/>
      <c r="S37" s="84"/>
    </row>
    <row r="38" spans="1:19" s="44" customFormat="1">
      <c r="A38" s="104"/>
      <c r="B38" s="104"/>
      <c r="C38" s="104"/>
      <c r="D38" s="104"/>
      <c r="E38" s="104"/>
      <c r="F38" s="104"/>
      <c r="G38" s="16"/>
      <c r="H38" s="104"/>
      <c r="I38" s="104"/>
      <c r="J38" s="104"/>
      <c r="K38" s="104"/>
      <c r="L38" s="104"/>
      <c r="M38" s="104"/>
      <c r="N38" s="104"/>
      <c r="O38" s="104"/>
      <c r="P38" s="104"/>
      <c r="Q38" s="104"/>
      <c r="S38" s="84"/>
    </row>
    <row r="39" spans="1:19" s="44" customFormat="1">
      <c r="A39" s="84"/>
      <c r="B39" s="84"/>
      <c r="C39" s="84"/>
      <c r="D39" s="84"/>
      <c r="E39" s="84"/>
      <c r="F39" s="84"/>
      <c r="G39" s="84"/>
      <c r="H39" s="84"/>
      <c r="I39" s="84"/>
      <c r="J39" s="84"/>
      <c r="K39" s="84"/>
      <c r="L39" s="84"/>
      <c r="M39" s="84"/>
      <c r="N39" s="84"/>
      <c r="O39" s="84"/>
      <c r="P39" s="84"/>
      <c r="Q39" s="84"/>
      <c r="S39" s="84"/>
    </row>
    <row r="40" spans="1:19" s="44" customFormat="1">
      <c r="A40" s="84"/>
      <c r="B40" s="84"/>
      <c r="C40" s="84"/>
      <c r="D40" s="84"/>
      <c r="E40" s="84"/>
      <c r="F40" s="84"/>
      <c r="G40" s="84"/>
      <c r="H40" s="84"/>
      <c r="I40" s="84"/>
      <c r="J40" s="84"/>
      <c r="K40" s="84"/>
      <c r="L40" s="84"/>
      <c r="M40" s="84"/>
      <c r="N40" s="84"/>
      <c r="O40" s="84"/>
      <c r="P40" s="84"/>
      <c r="Q40" s="84"/>
      <c r="S40" s="84"/>
    </row>
    <row r="41" spans="1:19" s="44" customFormat="1">
      <c r="A41" s="84"/>
      <c r="B41" s="84"/>
      <c r="C41" s="84"/>
      <c r="D41" s="84"/>
      <c r="E41" s="84"/>
      <c r="F41" s="84"/>
      <c r="G41" s="84"/>
      <c r="H41" s="84"/>
      <c r="I41" s="84"/>
      <c r="J41" s="84"/>
      <c r="K41" s="84"/>
      <c r="L41" s="84"/>
      <c r="M41" s="84"/>
      <c r="N41" s="84"/>
      <c r="O41" s="84"/>
      <c r="P41" s="84"/>
      <c r="Q41" s="84"/>
      <c r="S41" s="84"/>
    </row>
    <row r="42" spans="1:19" s="44" customFormat="1">
      <c r="A42" s="84"/>
      <c r="B42" s="84"/>
      <c r="C42" s="84"/>
      <c r="D42" s="84"/>
      <c r="E42" s="84"/>
      <c r="F42" s="84"/>
      <c r="G42" s="84"/>
      <c r="H42" s="84"/>
      <c r="I42" s="84"/>
      <c r="J42" s="84"/>
      <c r="K42" s="84"/>
      <c r="L42" s="84"/>
      <c r="M42" s="84"/>
      <c r="N42" s="84"/>
      <c r="O42" s="84"/>
      <c r="P42" s="84"/>
      <c r="Q42" s="84"/>
      <c r="S42" s="84"/>
    </row>
    <row r="43" spans="1:19" s="44" customFormat="1">
      <c r="A43" s="84"/>
      <c r="B43" s="84"/>
      <c r="C43" s="84"/>
      <c r="D43" s="84"/>
      <c r="E43" s="84"/>
      <c r="F43" s="84"/>
      <c r="G43" s="84"/>
      <c r="H43" s="84"/>
      <c r="I43" s="84"/>
      <c r="J43" s="84"/>
      <c r="K43" s="84"/>
      <c r="L43" s="84"/>
      <c r="M43" s="84"/>
      <c r="N43" s="84"/>
      <c r="O43" s="84"/>
      <c r="P43" s="84"/>
      <c r="Q43" s="84"/>
      <c r="S43" s="84"/>
    </row>
    <row r="44" spans="1:19" s="44" customFormat="1">
      <c r="A44" s="84"/>
      <c r="B44" s="84"/>
      <c r="C44" s="84"/>
      <c r="D44" s="84"/>
      <c r="E44" s="84"/>
      <c r="F44" s="84"/>
      <c r="G44" s="84"/>
      <c r="H44" s="84"/>
      <c r="I44" s="84"/>
      <c r="J44" s="84"/>
      <c r="K44" s="84"/>
      <c r="L44" s="84"/>
      <c r="M44" s="84"/>
      <c r="N44" s="84"/>
      <c r="O44" s="84"/>
      <c r="P44" s="84"/>
      <c r="Q44" s="84"/>
      <c r="S44" s="84"/>
    </row>
    <row r="45" spans="1:19" s="44" customFormat="1">
      <c r="A45" s="84"/>
      <c r="B45" s="84"/>
      <c r="C45" s="84"/>
      <c r="D45" s="84"/>
      <c r="E45" s="84"/>
      <c r="F45" s="84"/>
      <c r="G45" s="84"/>
      <c r="H45" s="84"/>
      <c r="I45" s="84"/>
      <c r="J45" s="84"/>
      <c r="K45" s="84"/>
      <c r="L45" s="84"/>
      <c r="M45" s="84"/>
      <c r="N45" s="84"/>
      <c r="O45" s="84"/>
      <c r="P45" s="84"/>
      <c r="Q45" s="84"/>
      <c r="S45" s="84"/>
    </row>
    <row r="46" spans="1:19" s="44" customFormat="1">
      <c r="A46" s="84"/>
      <c r="B46" s="84"/>
      <c r="C46" s="84"/>
      <c r="D46" s="84"/>
      <c r="E46" s="84"/>
      <c r="F46" s="84"/>
      <c r="G46" s="84"/>
      <c r="H46" s="84"/>
      <c r="I46" s="84"/>
      <c r="J46" s="84"/>
      <c r="K46" s="84"/>
      <c r="L46" s="84"/>
      <c r="M46" s="84"/>
      <c r="N46" s="84"/>
      <c r="O46" s="84"/>
      <c r="P46" s="84"/>
      <c r="Q46" s="84"/>
      <c r="S46" s="84"/>
    </row>
    <row r="47" spans="1:19" s="44" customFormat="1">
      <c r="A47" s="84"/>
      <c r="B47" s="84"/>
      <c r="C47" s="84"/>
      <c r="D47" s="84"/>
      <c r="E47" s="84"/>
      <c r="F47" s="84"/>
      <c r="G47" s="84"/>
      <c r="H47" s="84"/>
      <c r="I47" s="84"/>
      <c r="J47" s="84"/>
      <c r="K47" s="84"/>
      <c r="L47" s="84"/>
      <c r="M47" s="84"/>
      <c r="N47" s="84"/>
      <c r="O47" s="84"/>
      <c r="P47" s="84"/>
      <c r="Q47" s="84"/>
      <c r="S47" s="84"/>
    </row>
    <row r="48" spans="1:19" s="44" customFormat="1">
      <c r="A48" s="84"/>
      <c r="B48" s="84"/>
      <c r="C48" s="84"/>
      <c r="D48" s="84"/>
      <c r="E48" s="84"/>
      <c r="F48" s="84"/>
      <c r="G48" s="84"/>
      <c r="H48" s="84"/>
      <c r="I48" s="84"/>
      <c r="J48" s="84"/>
      <c r="K48" s="84"/>
      <c r="L48" s="84"/>
      <c r="M48" s="84"/>
      <c r="N48" s="84"/>
      <c r="O48" s="84"/>
      <c r="P48" s="84"/>
      <c r="Q48" s="84"/>
      <c r="S48" s="84"/>
    </row>
    <row r="49" spans="1:19" s="44" customFormat="1">
      <c r="A49" s="84"/>
      <c r="B49" s="84"/>
      <c r="C49" s="84"/>
      <c r="D49" s="84"/>
      <c r="E49" s="84"/>
      <c r="F49" s="84"/>
      <c r="G49" s="84"/>
      <c r="H49" s="84"/>
      <c r="I49" s="84"/>
      <c r="J49" s="84"/>
      <c r="K49" s="84"/>
      <c r="L49" s="84"/>
      <c r="M49" s="84"/>
      <c r="N49" s="84"/>
      <c r="O49" s="84"/>
      <c r="P49" s="84"/>
      <c r="Q49" s="84"/>
      <c r="S49" s="84"/>
    </row>
    <row r="50" spans="1:19" s="44" customFormat="1">
      <c r="A50" s="84"/>
      <c r="B50" s="84"/>
      <c r="C50" s="84"/>
      <c r="D50" s="84"/>
      <c r="E50" s="84"/>
      <c r="F50" s="84"/>
      <c r="G50" s="84"/>
      <c r="H50" s="84"/>
      <c r="I50" s="84"/>
      <c r="J50" s="84"/>
      <c r="K50" s="84"/>
      <c r="L50" s="84"/>
      <c r="M50" s="84"/>
      <c r="N50" s="84"/>
      <c r="O50" s="84"/>
      <c r="P50" s="84"/>
      <c r="Q50" s="84"/>
      <c r="S50" s="84"/>
    </row>
    <row r="51" spans="1:19" s="44" customFormat="1">
      <c r="A51" s="84"/>
      <c r="B51" s="84"/>
      <c r="C51" s="84"/>
      <c r="D51" s="84"/>
      <c r="E51" s="84"/>
      <c r="F51" s="84"/>
      <c r="G51" s="84"/>
      <c r="H51" s="84"/>
      <c r="I51" s="84"/>
      <c r="J51" s="84"/>
      <c r="K51" s="84"/>
      <c r="L51" s="84"/>
      <c r="M51" s="84"/>
      <c r="N51" s="84"/>
      <c r="O51" s="84"/>
      <c r="P51" s="84"/>
      <c r="Q51" s="84"/>
      <c r="S51" s="84"/>
    </row>
    <row r="52" spans="1:19" s="44" customFormat="1">
      <c r="A52" s="84"/>
      <c r="B52" s="84"/>
      <c r="C52" s="84"/>
      <c r="D52" s="84"/>
      <c r="E52" s="84"/>
      <c r="F52" s="84"/>
      <c r="G52" s="84"/>
      <c r="H52" s="84"/>
      <c r="I52" s="84"/>
      <c r="J52" s="84"/>
      <c r="K52" s="84"/>
      <c r="L52" s="84"/>
      <c r="M52" s="84"/>
      <c r="N52" s="84"/>
      <c r="O52" s="84"/>
      <c r="P52" s="84"/>
      <c r="Q52" s="84"/>
      <c r="S52" s="84"/>
    </row>
    <row r="53" spans="1:19" s="44" customFormat="1">
      <c r="A53" s="84"/>
      <c r="B53" s="84"/>
      <c r="C53" s="84"/>
      <c r="D53" s="84"/>
      <c r="E53" s="84"/>
      <c r="F53" s="84"/>
      <c r="G53" s="84"/>
      <c r="H53" s="84"/>
      <c r="I53" s="84"/>
      <c r="J53" s="84"/>
      <c r="K53" s="84"/>
      <c r="L53" s="84"/>
      <c r="M53" s="84"/>
      <c r="N53" s="84"/>
      <c r="O53" s="84"/>
      <c r="P53" s="84"/>
      <c r="Q53" s="84"/>
      <c r="S53" s="84"/>
    </row>
    <row r="54" spans="1:19" s="44" customFormat="1">
      <c r="A54" s="84"/>
      <c r="B54" s="84"/>
      <c r="C54" s="84"/>
      <c r="D54" s="84"/>
      <c r="E54" s="84"/>
      <c r="F54" s="84"/>
      <c r="G54" s="84"/>
      <c r="H54" s="84"/>
      <c r="I54" s="84"/>
      <c r="J54" s="84"/>
      <c r="K54" s="84"/>
      <c r="L54" s="84"/>
      <c r="M54" s="84"/>
      <c r="N54" s="84"/>
      <c r="O54" s="84"/>
      <c r="P54" s="84"/>
      <c r="Q54" s="84"/>
      <c r="S54" s="84"/>
    </row>
    <row r="55" spans="1:19" s="44" customFormat="1">
      <c r="A55" s="84"/>
      <c r="B55" s="84"/>
      <c r="C55" s="84"/>
      <c r="D55" s="84"/>
      <c r="E55" s="84"/>
      <c r="F55" s="84"/>
      <c r="G55" s="84"/>
      <c r="H55" s="84"/>
      <c r="I55" s="84"/>
      <c r="J55" s="84"/>
      <c r="K55" s="84"/>
      <c r="L55" s="84"/>
      <c r="M55" s="84"/>
      <c r="N55" s="84"/>
      <c r="O55" s="84"/>
      <c r="P55" s="84"/>
      <c r="Q55" s="84"/>
      <c r="S55" s="84"/>
    </row>
    <row r="56" spans="1:19" s="44" customFormat="1">
      <c r="A56" s="84"/>
      <c r="B56" s="84"/>
      <c r="C56" s="84"/>
      <c r="D56" s="84"/>
      <c r="E56" s="84"/>
      <c r="F56" s="84"/>
      <c r="G56" s="84"/>
      <c r="H56" s="84"/>
      <c r="I56" s="84"/>
      <c r="J56" s="84"/>
      <c r="K56" s="84"/>
      <c r="L56" s="84"/>
      <c r="M56" s="84"/>
      <c r="N56" s="84"/>
      <c r="O56" s="84"/>
      <c r="P56" s="84"/>
      <c r="Q56" s="84"/>
      <c r="S56" s="84"/>
    </row>
    <row r="57" spans="1:19" s="44" customFormat="1">
      <c r="A57" s="84"/>
      <c r="B57" s="84"/>
      <c r="C57" s="84"/>
      <c r="D57" s="84"/>
      <c r="E57" s="84"/>
      <c r="F57" s="84"/>
      <c r="G57" s="84"/>
      <c r="H57" s="84"/>
      <c r="I57" s="84"/>
      <c r="J57" s="84"/>
      <c r="K57" s="84"/>
      <c r="L57" s="84"/>
      <c r="M57" s="84"/>
      <c r="N57" s="84"/>
      <c r="O57" s="84"/>
      <c r="P57" s="84"/>
      <c r="Q57" s="84"/>
      <c r="S57" s="84"/>
    </row>
    <row r="58" spans="1:19" s="44" customFormat="1">
      <c r="A58" s="84"/>
      <c r="B58" s="84"/>
      <c r="C58" s="84"/>
      <c r="D58" s="84"/>
      <c r="E58" s="84"/>
      <c r="F58" s="84"/>
      <c r="G58" s="84"/>
      <c r="H58" s="84"/>
      <c r="I58" s="84"/>
      <c r="J58" s="84"/>
      <c r="K58" s="84"/>
      <c r="L58" s="84"/>
      <c r="M58" s="84"/>
      <c r="N58" s="84"/>
      <c r="O58" s="84"/>
      <c r="P58" s="84"/>
      <c r="Q58" s="84"/>
      <c r="S58" s="84"/>
    </row>
    <row r="59" spans="1:19" s="44" customFormat="1">
      <c r="A59" s="84"/>
      <c r="B59" s="84"/>
      <c r="C59" s="84"/>
      <c r="D59" s="84"/>
      <c r="E59" s="84"/>
      <c r="F59" s="84"/>
      <c r="G59" s="84"/>
      <c r="H59" s="84"/>
      <c r="I59" s="84"/>
      <c r="J59" s="84"/>
      <c r="K59" s="84"/>
      <c r="L59" s="84"/>
      <c r="M59" s="84"/>
      <c r="N59" s="84"/>
      <c r="O59" s="84"/>
      <c r="P59" s="84"/>
      <c r="Q59" s="84"/>
      <c r="S59" s="84"/>
    </row>
    <row r="60" spans="1:19" s="44" customFormat="1">
      <c r="A60" s="84"/>
      <c r="B60" s="84"/>
      <c r="C60" s="84"/>
      <c r="D60" s="84"/>
      <c r="E60" s="84"/>
      <c r="F60" s="84"/>
      <c r="G60" s="84"/>
      <c r="H60" s="84"/>
      <c r="I60" s="84"/>
      <c r="J60" s="84"/>
      <c r="K60" s="84"/>
      <c r="L60" s="84"/>
      <c r="M60" s="84"/>
      <c r="N60" s="84"/>
      <c r="O60" s="84"/>
      <c r="P60" s="84"/>
      <c r="Q60" s="84"/>
      <c r="S60" s="84"/>
    </row>
    <row r="61" spans="1:19" s="44" customFormat="1">
      <c r="A61" s="84"/>
      <c r="B61" s="84"/>
      <c r="C61" s="84"/>
      <c r="D61" s="84"/>
      <c r="E61" s="84"/>
      <c r="F61" s="84"/>
      <c r="G61" s="84"/>
      <c r="H61" s="84"/>
      <c r="I61" s="84"/>
      <c r="J61" s="84"/>
      <c r="K61" s="84"/>
      <c r="L61" s="84"/>
      <c r="M61" s="84"/>
      <c r="N61" s="84"/>
      <c r="O61" s="84"/>
      <c r="P61" s="84"/>
      <c r="Q61" s="84"/>
      <c r="S61" s="84"/>
    </row>
    <row r="62" spans="1:19" s="44" customFormat="1">
      <c r="A62" s="84"/>
      <c r="B62" s="84"/>
      <c r="C62" s="84"/>
      <c r="D62" s="84"/>
      <c r="E62" s="84"/>
      <c r="F62" s="84"/>
      <c r="G62" s="84"/>
      <c r="H62" s="84"/>
      <c r="I62" s="84"/>
      <c r="J62" s="84"/>
      <c r="K62" s="84"/>
      <c r="L62" s="84"/>
      <c r="M62" s="84"/>
      <c r="N62" s="84"/>
      <c r="O62" s="84"/>
      <c r="P62" s="84"/>
      <c r="Q62" s="84"/>
      <c r="S62" s="84"/>
    </row>
    <row r="63" spans="1:19" s="44" customFormat="1">
      <c r="A63" s="84"/>
      <c r="B63" s="84"/>
      <c r="C63" s="84"/>
      <c r="D63" s="84"/>
      <c r="E63" s="84"/>
      <c r="F63" s="84"/>
      <c r="G63" s="84"/>
      <c r="H63" s="84"/>
      <c r="I63" s="84"/>
      <c r="J63" s="84"/>
      <c r="K63" s="84"/>
      <c r="L63" s="84"/>
      <c r="M63" s="84"/>
      <c r="N63" s="84"/>
      <c r="O63" s="84"/>
      <c r="P63" s="84"/>
      <c r="Q63" s="84"/>
      <c r="S63" s="84"/>
    </row>
    <row r="64" spans="1:19" s="44" customFormat="1">
      <c r="A64" s="84"/>
      <c r="B64" s="84"/>
      <c r="C64" s="84"/>
      <c r="D64" s="84"/>
      <c r="E64" s="84"/>
      <c r="F64" s="84"/>
      <c r="G64" s="84"/>
      <c r="H64" s="84"/>
      <c r="I64" s="84"/>
      <c r="J64" s="84"/>
      <c r="K64" s="84"/>
      <c r="L64" s="84"/>
      <c r="M64" s="84"/>
      <c r="N64" s="84"/>
      <c r="O64" s="84"/>
      <c r="P64" s="84"/>
      <c r="Q64" s="84"/>
      <c r="S64" s="84"/>
    </row>
    <row r="65" spans="1:19" s="44" customFormat="1">
      <c r="A65" s="84"/>
      <c r="B65" s="84"/>
      <c r="C65" s="84"/>
      <c r="D65" s="84"/>
      <c r="E65" s="84"/>
      <c r="F65" s="84"/>
      <c r="G65" s="84"/>
      <c r="H65" s="84"/>
      <c r="I65" s="84"/>
      <c r="J65" s="84"/>
      <c r="K65" s="84"/>
      <c r="L65" s="84"/>
      <c r="M65" s="84"/>
      <c r="N65" s="84"/>
      <c r="O65" s="84"/>
      <c r="P65" s="84"/>
      <c r="Q65" s="84"/>
      <c r="S65" s="84"/>
    </row>
    <row r="66" spans="1:19" s="44" customFormat="1">
      <c r="A66" s="84"/>
      <c r="B66" s="84"/>
      <c r="C66" s="84"/>
      <c r="D66" s="84"/>
      <c r="E66" s="84"/>
      <c r="F66" s="84"/>
      <c r="G66" s="84"/>
      <c r="H66" s="84"/>
      <c r="I66" s="84"/>
      <c r="J66" s="84"/>
      <c r="K66" s="84"/>
      <c r="L66" s="84"/>
      <c r="M66" s="84"/>
      <c r="N66" s="84"/>
      <c r="O66" s="84"/>
      <c r="P66" s="84"/>
      <c r="Q66" s="84"/>
      <c r="S66" s="84"/>
    </row>
    <row r="67" spans="1:19" s="44" customFormat="1">
      <c r="A67" s="84"/>
      <c r="B67" s="84"/>
      <c r="C67" s="84"/>
      <c r="D67" s="84"/>
      <c r="E67" s="84"/>
      <c r="F67" s="84"/>
      <c r="G67" s="84"/>
      <c r="H67" s="84"/>
      <c r="I67" s="84"/>
      <c r="J67" s="84"/>
      <c r="K67" s="84"/>
      <c r="L67" s="84"/>
      <c r="M67" s="84"/>
      <c r="N67" s="84"/>
      <c r="O67" s="84"/>
      <c r="P67" s="84"/>
      <c r="Q67" s="84"/>
      <c r="S67" s="84"/>
    </row>
    <row r="68" spans="1:19" s="44" customFormat="1">
      <c r="A68" s="84"/>
      <c r="B68" s="84"/>
      <c r="C68" s="84"/>
      <c r="D68" s="84"/>
      <c r="E68" s="84"/>
      <c r="F68" s="84"/>
      <c r="G68" s="84"/>
      <c r="H68" s="84"/>
      <c r="I68" s="84"/>
      <c r="J68" s="84"/>
      <c r="K68" s="84"/>
      <c r="L68" s="84"/>
      <c r="M68" s="84"/>
      <c r="N68" s="84"/>
      <c r="O68" s="84"/>
      <c r="P68" s="84"/>
      <c r="Q68" s="84"/>
      <c r="S68" s="84"/>
    </row>
    <row r="69" spans="1:19" s="44" customFormat="1">
      <c r="A69" s="84"/>
      <c r="B69" s="84"/>
      <c r="C69" s="84"/>
      <c r="D69" s="84"/>
      <c r="E69" s="84"/>
      <c r="F69" s="84"/>
      <c r="G69" s="84"/>
      <c r="H69" s="84"/>
      <c r="I69" s="84"/>
      <c r="J69" s="84"/>
      <c r="K69" s="84"/>
      <c r="L69" s="84"/>
      <c r="M69" s="84"/>
      <c r="N69" s="84"/>
      <c r="O69" s="84"/>
      <c r="P69" s="84"/>
      <c r="Q69" s="84"/>
      <c r="S69" s="84"/>
    </row>
    <row r="70" spans="1:19" s="44" customFormat="1">
      <c r="A70" s="84"/>
      <c r="B70" s="84"/>
      <c r="C70" s="84"/>
      <c r="D70" s="84"/>
      <c r="E70" s="84"/>
      <c r="F70" s="84"/>
      <c r="G70" s="84"/>
      <c r="H70" s="84"/>
      <c r="I70" s="84"/>
      <c r="J70" s="84"/>
      <c r="K70" s="84"/>
      <c r="L70" s="84"/>
      <c r="M70" s="84"/>
      <c r="N70" s="84"/>
      <c r="O70" s="84"/>
      <c r="P70" s="84"/>
      <c r="Q70" s="84"/>
      <c r="S70" s="84"/>
    </row>
    <row r="71" spans="1:19" s="44" customFormat="1">
      <c r="A71" s="84"/>
      <c r="B71" s="84"/>
      <c r="C71" s="84"/>
      <c r="D71" s="84"/>
      <c r="E71" s="84"/>
      <c r="F71" s="84"/>
      <c r="G71" s="84"/>
      <c r="H71" s="84"/>
      <c r="I71" s="84"/>
      <c r="J71" s="84"/>
      <c r="K71" s="84"/>
      <c r="L71" s="84"/>
      <c r="M71" s="84"/>
      <c r="N71" s="84"/>
      <c r="O71" s="84"/>
      <c r="P71" s="84"/>
      <c r="Q71" s="84"/>
      <c r="S71" s="84"/>
    </row>
    <row r="72" spans="1:19" s="44" customFormat="1">
      <c r="A72" s="84"/>
      <c r="B72" s="84"/>
      <c r="C72" s="84"/>
      <c r="D72" s="84"/>
      <c r="E72" s="84"/>
      <c r="F72" s="84"/>
      <c r="G72" s="84"/>
      <c r="H72" s="84"/>
      <c r="I72" s="84"/>
      <c r="J72" s="84"/>
      <c r="K72" s="84"/>
      <c r="L72" s="84"/>
      <c r="M72" s="84"/>
      <c r="N72" s="84"/>
      <c r="O72" s="84"/>
      <c r="P72" s="84"/>
      <c r="Q72" s="84"/>
      <c r="S72" s="84"/>
    </row>
    <row r="73" spans="1:19" s="44" customFormat="1">
      <c r="A73" s="84"/>
      <c r="B73" s="84"/>
      <c r="C73" s="84"/>
      <c r="D73" s="84"/>
      <c r="E73" s="84"/>
      <c r="F73" s="84"/>
      <c r="G73" s="84"/>
      <c r="H73" s="84"/>
      <c r="I73" s="84"/>
      <c r="J73" s="84"/>
      <c r="K73" s="84"/>
      <c r="L73" s="84"/>
      <c r="M73" s="84"/>
      <c r="N73" s="84"/>
      <c r="O73" s="84"/>
      <c r="P73" s="84"/>
      <c r="Q73" s="84"/>
      <c r="S73" s="84"/>
    </row>
    <row r="74" spans="1:19" s="44" customFormat="1">
      <c r="A74" s="84"/>
      <c r="B74" s="84"/>
      <c r="C74" s="84"/>
      <c r="D74" s="84"/>
      <c r="E74" s="84"/>
      <c r="F74" s="84"/>
      <c r="G74" s="84"/>
      <c r="H74" s="84"/>
      <c r="I74" s="84"/>
      <c r="J74" s="84"/>
      <c r="K74" s="84"/>
      <c r="L74" s="84"/>
      <c r="M74" s="84"/>
      <c r="N74" s="84"/>
      <c r="O74" s="84"/>
      <c r="P74" s="84"/>
      <c r="Q74" s="84"/>
      <c r="S74" s="84"/>
    </row>
    <row r="75" spans="1:19" s="44" customFormat="1">
      <c r="A75" s="84"/>
      <c r="B75" s="84"/>
      <c r="C75" s="84"/>
      <c r="D75" s="84"/>
      <c r="E75" s="84"/>
      <c r="F75" s="84"/>
      <c r="G75" s="84"/>
      <c r="H75" s="84"/>
      <c r="I75" s="84"/>
      <c r="J75" s="84"/>
      <c r="K75" s="84"/>
      <c r="L75" s="84"/>
      <c r="M75" s="84"/>
      <c r="N75" s="84"/>
      <c r="O75" s="84"/>
      <c r="P75" s="84"/>
      <c r="Q75" s="84"/>
      <c r="S75" s="84"/>
    </row>
    <row r="76" spans="1:19" s="44" customFormat="1">
      <c r="A76" s="84"/>
      <c r="B76" s="84"/>
      <c r="C76" s="84"/>
      <c r="D76" s="84"/>
      <c r="E76" s="84"/>
      <c r="F76" s="84"/>
      <c r="G76" s="84"/>
      <c r="H76" s="84"/>
      <c r="I76" s="84"/>
      <c r="J76" s="84"/>
      <c r="K76" s="84"/>
      <c r="L76" s="84"/>
      <c r="M76" s="84"/>
      <c r="N76" s="84"/>
      <c r="O76" s="84"/>
      <c r="P76" s="84"/>
      <c r="Q76" s="84"/>
      <c r="S76" s="84"/>
    </row>
    <row r="77" spans="1:19" s="44" customFormat="1">
      <c r="A77" s="84"/>
      <c r="B77" s="84"/>
      <c r="C77" s="84"/>
      <c r="D77" s="84"/>
      <c r="E77" s="84"/>
      <c r="F77" s="84"/>
      <c r="G77" s="84"/>
      <c r="H77" s="84"/>
      <c r="I77" s="84"/>
      <c r="J77" s="84"/>
      <c r="K77" s="84"/>
      <c r="L77" s="84"/>
      <c r="M77" s="84"/>
      <c r="N77" s="84"/>
      <c r="O77" s="84"/>
      <c r="P77" s="84"/>
      <c r="Q77" s="84"/>
      <c r="S77" s="84"/>
    </row>
    <row r="78" spans="1:19" s="44" customFormat="1">
      <c r="A78" s="84"/>
      <c r="B78" s="84"/>
      <c r="C78" s="84"/>
      <c r="D78" s="84"/>
      <c r="E78" s="84"/>
      <c r="F78" s="84"/>
      <c r="G78" s="84"/>
      <c r="H78" s="84"/>
      <c r="I78" s="84"/>
      <c r="J78" s="84"/>
      <c r="K78" s="84"/>
      <c r="L78" s="84"/>
      <c r="M78" s="84"/>
      <c r="N78" s="84"/>
      <c r="O78" s="84"/>
      <c r="P78" s="84"/>
      <c r="Q78" s="84"/>
      <c r="S78" s="84"/>
    </row>
    <row r="79" spans="1:19" s="44" customFormat="1">
      <c r="A79" s="84"/>
      <c r="B79" s="84"/>
      <c r="C79" s="84"/>
      <c r="D79" s="84"/>
      <c r="E79" s="84"/>
      <c r="F79" s="84"/>
      <c r="G79" s="84"/>
      <c r="H79" s="84"/>
      <c r="I79" s="84"/>
      <c r="J79" s="84"/>
      <c r="K79" s="84"/>
      <c r="L79" s="84"/>
      <c r="M79" s="84"/>
      <c r="N79" s="84"/>
      <c r="O79" s="84"/>
      <c r="P79" s="84"/>
      <c r="Q79" s="84"/>
      <c r="S79" s="84"/>
    </row>
    <row r="80" spans="1:19" s="44" customFormat="1">
      <c r="A80" s="84"/>
      <c r="B80" s="84"/>
      <c r="C80" s="84"/>
      <c r="D80" s="84"/>
      <c r="E80" s="84"/>
      <c r="F80" s="84"/>
      <c r="G80" s="84"/>
      <c r="H80" s="84"/>
      <c r="I80" s="84"/>
      <c r="J80" s="84"/>
      <c r="K80" s="84"/>
      <c r="L80" s="84"/>
      <c r="M80" s="84"/>
      <c r="N80" s="84"/>
      <c r="O80" s="84"/>
      <c r="P80" s="84"/>
      <c r="Q80" s="84"/>
      <c r="S80" s="84"/>
    </row>
    <row r="81" spans="1:19" s="44" customFormat="1">
      <c r="A81" s="84"/>
      <c r="B81" s="84"/>
      <c r="C81" s="84"/>
      <c r="D81" s="84"/>
      <c r="E81" s="84"/>
      <c r="F81" s="84"/>
      <c r="G81" s="84"/>
      <c r="H81" s="84"/>
      <c r="I81" s="84"/>
      <c r="J81" s="84"/>
      <c r="K81" s="84"/>
      <c r="L81" s="84"/>
      <c r="M81" s="84"/>
      <c r="N81" s="84"/>
      <c r="O81" s="84"/>
      <c r="P81" s="84"/>
      <c r="Q81" s="84"/>
      <c r="S81" s="84"/>
    </row>
    <row r="82" spans="1:19" s="44" customFormat="1">
      <c r="A82" s="84"/>
      <c r="B82" s="84"/>
      <c r="C82" s="84"/>
      <c r="D82" s="84"/>
      <c r="E82" s="84"/>
      <c r="F82" s="84"/>
      <c r="G82" s="84"/>
      <c r="H82" s="84"/>
      <c r="I82" s="84"/>
      <c r="J82" s="84"/>
      <c r="K82" s="84"/>
      <c r="L82" s="84"/>
      <c r="M82" s="84"/>
      <c r="N82" s="84"/>
      <c r="O82" s="84"/>
      <c r="P82" s="84"/>
      <c r="Q82" s="84"/>
      <c r="S82" s="84"/>
    </row>
    <row r="83" spans="1:19" s="44" customFormat="1">
      <c r="A83" s="84"/>
      <c r="B83" s="84"/>
      <c r="C83" s="84"/>
      <c r="D83" s="84"/>
      <c r="E83" s="84"/>
      <c r="F83" s="84"/>
      <c r="G83" s="84"/>
      <c r="H83" s="84"/>
      <c r="I83" s="84"/>
      <c r="J83" s="84"/>
      <c r="K83" s="84"/>
      <c r="L83" s="84"/>
      <c r="M83" s="84"/>
      <c r="N83" s="84"/>
      <c r="O83" s="84"/>
      <c r="P83" s="84"/>
      <c r="Q83" s="84"/>
      <c r="S83" s="84"/>
    </row>
    <row r="84" spans="1:19" s="44" customFormat="1">
      <c r="A84" s="84"/>
      <c r="B84" s="84"/>
      <c r="C84" s="84"/>
      <c r="D84" s="84"/>
      <c r="E84" s="84"/>
      <c r="F84" s="84"/>
      <c r="G84" s="84"/>
      <c r="H84" s="84"/>
      <c r="I84" s="84"/>
      <c r="J84" s="84"/>
      <c r="K84" s="84"/>
      <c r="L84" s="84"/>
      <c r="M84" s="84"/>
      <c r="N84" s="84"/>
      <c r="O84" s="84"/>
      <c r="P84" s="84"/>
      <c r="Q84" s="84"/>
      <c r="S84" s="84"/>
    </row>
    <row r="85" spans="1:19" s="44" customFormat="1">
      <c r="A85" s="84"/>
      <c r="B85" s="84"/>
      <c r="C85" s="84"/>
      <c r="D85" s="84"/>
      <c r="E85" s="84"/>
      <c r="F85" s="84"/>
      <c r="G85" s="84"/>
      <c r="H85" s="84"/>
      <c r="I85" s="84"/>
      <c r="J85" s="84"/>
      <c r="K85" s="84"/>
      <c r="L85" s="84"/>
      <c r="M85" s="84"/>
      <c r="N85" s="84"/>
      <c r="O85" s="84"/>
      <c r="P85" s="84"/>
      <c r="Q85" s="84"/>
      <c r="S85" s="84"/>
    </row>
    <row r="86" spans="1:19" s="44" customFormat="1">
      <c r="A86" s="84"/>
      <c r="B86" s="84"/>
      <c r="C86" s="84"/>
      <c r="D86" s="84"/>
      <c r="E86" s="84"/>
      <c r="F86" s="84"/>
      <c r="G86" s="84"/>
      <c r="H86" s="84"/>
      <c r="I86" s="84"/>
      <c r="J86" s="84"/>
      <c r="K86" s="84"/>
      <c r="L86" s="84"/>
      <c r="M86" s="84"/>
      <c r="N86" s="84"/>
      <c r="O86" s="84"/>
      <c r="P86" s="84"/>
      <c r="Q86" s="84"/>
      <c r="S86" s="84"/>
    </row>
    <row r="87" spans="1:19" s="44" customFormat="1">
      <c r="A87" s="84"/>
      <c r="B87" s="84"/>
      <c r="C87" s="84"/>
      <c r="D87" s="84"/>
      <c r="E87" s="84"/>
      <c r="F87" s="84"/>
      <c r="G87" s="84"/>
      <c r="H87" s="84"/>
      <c r="I87" s="84"/>
      <c r="J87" s="84"/>
      <c r="K87" s="84"/>
      <c r="L87" s="84"/>
      <c r="M87" s="84"/>
      <c r="N87" s="84"/>
      <c r="O87" s="84"/>
      <c r="P87" s="84"/>
      <c r="Q87" s="84"/>
      <c r="S87" s="84"/>
    </row>
    <row r="88" spans="1:19" s="44" customFormat="1">
      <c r="A88" s="84"/>
      <c r="B88" s="84"/>
      <c r="C88" s="84"/>
      <c r="D88" s="84"/>
      <c r="E88" s="84"/>
      <c r="F88" s="84"/>
      <c r="G88" s="84"/>
      <c r="H88" s="84"/>
      <c r="I88" s="84"/>
      <c r="J88" s="84"/>
      <c r="K88" s="84"/>
      <c r="L88" s="84"/>
      <c r="M88" s="84"/>
      <c r="N88" s="84"/>
      <c r="O88" s="84"/>
      <c r="P88" s="84"/>
      <c r="Q88" s="84"/>
      <c r="S88" s="84"/>
    </row>
    <row r="89" spans="1:19" s="44" customFormat="1">
      <c r="A89" s="84"/>
      <c r="B89" s="84"/>
      <c r="C89" s="84"/>
      <c r="D89" s="84"/>
      <c r="E89" s="84"/>
      <c r="F89" s="84"/>
      <c r="G89" s="84"/>
      <c r="H89" s="84"/>
      <c r="I89" s="84"/>
      <c r="J89" s="84"/>
      <c r="K89" s="84"/>
      <c r="L89" s="84"/>
      <c r="M89" s="84"/>
      <c r="N89" s="84"/>
      <c r="O89" s="84"/>
      <c r="P89" s="84"/>
      <c r="Q89" s="84"/>
      <c r="S89" s="84"/>
    </row>
    <row r="90" spans="1:19" s="44" customFormat="1">
      <c r="A90" s="84"/>
      <c r="B90" s="84"/>
      <c r="C90" s="84"/>
      <c r="D90" s="84"/>
      <c r="E90" s="84"/>
      <c r="F90" s="84"/>
      <c r="G90" s="84"/>
      <c r="H90" s="84"/>
      <c r="I90" s="84"/>
      <c r="J90" s="84"/>
      <c r="K90" s="84"/>
      <c r="L90" s="84"/>
      <c r="M90" s="84"/>
      <c r="N90" s="84"/>
      <c r="O90" s="84"/>
      <c r="P90" s="84"/>
      <c r="Q90" s="84"/>
      <c r="S90" s="84"/>
    </row>
    <row r="91" spans="1:19" s="44" customFormat="1">
      <c r="A91" s="84"/>
      <c r="B91" s="84"/>
      <c r="C91" s="84"/>
      <c r="D91" s="84"/>
      <c r="E91" s="84"/>
      <c r="F91" s="84"/>
      <c r="G91" s="84"/>
      <c r="H91" s="84"/>
      <c r="I91" s="84"/>
      <c r="J91" s="84"/>
      <c r="K91" s="84"/>
      <c r="L91" s="84"/>
      <c r="M91" s="84"/>
      <c r="N91" s="84"/>
      <c r="O91" s="84"/>
      <c r="P91" s="84"/>
      <c r="Q91" s="84"/>
      <c r="S91" s="84"/>
    </row>
    <row r="92" spans="1:19" s="44" customFormat="1">
      <c r="A92" s="84"/>
      <c r="B92" s="84"/>
      <c r="C92" s="84"/>
      <c r="D92" s="84"/>
      <c r="E92" s="84"/>
      <c r="F92" s="84"/>
      <c r="G92" s="84"/>
      <c r="H92" s="84"/>
      <c r="I92" s="84"/>
      <c r="J92" s="84"/>
      <c r="K92" s="84"/>
      <c r="L92" s="84"/>
      <c r="M92" s="84"/>
      <c r="N92" s="84"/>
      <c r="O92" s="84"/>
      <c r="P92" s="84"/>
      <c r="Q92" s="84"/>
      <c r="S92" s="84"/>
    </row>
    <row r="93" spans="1:19" s="44" customFormat="1">
      <c r="A93" s="84"/>
      <c r="B93" s="84"/>
      <c r="C93" s="84"/>
      <c r="D93" s="84"/>
      <c r="E93" s="84"/>
      <c r="F93" s="84"/>
      <c r="G93" s="84"/>
      <c r="H93" s="84"/>
      <c r="I93" s="84"/>
      <c r="J93" s="84"/>
      <c r="K93" s="84"/>
      <c r="L93" s="84"/>
      <c r="M93" s="84"/>
      <c r="N93" s="84"/>
      <c r="O93" s="84"/>
      <c r="P93" s="84"/>
      <c r="Q93" s="84"/>
      <c r="S93" s="84"/>
    </row>
    <row r="94" spans="1:19" s="44" customFormat="1">
      <c r="A94" s="84"/>
      <c r="B94" s="84"/>
      <c r="C94" s="84"/>
      <c r="D94" s="84"/>
      <c r="E94" s="84"/>
      <c r="F94" s="84"/>
      <c r="G94" s="84"/>
      <c r="H94" s="84"/>
      <c r="I94" s="84"/>
      <c r="J94" s="84"/>
      <c r="K94" s="84"/>
      <c r="L94" s="84"/>
      <c r="M94" s="84"/>
      <c r="N94" s="84"/>
      <c r="O94" s="84"/>
      <c r="P94" s="84"/>
      <c r="Q94" s="84"/>
      <c r="S94" s="84"/>
    </row>
    <row r="95" spans="1:19" s="44" customFormat="1">
      <c r="A95" s="84"/>
      <c r="B95" s="84"/>
      <c r="C95" s="84"/>
      <c r="D95" s="84"/>
      <c r="E95" s="84"/>
      <c r="F95" s="84"/>
      <c r="G95" s="84"/>
      <c r="H95" s="84"/>
      <c r="I95" s="84"/>
      <c r="J95" s="84"/>
      <c r="K95" s="84"/>
      <c r="L95" s="84"/>
      <c r="M95" s="84"/>
      <c r="N95" s="84"/>
      <c r="O95" s="84"/>
      <c r="P95" s="84"/>
      <c r="Q95" s="84"/>
      <c r="S95" s="84"/>
    </row>
    <row r="96" spans="1:19" s="44" customFormat="1">
      <c r="A96" s="84"/>
      <c r="B96" s="84"/>
      <c r="C96" s="84"/>
      <c r="D96" s="84"/>
      <c r="E96" s="84"/>
      <c r="F96" s="84"/>
      <c r="G96" s="84"/>
      <c r="H96" s="84"/>
      <c r="I96" s="84"/>
      <c r="J96" s="84"/>
      <c r="K96" s="84"/>
      <c r="L96" s="84"/>
      <c r="M96" s="84"/>
      <c r="N96" s="84"/>
      <c r="O96" s="84"/>
      <c r="P96" s="84"/>
      <c r="Q96" s="84"/>
      <c r="S96" s="84"/>
    </row>
    <row r="97" spans="1:19" s="44" customFormat="1">
      <c r="A97" s="84"/>
      <c r="B97" s="84"/>
      <c r="C97" s="84"/>
      <c r="D97" s="84"/>
      <c r="E97" s="84"/>
      <c r="F97" s="84"/>
      <c r="G97" s="84"/>
      <c r="H97" s="84"/>
      <c r="I97" s="84"/>
      <c r="J97" s="84"/>
      <c r="K97" s="84"/>
      <c r="L97" s="84"/>
      <c r="M97" s="84"/>
      <c r="N97" s="84"/>
      <c r="O97" s="84"/>
      <c r="P97" s="84"/>
      <c r="Q97" s="84"/>
      <c r="S97" s="84"/>
    </row>
    <row r="98" spans="1:19" s="44" customFormat="1">
      <c r="A98" s="84"/>
      <c r="B98" s="84"/>
      <c r="C98" s="84"/>
      <c r="D98" s="84"/>
      <c r="E98" s="84"/>
      <c r="F98" s="84"/>
      <c r="G98" s="84"/>
      <c r="H98" s="84"/>
      <c r="I98" s="84"/>
      <c r="J98" s="84"/>
      <c r="K98" s="84"/>
      <c r="L98" s="84"/>
      <c r="M98" s="84"/>
      <c r="N98" s="84"/>
      <c r="O98" s="84"/>
      <c r="P98" s="84"/>
      <c r="Q98" s="84"/>
      <c r="S98" s="84"/>
    </row>
    <row r="99" spans="1:19" s="44" customFormat="1">
      <c r="A99" s="84"/>
      <c r="B99" s="84"/>
      <c r="C99" s="84"/>
      <c r="D99" s="84"/>
      <c r="E99" s="84"/>
      <c r="F99" s="84"/>
      <c r="G99" s="84"/>
      <c r="H99" s="84"/>
      <c r="I99" s="84"/>
      <c r="J99" s="84"/>
      <c r="K99" s="84"/>
      <c r="L99" s="84"/>
      <c r="M99" s="84"/>
      <c r="N99" s="84"/>
      <c r="O99" s="84"/>
      <c r="P99" s="84"/>
      <c r="Q99" s="84"/>
      <c r="S99" s="84"/>
    </row>
    <row r="100" spans="1:19" s="44" customFormat="1">
      <c r="A100" s="84"/>
      <c r="B100" s="84"/>
      <c r="C100" s="84"/>
      <c r="D100" s="84"/>
      <c r="E100" s="84"/>
      <c r="F100" s="84"/>
      <c r="G100" s="84"/>
      <c r="H100" s="84"/>
      <c r="I100" s="84"/>
      <c r="J100" s="84"/>
      <c r="K100" s="84"/>
      <c r="L100" s="84"/>
      <c r="M100" s="84"/>
      <c r="N100" s="84"/>
      <c r="O100" s="84"/>
      <c r="P100" s="84"/>
      <c r="Q100" s="84"/>
      <c r="S100" s="84"/>
    </row>
    <row r="101" spans="1:19" s="44" customFormat="1">
      <c r="A101" s="84"/>
      <c r="B101" s="84"/>
      <c r="C101" s="84"/>
      <c r="D101" s="84"/>
      <c r="E101" s="84"/>
      <c r="F101" s="84"/>
      <c r="G101" s="84"/>
      <c r="H101" s="84"/>
      <c r="I101" s="84"/>
      <c r="J101" s="84"/>
      <c r="K101" s="84"/>
      <c r="L101" s="84"/>
      <c r="M101" s="84"/>
      <c r="N101" s="84"/>
      <c r="O101" s="84"/>
      <c r="P101" s="84"/>
      <c r="Q101" s="84"/>
      <c r="S101" s="84"/>
    </row>
    <row r="102" spans="1:19" s="44" customFormat="1">
      <c r="A102" s="84"/>
      <c r="B102" s="84"/>
      <c r="C102" s="84"/>
      <c r="D102" s="84"/>
      <c r="E102" s="84"/>
      <c r="F102" s="84"/>
      <c r="G102" s="84"/>
      <c r="H102" s="84"/>
      <c r="I102" s="84"/>
      <c r="J102" s="84"/>
      <c r="K102" s="84"/>
      <c r="L102" s="84"/>
      <c r="M102" s="84"/>
      <c r="N102" s="84"/>
      <c r="O102" s="84"/>
      <c r="P102" s="84"/>
      <c r="Q102" s="84"/>
      <c r="S102" s="84"/>
    </row>
    <row r="103" spans="1:19" s="44" customFormat="1">
      <c r="S103" s="84"/>
    </row>
    <row r="104" spans="1:19" s="44" customFormat="1">
      <c r="S104" s="84"/>
    </row>
    <row r="105" spans="1:19" s="44" customFormat="1">
      <c r="S105" s="84"/>
    </row>
    <row r="106" spans="1:19" s="44" customFormat="1">
      <c r="S106" s="84"/>
    </row>
    <row r="107" spans="1:19" s="44" customFormat="1">
      <c r="S107" s="84"/>
    </row>
    <row r="108" spans="1:19" s="44" customFormat="1">
      <c r="S108" s="84"/>
    </row>
    <row r="109" spans="1:19" s="44" customFormat="1">
      <c r="S109" s="84"/>
    </row>
    <row r="110" spans="1:19" s="44" customFormat="1">
      <c r="S110" s="84"/>
    </row>
    <row r="111" spans="1:19" s="44" customFormat="1">
      <c r="S111" s="84"/>
    </row>
    <row r="112" spans="1:19" s="44" customFormat="1">
      <c r="S112" s="84"/>
    </row>
    <row r="113" spans="1:19" s="44" customFormat="1">
      <c r="S113" s="84"/>
    </row>
    <row r="114" spans="1:19" s="44" customFormat="1">
      <c r="S114" s="84"/>
    </row>
    <row r="115" spans="1:19">
      <c r="A115" s="44"/>
      <c r="B115" s="44"/>
      <c r="C115" s="44"/>
      <c r="D115" s="44"/>
      <c r="E115" s="44"/>
      <c r="F115" s="44"/>
      <c r="G115" s="44"/>
      <c r="H115" s="44"/>
      <c r="I115" s="44"/>
      <c r="J115" s="44"/>
      <c r="K115" s="44"/>
      <c r="L115" s="44"/>
      <c r="M115" s="44"/>
      <c r="N115" s="44"/>
      <c r="O115" s="44"/>
      <c r="P115" s="44"/>
      <c r="Q115" s="44"/>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topLeftCell="B1" zoomScale="70" zoomScaleNormal="70" zoomScaleSheetLayoutView="70" workbookViewId="0">
      <selection activeCell="T4" sqref="T4:U18"/>
    </sheetView>
  </sheetViews>
  <sheetFormatPr baseColWidth="10" defaultColWidth="11.42578125" defaultRowHeight="15"/>
  <cols>
    <col min="1" max="1" width="17.42578125" style="84" customWidth="1"/>
    <col min="2" max="2" width="10.140625" style="84" customWidth="1"/>
    <col min="3" max="3" width="12" style="84" customWidth="1"/>
    <col min="4" max="4" width="10" style="84" customWidth="1"/>
    <col min="5" max="5" width="10.140625" style="84" customWidth="1"/>
    <col min="6" max="6" width="11.140625" style="84" customWidth="1"/>
    <col min="7" max="7" width="12" style="84" customWidth="1"/>
    <col min="8" max="9" width="11.42578125" style="84"/>
    <col min="10" max="10" width="15.85546875" style="84" customWidth="1"/>
    <col min="11" max="11" width="13.5703125" style="84" customWidth="1"/>
    <col min="12" max="12" width="12.42578125" style="84" customWidth="1"/>
    <col min="13" max="13" width="19.42578125" style="84" customWidth="1"/>
    <col min="14" max="14" width="13.5703125" style="84" customWidth="1"/>
    <col min="15" max="15" width="11.42578125" style="84"/>
    <col min="16" max="16" width="12.42578125" style="84" customWidth="1"/>
    <col min="17" max="17" width="13.28515625" style="84" bestFit="1" customWidth="1"/>
    <col min="18" max="18" width="18.7109375" style="84" customWidth="1"/>
    <col min="19" max="16384" width="11.42578125" style="84"/>
  </cols>
  <sheetData>
    <row r="1" spans="1:20" ht="80.25" customHeight="1">
      <c r="A1" s="1786"/>
      <c r="B1" s="1786"/>
      <c r="C1" s="1786"/>
      <c r="D1" s="1786"/>
      <c r="E1" s="1786"/>
      <c r="F1" s="1786"/>
      <c r="G1" s="1786"/>
      <c r="H1" s="1786"/>
      <c r="I1" s="1786"/>
      <c r="J1" s="1786"/>
      <c r="K1" s="1786"/>
      <c r="L1" s="1786"/>
      <c r="M1" s="1786"/>
      <c r="N1" s="1786"/>
      <c r="O1" s="1786"/>
      <c r="P1" s="1786"/>
      <c r="Q1" s="1786"/>
      <c r="R1" s="1786"/>
      <c r="S1" s="1786"/>
    </row>
    <row r="2" spans="1:20" ht="10.5" customHeight="1">
      <c r="A2" s="1816"/>
      <c r="B2" s="1816"/>
      <c r="C2" s="1816"/>
      <c r="D2" s="1816"/>
      <c r="E2" s="1816"/>
      <c r="F2" s="1816"/>
      <c r="G2" s="1816"/>
      <c r="H2" s="1816"/>
      <c r="I2" s="1816"/>
      <c r="J2" s="1816"/>
      <c r="K2" s="1816"/>
      <c r="L2" s="1816"/>
      <c r="M2" s="1816"/>
      <c r="N2" s="1816"/>
      <c r="O2" s="1816"/>
      <c r="P2" s="1816"/>
      <c r="Q2" s="1816"/>
      <c r="R2" s="1816"/>
      <c r="S2" s="1816"/>
    </row>
    <row r="3" spans="1:20" ht="24.75" customHeight="1">
      <c r="A3" s="1817" t="s">
        <v>174</v>
      </c>
      <c r="B3" s="1818"/>
      <c r="C3" s="1818"/>
      <c r="D3" s="1818"/>
      <c r="E3" s="1818"/>
      <c r="F3" s="1818"/>
      <c r="G3" s="1818"/>
      <c r="H3" s="1818"/>
      <c r="I3" s="1818"/>
      <c r="J3" s="1818"/>
      <c r="K3" s="1818"/>
      <c r="L3" s="1818"/>
      <c r="M3" s="1818"/>
      <c r="N3" s="1818"/>
      <c r="O3" s="1818"/>
      <c r="P3" s="1819"/>
      <c r="R3" s="102"/>
      <c r="S3" s="102"/>
    </row>
    <row r="4" spans="1:20" ht="36" customHeight="1">
      <c r="A4" s="636" t="s">
        <v>0</v>
      </c>
      <c r="B4" s="639" t="s">
        <v>86</v>
      </c>
      <c r="C4" s="639" t="s">
        <v>87</v>
      </c>
      <c r="D4" s="639" t="s">
        <v>88</v>
      </c>
      <c r="E4" s="639" t="s">
        <v>89</v>
      </c>
      <c r="F4" s="639" t="s">
        <v>90</v>
      </c>
      <c r="G4" s="639" t="s">
        <v>91</v>
      </c>
      <c r="H4" s="639" t="s">
        <v>92</v>
      </c>
      <c r="I4" s="640" t="s">
        <v>93</v>
      </c>
      <c r="J4" s="639" t="s">
        <v>94</v>
      </c>
      <c r="K4" s="636" t="s">
        <v>95</v>
      </c>
      <c r="L4" s="639" t="s">
        <v>96</v>
      </c>
      <c r="M4" s="639" t="s">
        <v>97</v>
      </c>
      <c r="N4" s="639" t="s">
        <v>85</v>
      </c>
      <c r="O4" s="639" t="s">
        <v>657</v>
      </c>
      <c r="P4" s="637" t="s">
        <v>99</v>
      </c>
      <c r="R4" s="102"/>
      <c r="S4" s="102"/>
    </row>
    <row r="5" spans="1:20" ht="15.75">
      <c r="A5" s="641">
        <v>2005</v>
      </c>
      <c r="B5" s="638">
        <f>+' Trasp. recibidos'!B5-' Trasp. cedidos'!B5</f>
        <v>0</v>
      </c>
      <c r="C5" s="638">
        <f>+' Trasp. recibidos'!C5-' Trasp. cedidos'!C5</f>
        <v>-53</v>
      </c>
      <c r="D5" s="638">
        <f>+' Trasp. recibidos'!D5-' Trasp. cedidos'!D5</f>
        <v>265</v>
      </c>
      <c r="E5" s="638">
        <f>+' Trasp. recibidos'!E5-' Trasp. cedidos'!E5</f>
        <v>-20</v>
      </c>
      <c r="F5" s="638">
        <f>+' Trasp. recibidos'!F5-' Trasp. cedidos'!F5</f>
        <v>0</v>
      </c>
      <c r="G5" s="638">
        <f>+' Trasp. recibidos'!G5-' Trasp. cedidos'!G5</f>
        <v>52</v>
      </c>
      <c r="H5" s="638">
        <f>+' Trasp. recibidos'!H5-' Trasp. cedidos'!H5</f>
        <v>-5</v>
      </c>
      <c r="I5" s="638">
        <f>+' Trasp. recibidos'!I5-' Trasp. cedidos'!I5</f>
        <v>-65</v>
      </c>
      <c r="J5" s="638">
        <f>+' Trasp. recibidos'!J5-' Trasp. cedidos'!J5</f>
        <v>-174</v>
      </c>
      <c r="K5" s="1076">
        <f t="shared" ref="K5:K13" si="0">SUM(B5:J5)</f>
        <v>0</v>
      </c>
      <c r="L5" s="638">
        <f>+' Trasp. recibidos'!L5-' Trasp. cedidos'!L5</f>
        <v>0</v>
      </c>
      <c r="M5" s="638">
        <f>+' Trasp. recibidos'!M5-' Trasp. cedidos'!M5</f>
        <v>0</v>
      </c>
      <c r="N5" s="638">
        <f>+' Trasp. recibidos'!N5-' Trasp. cedidos'!N5</f>
        <v>0</v>
      </c>
      <c r="O5" s="638">
        <f>+' Trasp. recibidos'!O5-' Trasp. cedidos'!O5</f>
        <v>0</v>
      </c>
      <c r="P5" s="1076">
        <f>SUM(L5:O5)</f>
        <v>0</v>
      </c>
      <c r="T5" s="123"/>
    </row>
    <row r="6" spans="1:20" ht="15.75">
      <c r="A6" s="641">
        <v>2006</v>
      </c>
      <c r="B6" s="638">
        <f>+' Trasp. recibidos'!B6-' Trasp. cedidos'!B6</f>
        <v>0</v>
      </c>
      <c r="C6" s="638">
        <f>+' Trasp. recibidos'!C6-' Trasp. cedidos'!C6</f>
        <v>-62</v>
      </c>
      <c r="D6" s="638">
        <f>+' Trasp. recibidos'!D6-' Trasp. cedidos'!D6</f>
        <v>336</v>
      </c>
      <c r="E6" s="638">
        <f>+' Trasp. recibidos'!E6-' Trasp. cedidos'!E6</f>
        <v>-5</v>
      </c>
      <c r="F6" s="638">
        <f>+' Trasp. recibidos'!F6-' Trasp. cedidos'!F6</f>
        <v>0</v>
      </c>
      <c r="G6" s="638">
        <f>+' Trasp. recibidos'!G6-' Trasp. cedidos'!G6</f>
        <v>989</v>
      </c>
      <c r="H6" s="638">
        <f>+' Trasp. recibidos'!H6-' Trasp. cedidos'!H6</f>
        <v>14</v>
      </c>
      <c r="I6" s="638">
        <f>+' Trasp. recibidos'!I6-' Trasp. cedidos'!I6</f>
        <v>-136</v>
      </c>
      <c r="J6" s="638">
        <f>+' Trasp. recibidos'!J6-' Trasp. cedidos'!J6</f>
        <v>-178</v>
      </c>
      <c r="K6" s="643">
        <f t="shared" si="0"/>
        <v>958</v>
      </c>
      <c r="L6" s="638">
        <f>+' Trasp. recibidos'!L6-' Trasp. cedidos'!L6</f>
        <v>-259</v>
      </c>
      <c r="M6" s="638">
        <f>+' Trasp. recibidos'!M6-' Trasp. cedidos'!M6</f>
        <v>-719</v>
      </c>
      <c r="N6" s="638">
        <f>+' Trasp. recibidos'!N6-' Trasp. cedidos'!N6</f>
        <v>0</v>
      </c>
      <c r="O6" s="638">
        <f>+' Trasp. recibidos'!O6-' Trasp. cedidos'!O6</f>
        <v>20</v>
      </c>
      <c r="P6" s="643">
        <f t="shared" ref="P6:P15" si="1">SUM(L6:O6)</f>
        <v>-958</v>
      </c>
      <c r="R6" s="102"/>
      <c r="S6" s="102"/>
      <c r="T6" s="123"/>
    </row>
    <row r="7" spans="1:20" ht="17.25" customHeight="1">
      <c r="A7" s="641">
        <v>2007</v>
      </c>
      <c r="B7" s="638">
        <f>+' Trasp. recibidos'!B7-' Trasp. cedidos'!B7</f>
        <v>0</v>
      </c>
      <c r="C7" s="638">
        <f>+' Trasp. recibidos'!C7-' Trasp. cedidos'!C7</f>
        <v>-363</v>
      </c>
      <c r="D7" s="638">
        <f>+' Trasp. recibidos'!D7-' Trasp. cedidos'!D7</f>
        <v>47</v>
      </c>
      <c r="E7" s="638">
        <f>+' Trasp. recibidos'!E7-' Trasp. cedidos'!E7</f>
        <v>-72</v>
      </c>
      <c r="F7" s="638">
        <f>+' Trasp. recibidos'!F7-' Trasp. cedidos'!F7</f>
        <v>0</v>
      </c>
      <c r="G7" s="638">
        <f>+' Trasp. recibidos'!G7-' Trasp. cedidos'!G7</f>
        <v>530</v>
      </c>
      <c r="H7" s="638">
        <f>+' Trasp. recibidos'!H7-' Trasp. cedidos'!H7</f>
        <v>0</v>
      </c>
      <c r="I7" s="638">
        <f>+' Trasp. recibidos'!I7-' Trasp. cedidos'!I7</f>
        <v>-261</v>
      </c>
      <c r="J7" s="638">
        <f>+' Trasp. recibidos'!J7-' Trasp. cedidos'!J7</f>
        <v>221</v>
      </c>
      <c r="K7" s="643">
        <f t="shared" si="0"/>
        <v>102</v>
      </c>
      <c r="L7" s="638">
        <f>+' Trasp. recibidos'!L7-' Trasp. cedidos'!L7</f>
        <v>-25</v>
      </c>
      <c r="M7" s="638">
        <f>+' Trasp. recibidos'!M7-' Trasp. cedidos'!M7</f>
        <v>-77</v>
      </c>
      <c r="N7" s="638">
        <f>+' Trasp. recibidos'!N7-' Trasp. cedidos'!N7</f>
        <v>0</v>
      </c>
      <c r="O7" s="638">
        <f>+' Trasp. recibidos'!O7-' Trasp. cedidos'!O7</f>
        <v>0</v>
      </c>
      <c r="P7" s="643">
        <f t="shared" si="1"/>
        <v>-102</v>
      </c>
      <c r="R7" s="102"/>
      <c r="S7" s="102"/>
      <c r="T7" s="123"/>
    </row>
    <row r="8" spans="1:20" ht="17.25" customHeight="1">
      <c r="A8" s="641">
        <v>2008</v>
      </c>
      <c r="B8" s="638">
        <f>+' Trasp. recibidos'!B8-' Trasp. cedidos'!B8</f>
        <v>0</v>
      </c>
      <c r="C8" s="638">
        <f>+' Trasp. recibidos'!C8-' Trasp. cedidos'!C8</f>
        <v>0</v>
      </c>
      <c r="D8" s="638">
        <f>+' Trasp. recibidos'!D8-' Trasp. cedidos'!D8</f>
        <v>0</v>
      </c>
      <c r="E8" s="638">
        <f>+' Trasp. recibidos'!E8-' Trasp. cedidos'!E8</f>
        <v>-71</v>
      </c>
      <c r="F8" s="638">
        <f>+' Trasp. recibidos'!F8-' Trasp. cedidos'!F8</f>
        <v>0</v>
      </c>
      <c r="G8" s="638">
        <f>+' Trasp. recibidos'!G8-' Trasp. cedidos'!G8</f>
        <v>432</v>
      </c>
      <c r="H8" s="638">
        <f>+' Trasp. recibidos'!H8-' Trasp. cedidos'!H8</f>
        <v>-16</v>
      </c>
      <c r="I8" s="638">
        <f>+' Trasp. recibidos'!I8-' Trasp. cedidos'!I8</f>
        <v>-231</v>
      </c>
      <c r="J8" s="638">
        <f>+' Trasp. recibidos'!J8-' Trasp. cedidos'!J8</f>
        <v>-48</v>
      </c>
      <c r="K8" s="643">
        <f t="shared" si="0"/>
        <v>66</v>
      </c>
      <c r="L8" s="638">
        <f>+' Trasp. recibidos'!L8-' Trasp. cedidos'!L8</f>
        <v>-7</v>
      </c>
      <c r="M8" s="638">
        <f>+' Trasp. recibidos'!M8-' Trasp. cedidos'!M8</f>
        <v>-59</v>
      </c>
      <c r="N8" s="638">
        <f>+' Trasp. recibidos'!N8-' Trasp. cedidos'!N8</f>
        <v>0</v>
      </c>
      <c r="O8" s="638">
        <f>+' Trasp. recibidos'!O8-' Trasp. cedidos'!O8</f>
        <v>0</v>
      </c>
      <c r="P8" s="643">
        <f t="shared" si="1"/>
        <v>-66</v>
      </c>
      <c r="R8" s="52"/>
      <c r="S8" s="89"/>
      <c r="T8" s="123"/>
    </row>
    <row r="9" spans="1:20" ht="15.75">
      <c r="A9" s="641">
        <v>2009</v>
      </c>
      <c r="B9" s="638">
        <f>+' Trasp. recibidos'!B9-' Trasp. cedidos'!B9</f>
        <v>0</v>
      </c>
      <c r="C9" s="638">
        <f>+' Trasp. recibidos'!C9-' Trasp. cedidos'!C9</f>
        <v>0</v>
      </c>
      <c r="D9" s="638">
        <f>+' Trasp. recibidos'!D9-' Trasp. cedidos'!D9</f>
        <v>0</v>
      </c>
      <c r="E9" s="638">
        <f>+' Trasp. recibidos'!E9-' Trasp. cedidos'!E9</f>
        <v>-5808</v>
      </c>
      <c r="F9" s="638">
        <f>+' Trasp. recibidos'!F9-' Trasp. cedidos'!F9</f>
        <v>0</v>
      </c>
      <c r="G9" s="638">
        <f>+' Trasp. recibidos'!G9-' Trasp. cedidos'!G9</f>
        <v>-4380</v>
      </c>
      <c r="H9" s="638">
        <f>+' Trasp. recibidos'!H9-' Trasp. cedidos'!H9</f>
        <v>-56</v>
      </c>
      <c r="I9" s="638">
        <f>+' Trasp. recibidos'!I9-' Trasp. cedidos'!I9</f>
        <v>-9243</v>
      </c>
      <c r="J9" s="638">
        <f>+' Trasp. recibidos'!J9-' Trasp. cedidos'!J9</f>
        <v>-4163</v>
      </c>
      <c r="K9" s="643">
        <f t="shared" si="0"/>
        <v>-23650</v>
      </c>
      <c r="L9" s="638">
        <f>+' Trasp. recibidos'!L9-' Trasp. cedidos'!L9</f>
        <v>-7</v>
      </c>
      <c r="M9" s="638">
        <f>+' Trasp. recibidos'!M9-' Trasp. cedidos'!M9</f>
        <v>-64</v>
      </c>
      <c r="N9" s="638">
        <f>+' Trasp. recibidos'!N9-' Trasp. cedidos'!N9</f>
        <v>21139</v>
      </c>
      <c r="O9" s="638">
        <f>+' Trasp. recibidos'!O9-' Trasp. cedidos'!O9</f>
        <v>2582</v>
      </c>
      <c r="P9" s="643">
        <f t="shared" si="1"/>
        <v>23650</v>
      </c>
      <c r="R9" s="142"/>
      <c r="S9" s="102"/>
      <c r="T9" s="121"/>
    </row>
    <row r="10" spans="1:20" ht="15.75">
      <c r="A10" s="641">
        <v>2010</v>
      </c>
      <c r="B10" s="638">
        <f>+' Trasp. recibidos'!B10-' Trasp. cedidos'!B10</f>
        <v>0</v>
      </c>
      <c r="C10" s="638">
        <f>+' Trasp. recibidos'!C10-' Trasp. cedidos'!C10</f>
        <v>0</v>
      </c>
      <c r="D10" s="638">
        <f>+' Trasp. recibidos'!D10-' Trasp. cedidos'!D10</f>
        <v>0</v>
      </c>
      <c r="E10" s="638">
        <f>+' Trasp. recibidos'!E10-' Trasp. cedidos'!E10</f>
        <v>-1840</v>
      </c>
      <c r="F10" s="638">
        <f>+' Trasp. recibidos'!F10-' Trasp. cedidos'!F10</f>
        <v>0</v>
      </c>
      <c r="G10" s="638">
        <f>+' Trasp. recibidos'!G10-' Trasp. cedidos'!G10</f>
        <v>-1137</v>
      </c>
      <c r="H10" s="638">
        <f>+' Trasp. recibidos'!H10-' Trasp. cedidos'!H10</f>
        <v>-20</v>
      </c>
      <c r="I10" s="638">
        <f>+' Trasp. recibidos'!I10-' Trasp. cedidos'!I10</f>
        <v>-2753</v>
      </c>
      <c r="J10" s="638">
        <f>+' Trasp. recibidos'!J10-' Trasp. cedidos'!J10</f>
        <v>-1627</v>
      </c>
      <c r="K10" s="643">
        <f t="shared" si="0"/>
        <v>-7377</v>
      </c>
      <c r="L10" s="638">
        <f>+' Trasp. recibidos'!L10-' Trasp. cedidos'!L10</f>
        <v>-5</v>
      </c>
      <c r="M10" s="638">
        <f>+' Trasp. recibidos'!M10-' Trasp. cedidos'!M10</f>
        <v>-42</v>
      </c>
      <c r="N10" s="638">
        <f>+' Trasp. recibidos'!N10-' Trasp. cedidos'!N10</f>
        <v>3310</v>
      </c>
      <c r="O10" s="638">
        <f>+' Trasp. recibidos'!O10-' Trasp. cedidos'!O10</f>
        <v>4114</v>
      </c>
      <c r="P10" s="643">
        <f t="shared" si="1"/>
        <v>7377</v>
      </c>
      <c r="R10" s="142"/>
      <c r="S10" s="102"/>
      <c r="T10" s="121"/>
    </row>
    <row r="11" spans="1:20" ht="15.75">
      <c r="A11" s="641">
        <v>2011</v>
      </c>
      <c r="B11" s="638">
        <f>+' Trasp. recibidos'!B11-' Trasp. cedidos'!B11</f>
        <v>0</v>
      </c>
      <c r="C11" s="638">
        <f>+' Trasp. recibidos'!C11-' Trasp. cedidos'!C11</f>
        <v>0</v>
      </c>
      <c r="D11" s="638">
        <f>+' Trasp. recibidos'!D11-' Trasp. cedidos'!D11</f>
        <v>0</v>
      </c>
      <c r="E11" s="638">
        <f>+' Trasp. recibidos'!E11-' Trasp. cedidos'!E11</f>
        <v>-1031</v>
      </c>
      <c r="F11" s="638">
        <f>+' Trasp. recibidos'!F11-' Trasp. cedidos'!F11</f>
        <v>0</v>
      </c>
      <c r="G11" s="638">
        <f>+' Trasp. recibidos'!G11-' Trasp. cedidos'!G11</f>
        <v>2090</v>
      </c>
      <c r="H11" s="638">
        <f>+' Trasp. recibidos'!H11-' Trasp. cedidos'!H11</f>
        <v>-15</v>
      </c>
      <c r="I11" s="638">
        <f>+' Trasp. recibidos'!I11-' Trasp. cedidos'!I11</f>
        <v>-1867</v>
      </c>
      <c r="J11" s="638">
        <f>+' Trasp. recibidos'!J11-' Trasp. cedidos'!J11</f>
        <v>-1090</v>
      </c>
      <c r="K11" s="643">
        <f t="shared" si="0"/>
        <v>-1913</v>
      </c>
      <c r="L11" s="638">
        <f>+' Trasp. recibidos'!L11-' Trasp. cedidos'!L11</f>
        <v>-23</v>
      </c>
      <c r="M11" s="638">
        <f>+' Trasp. recibidos'!M11-' Trasp. cedidos'!M11</f>
        <v>-41</v>
      </c>
      <c r="N11" s="638">
        <f>+' Trasp. recibidos'!N11-' Trasp. cedidos'!N11</f>
        <v>1778</v>
      </c>
      <c r="O11" s="638">
        <f>+' Trasp. recibidos'!O11-' Trasp. cedidos'!O11</f>
        <v>199</v>
      </c>
      <c r="P11" s="643">
        <f t="shared" si="1"/>
        <v>1913</v>
      </c>
      <c r="R11" s="142"/>
      <c r="S11" s="102"/>
      <c r="T11" s="121"/>
    </row>
    <row r="12" spans="1:20" ht="15.75">
      <c r="A12" s="641" t="s">
        <v>499</v>
      </c>
      <c r="B12" s="638">
        <f>+' Trasp. recibidos'!B12-' Trasp. cedidos'!B12</f>
        <v>0</v>
      </c>
      <c r="C12" s="638">
        <f>+' Trasp. recibidos'!C12-' Trasp. cedidos'!C12</f>
        <v>0</v>
      </c>
      <c r="D12" s="638">
        <f>+' Trasp. recibidos'!D12-' Trasp. cedidos'!D12</f>
        <v>0</v>
      </c>
      <c r="E12" s="638">
        <f>+' Trasp. recibidos'!E12-' Trasp. cedidos'!E12</f>
        <v>-1617</v>
      </c>
      <c r="F12" s="638">
        <f>+' Trasp. recibidos'!F12-' Trasp. cedidos'!F12</f>
        <v>0</v>
      </c>
      <c r="G12" s="638">
        <f>+' Trasp. recibidos'!G12-' Trasp. cedidos'!G12</f>
        <v>1986</v>
      </c>
      <c r="H12" s="638">
        <f>+' Trasp. recibidos'!H12-' Trasp. cedidos'!H12</f>
        <v>-28</v>
      </c>
      <c r="I12" s="638">
        <f>+' Trasp. recibidos'!I12-' Trasp. cedidos'!I12</f>
        <v>-2359</v>
      </c>
      <c r="J12" s="638">
        <f>+' Trasp. recibidos'!J12-' Trasp. cedidos'!J12</f>
        <v>-1438</v>
      </c>
      <c r="K12" s="643">
        <f t="shared" si="0"/>
        <v>-3456</v>
      </c>
      <c r="L12" s="638">
        <f>+' Trasp. recibidos'!L12-' Trasp. cedidos'!L12</f>
        <v>-3</v>
      </c>
      <c r="M12" s="638">
        <f>+' Trasp. recibidos'!M12-' Trasp. cedidos'!M12</f>
        <v>497</v>
      </c>
      <c r="N12" s="638">
        <f>+' Trasp. recibidos'!N12-' Trasp. cedidos'!N12</f>
        <v>2945</v>
      </c>
      <c r="O12" s="638">
        <f>+' Trasp. recibidos'!O12-' Trasp. cedidos'!O12</f>
        <v>17</v>
      </c>
      <c r="P12" s="643">
        <f t="shared" si="1"/>
        <v>3456</v>
      </c>
      <c r="R12" s="142"/>
      <c r="S12" s="102"/>
      <c r="T12" s="121"/>
    </row>
    <row r="13" spans="1:20" ht="15.75">
      <c r="A13" s="641" t="s">
        <v>619</v>
      </c>
      <c r="B13" s="638">
        <f>+' Trasp. recibidos'!B13-' Trasp. cedidos'!B13</f>
        <v>0</v>
      </c>
      <c r="C13" s="638">
        <f>+' Trasp. recibidos'!C13-' Trasp. cedidos'!C13</f>
        <v>0</v>
      </c>
      <c r="D13" s="638">
        <f>+' Trasp. recibidos'!D13-' Trasp. cedidos'!D13</f>
        <v>0</v>
      </c>
      <c r="E13" s="638">
        <f>+' Trasp. recibidos'!E13-' Trasp. cedidos'!E13</f>
        <v>-2160</v>
      </c>
      <c r="F13" s="638">
        <f>+' Trasp. recibidos'!F13-' Trasp. cedidos'!F13</f>
        <v>0</v>
      </c>
      <c r="G13" s="638">
        <f>+' Trasp. recibidos'!G13-' Trasp. cedidos'!G13</f>
        <v>4515</v>
      </c>
      <c r="H13" s="638">
        <f>+' Trasp. recibidos'!H13-' Trasp. cedidos'!H13</f>
        <v>-26</v>
      </c>
      <c r="I13" s="638">
        <f>+' Trasp. recibidos'!I13-' Trasp. cedidos'!I13</f>
        <v>-3839</v>
      </c>
      <c r="J13" s="638">
        <f>+' Trasp. recibidos'!J13-' Trasp. cedidos'!J13</f>
        <v>-2232</v>
      </c>
      <c r="K13" s="643">
        <f t="shared" si="0"/>
        <v>-3742</v>
      </c>
      <c r="L13" s="638">
        <f>+' Trasp. recibidos'!L13-' Trasp. cedidos'!L13</f>
        <v>-7</v>
      </c>
      <c r="M13" s="638">
        <f>+' Trasp. recibidos'!M13-' Trasp. cedidos'!M13</f>
        <v>-32</v>
      </c>
      <c r="N13" s="638">
        <f>+' Trasp. recibidos'!N13-' Trasp. cedidos'!N13</f>
        <v>2249</v>
      </c>
      <c r="O13" s="638">
        <f>+' Trasp. recibidos'!O13-' Trasp. cedidos'!O13</f>
        <v>1532</v>
      </c>
      <c r="P13" s="643">
        <f t="shared" si="1"/>
        <v>3742</v>
      </c>
      <c r="R13" s="142"/>
      <c r="S13" s="102"/>
      <c r="T13" s="121"/>
    </row>
    <row r="14" spans="1:20" ht="15.75">
      <c r="A14" s="641" t="str">
        <f>+'[4]V.3.3 Trasp. cedidos'!A15</f>
        <v>2014</v>
      </c>
      <c r="B14" s="638">
        <f>+' Trasp. recibidos'!B14-' Trasp. cedidos'!B14</f>
        <v>0</v>
      </c>
      <c r="C14" s="638">
        <f>+' Trasp. recibidos'!C14-' Trasp. cedidos'!C14</f>
        <v>0</v>
      </c>
      <c r="D14" s="638">
        <f>+' Trasp. recibidos'!D14-' Trasp. cedidos'!D14</f>
        <v>0</v>
      </c>
      <c r="E14" s="638">
        <f>+' Trasp. recibidos'!E14-' Trasp. cedidos'!E14</f>
        <v>-5285</v>
      </c>
      <c r="F14" s="638">
        <f>+' Trasp. recibidos'!F14-' Trasp. cedidos'!F14</f>
        <v>0</v>
      </c>
      <c r="G14" s="638">
        <f>+' Trasp. recibidos'!G14-' Trasp. cedidos'!G14</f>
        <v>7338</v>
      </c>
      <c r="H14" s="638">
        <f>+' Trasp. recibidos'!H14-' Trasp. cedidos'!H14</f>
        <v>661</v>
      </c>
      <c r="I14" s="638">
        <f>+' Trasp. recibidos'!I14-' Trasp. cedidos'!I14</f>
        <v>-6830</v>
      </c>
      <c r="J14" s="638">
        <f>+' Trasp. recibidos'!J14-' Trasp. cedidos'!J14</f>
        <v>-3337</v>
      </c>
      <c r="K14" s="643">
        <f>SUM(B14:J14)</f>
        <v>-7453</v>
      </c>
      <c r="L14" s="638">
        <f>+' Trasp. recibidos'!L14-' Trasp. cedidos'!L14</f>
        <v>-5</v>
      </c>
      <c r="M14" s="638">
        <f>+' Trasp. recibidos'!M14-' Trasp. cedidos'!M14</f>
        <v>-32</v>
      </c>
      <c r="N14" s="638">
        <f>+' Trasp. recibidos'!N14-' Trasp. cedidos'!N14</f>
        <v>7035</v>
      </c>
      <c r="O14" s="638">
        <f>+' Trasp. recibidos'!O14-' Trasp. cedidos'!O14</f>
        <v>455</v>
      </c>
      <c r="P14" s="643">
        <f t="shared" si="1"/>
        <v>7453</v>
      </c>
      <c r="R14" s="142"/>
      <c r="S14" s="102"/>
      <c r="T14" s="121"/>
    </row>
    <row r="15" spans="1:20" ht="15.75">
      <c r="A15" s="641" t="s">
        <v>632</v>
      </c>
      <c r="B15" s="638">
        <f>+' Trasp. recibidos'!B15-' Trasp. cedidos'!B15</f>
        <v>0</v>
      </c>
      <c r="C15" s="638">
        <f>+' Trasp. recibidos'!C15-' Trasp. cedidos'!C15</f>
        <v>0</v>
      </c>
      <c r="D15" s="638">
        <f>+' Trasp. recibidos'!D15-' Trasp. cedidos'!D15</f>
        <v>0</v>
      </c>
      <c r="E15" s="638">
        <f>+' Trasp. recibidos'!E15-' Trasp. cedidos'!E15</f>
        <v>-67</v>
      </c>
      <c r="F15" s="638">
        <f>+' Trasp. recibidos'!F15-' Trasp. cedidos'!F15</f>
        <v>0</v>
      </c>
      <c r="G15" s="638">
        <f>+' Trasp. recibidos'!G15-' Trasp. cedidos'!G15</f>
        <v>638</v>
      </c>
      <c r="H15" s="638">
        <f>+' Trasp. recibidos'!H15-' Trasp. cedidos'!H15</f>
        <v>59</v>
      </c>
      <c r="I15" s="638">
        <f>+' Trasp. recibidos'!I15-' Trasp. cedidos'!I15</f>
        <v>-489</v>
      </c>
      <c r="J15" s="638">
        <f>+' Trasp. recibidos'!J15-' Trasp. cedidos'!J15</f>
        <v>-139</v>
      </c>
      <c r="K15" s="643">
        <f>SUM(B15:J15)</f>
        <v>2</v>
      </c>
      <c r="L15" s="638">
        <f>+' Trasp. recibidos'!L15-' Trasp. cedidos'!L15</f>
        <v>0</v>
      </c>
      <c r="M15" s="638">
        <f>+' Trasp. recibidos'!M15-' Trasp. cedidos'!M15</f>
        <v>8</v>
      </c>
      <c r="N15" s="638">
        <v>1</v>
      </c>
      <c r="O15" s="638">
        <f>+' Trasp. recibidos'!O15-' Trasp. cedidos'!O15</f>
        <v>-11</v>
      </c>
      <c r="P15" s="643">
        <f t="shared" si="1"/>
        <v>-2</v>
      </c>
      <c r="R15" s="142"/>
      <c r="S15" s="102"/>
      <c r="T15" s="121"/>
    </row>
    <row r="16" spans="1:20" s="144" customFormat="1" ht="20.25" customHeight="1">
      <c r="A16" s="636" t="s">
        <v>23</v>
      </c>
      <c r="B16" s="644">
        <f>SUM(B5:B15)</f>
        <v>0</v>
      </c>
      <c r="C16" s="642">
        <f>SUM(C5:C15)</f>
        <v>-478</v>
      </c>
      <c r="D16" s="642">
        <f t="shared" ref="D16:J16" si="2">SUM(D5:D15)</f>
        <v>648</v>
      </c>
      <c r="E16" s="642">
        <f t="shared" si="2"/>
        <v>-17976</v>
      </c>
      <c r="F16" s="642">
        <f t="shared" si="2"/>
        <v>0</v>
      </c>
      <c r="G16" s="642">
        <f t="shared" si="2"/>
        <v>13053</v>
      </c>
      <c r="H16" s="642">
        <f t="shared" si="2"/>
        <v>568</v>
      </c>
      <c r="I16" s="642">
        <f t="shared" si="2"/>
        <v>-28073</v>
      </c>
      <c r="J16" s="642">
        <f t="shared" si="2"/>
        <v>-14205</v>
      </c>
      <c r="K16" s="1498">
        <f t="shared" ref="K16:P16" si="3">SUM(K5:K15)</f>
        <v>-46463</v>
      </c>
      <c r="L16" s="642">
        <f t="shared" si="3"/>
        <v>-341</v>
      </c>
      <c r="M16" s="642">
        <f t="shared" si="3"/>
        <v>-561</v>
      </c>
      <c r="N16" s="642">
        <f t="shared" si="3"/>
        <v>38457</v>
      </c>
      <c r="O16" s="642">
        <f t="shared" si="3"/>
        <v>8908</v>
      </c>
      <c r="P16" s="1498">
        <f t="shared" si="3"/>
        <v>46463</v>
      </c>
      <c r="R16" s="613"/>
      <c r="S16" s="614"/>
      <c r="T16" s="615"/>
    </row>
    <row r="17" spans="1:20">
      <c r="A17" s="104"/>
      <c r="B17" s="104"/>
      <c r="C17" s="104"/>
      <c r="D17" s="104"/>
      <c r="E17" s="104"/>
      <c r="F17" s="104"/>
      <c r="H17" s="104"/>
      <c r="I17" s="104"/>
      <c r="J17" s="104"/>
      <c r="K17" s="104"/>
      <c r="L17" s="104"/>
      <c r="M17" s="104"/>
      <c r="N17" s="104"/>
      <c r="O17" s="104"/>
      <c r="P17" s="104"/>
      <c r="Q17" s="104"/>
      <c r="R17" s="104"/>
      <c r="T17" s="123"/>
    </row>
    <row r="18" spans="1:20">
      <c r="A18" s="104"/>
      <c r="B18" s="104"/>
      <c r="C18" s="104"/>
      <c r="D18" s="104"/>
      <c r="E18" s="104"/>
      <c r="F18" s="104"/>
      <c r="G18" s="104"/>
      <c r="H18" s="104"/>
      <c r="I18" s="104"/>
      <c r="J18" s="104"/>
      <c r="K18" s="104"/>
      <c r="L18" s="104"/>
      <c r="M18" s="104"/>
      <c r="N18" s="104"/>
      <c r="O18" s="104"/>
      <c r="P18" s="104"/>
      <c r="Q18" s="104"/>
      <c r="R18" s="104"/>
      <c r="T18" s="123"/>
    </row>
    <row r="19" spans="1:20">
      <c r="A19" s="104"/>
      <c r="B19" s="104"/>
      <c r="C19" s="104"/>
      <c r="D19" s="104"/>
      <c r="E19" s="104"/>
      <c r="F19" s="104"/>
      <c r="G19" s="104"/>
      <c r="H19" s="104"/>
      <c r="I19" s="104"/>
      <c r="J19" s="104"/>
      <c r="K19" s="104"/>
      <c r="L19" s="104"/>
      <c r="M19" s="104"/>
      <c r="N19" s="104"/>
      <c r="O19" s="104"/>
      <c r="P19" s="104"/>
      <c r="Q19" s="104"/>
      <c r="R19" s="104"/>
      <c r="T19" s="123"/>
    </row>
    <row r="20" spans="1:20">
      <c r="A20" s="104"/>
      <c r="B20" s="104"/>
      <c r="C20" s="104"/>
      <c r="D20" s="104"/>
      <c r="E20" s="104"/>
      <c r="F20" s="104"/>
      <c r="G20" s="104"/>
      <c r="H20" s="104"/>
      <c r="I20" s="104"/>
      <c r="J20" s="104"/>
      <c r="K20" s="104"/>
      <c r="L20" s="104"/>
      <c r="M20" s="104"/>
      <c r="N20" s="104"/>
      <c r="O20" s="104"/>
      <c r="P20" s="104"/>
      <c r="Q20" s="104"/>
      <c r="R20" s="104"/>
      <c r="T20" s="123"/>
    </row>
    <row r="21" spans="1:20">
      <c r="A21" s="104"/>
      <c r="B21" s="104"/>
      <c r="C21" s="104"/>
      <c r="D21" s="104"/>
      <c r="E21" s="104"/>
      <c r="F21" s="104"/>
      <c r="G21" s="104"/>
      <c r="H21" s="104"/>
      <c r="I21" s="104"/>
      <c r="J21" s="104"/>
      <c r="K21" s="104"/>
      <c r="L21" s="104"/>
      <c r="M21" s="104"/>
      <c r="N21" s="104"/>
      <c r="O21" s="104"/>
      <c r="P21" s="104"/>
      <c r="Q21" s="104"/>
      <c r="R21" s="104"/>
      <c r="T21" s="123"/>
    </row>
    <row r="22" spans="1:20">
      <c r="A22" s="104"/>
      <c r="B22" s="104"/>
      <c r="C22" s="104"/>
      <c r="D22" s="104"/>
      <c r="E22" s="104"/>
      <c r="F22" s="104"/>
      <c r="G22" s="104"/>
      <c r="H22" s="104"/>
      <c r="I22" s="104"/>
      <c r="J22" s="104"/>
      <c r="K22" s="104"/>
      <c r="L22" s="104"/>
      <c r="M22" s="104"/>
      <c r="N22" s="104"/>
      <c r="O22" s="104"/>
      <c r="P22" s="104"/>
      <c r="Q22" s="104"/>
      <c r="R22" s="104"/>
    </row>
    <row r="23" spans="1:20">
      <c r="A23" s="104"/>
      <c r="B23" s="104"/>
      <c r="C23" s="104"/>
      <c r="D23" s="104"/>
      <c r="E23" s="104"/>
      <c r="F23" s="104"/>
      <c r="G23" s="104"/>
      <c r="H23" s="104"/>
      <c r="I23" s="104"/>
      <c r="J23" s="104"/>
      <c r="K23" s="104"/>
      <c r="L23" s="104"/>
      <c r="M23" s="104"/>
      <c r="N23" s="104"/>
      <c r="O23" s="104"/>
      <c r="P23" s="104"/>
      <c r="Q23" s="104"/>
      <c r="R23" s="104"/>
    </row>
    <row r="24" spans="1:20">
      <c r="A24" s="104"/>
      <c r="B24" s="104"/>
      <c r="C24" s="104"/>
      <c r="D24" s="104"/>
      <c r="E24" s="104"/>
      <c r="F24" s="104"/>
      <c r="G24" s="104"/>
      <c r="H24" s="104"/>
      <c r="I24" s="104"/>
      <c r="J24" s="104"/>
      <c r="K24" s="104"/>
      <c r="L24" s="104"/>
      <c r="M24" s="104"/>
      <c r="N24" s="104"/>
      <c r="O24" s="104"/>
      <c r="P24" s="104"/>
      <c r="Q24" s="104"/>
      <c r="R24" s="104"/>
    </row>
    <row r="25" spans="1:20">
      <c r="A25" s="104"/>
      <c r="B25" s="104"/>
      <c r="C25" s="104"/>
      <c r="D25" s="104"/>
      <c r="E25" s="104"/>
      <c r="F25" s="104"/>
      <c r="G25" s="104"/>
      <c r="H25" s="104"/>
      <c r="I25" s="104"/>
      <c r="J25" s="104"/>
      <c r="K25" s="104"/>
      <c r="L25" s="104"/>
      <c r="M25" s="104"/>
      <c r="N25" s="104"/>
      <c r="O25" s="104"/>
      <c r="P25" s="104"/>
      <c r="Q25" s="104"/>
      <c r="R25" s="104"/>
    </row>
    <row r="26" spans="1:20">
      <c r="A26" s="104"/>
      <c r="B26" s="104"/>
      <c r="C26" s="104"/>
      <c r="D26" s="104"/>
      <c r="E26" s="104"/>
      <c r="F26" s="104"/>
      <c r="G26" s="104"/>
      <c r="H26" s="104"/>
      <c r="I26" s="104"/>
      <c r="J26" s="104"/>
      <c r="K26" s="104"/>
      <c r="L26" s="104"/>
      <c r="M26" s="104"/>
      <c r="N26" s="104"/>
      <c r="O26" s="104"/>
      <c r="P26" s="104"/>
      <c r="Q26" s="104"/>
      <c r="R26" s="104"/>
    </row>
    <row r="27" spans="1:20">
      <c r="A27" s="104"/>
      <c r="B27" s="104"/>
      <c r="C27" s="104"/>
      <c r="D27" s="104"/>
      <c r="E27" s="104"/>
      <c r="F27" s="104"/>
      <c r="G27" s="104"/>
      <c r="H27" s="104"/>
      <c r="I27" s="104"/>
      <c r="J27" s="104"/>
      <c r="K27" s="104"/>
      <c r="L27" s="104"/>
      <c r="M27" s="104"/>
      <c r="N27" s="104"/>
      <c r="O27" s="104"/>
      <c r="P27" s="104"/>
      <c r="Q27" s="104"/>
      <c r="R27" s="104"/>
      <c r="T27" s="123"/>
    </row>
    <row r="28" spans="1:20">
      <c r="A28" s="104"/>
      <c r="B28" s="104"/>
      <c r="C28" s="104"/>
      <c r="D28" s="104"/>
      <c r="E28" s="104"/>
      <c r="F28" s="104"/>
      <c r="G28" s="104"/>
      <c r="H28" s="104"/>
      <c r="I28" s="104"/>
      <c r="J28" s="104"/>
      <c r="K28" s="104"/>
      <c r="L28" s="104"/>
      <c r="M28" s="104"/>
      <c r="N28" s="104"/>
      <c r="O28" s="104"/>
      <c r="P28" s="104"/>
      <c r="Q28" s="104"/>
      <c r="R28" s="104"/>
      <c r="T28" s="123"/>
    </row>
    <row r="29" spans="1:20">
      <c r="A29" s="104"/>
      <c r="B29" s="104"/>
      <c r="C29" s="104"/>
      <c r="D29" s="104"/>
      <c r="E29" s="104"/>
      <c r="F29" s="104"/>
      <c r="G29" s="104"/>
      <c r="H29" s="104"/>
      <c r="I29" s="104"/>
      <c r="J29" s="104"/>
      <c r="K29" s="104"/>
      <c r="L29" s="104"/>
      <c r="M29" s="104"/>
      <c r="N29" s="104"/>
      <c r="O29" s="104"/>
      <c r="P29" s="104"/>
      <c r="Q29" s="104"/>
      <c r="R29" s="104"/>
      <c r="T29" s="123"/>
    </row>
    <row r="30" spans="1:20">
      <c r="A30" s="104"/>
      <c r="B30" s="104"/>
      <c r="C30" s="104"/>
      <c r="D30" s="104"/>
      <c r="E30" s="104"/>
      <c r="F30" s="104"/>
      <c r="G30" s="104"/>
      <c r="H30" s="104"/>
      <c r="I30" s="104"/>
      <c r="J30" s="104"/>
      <c r="K30" s="104"/>
      <c r="L30" s="104"/>
      <c r="M30" s="104"/>
      <c r="N30" s="104"/>
      <c r="O30" s="104"/>
      <c r="P30" s="104"/>
      <c r="Q30" s="104"/>
      <c r="R30" s="104"/>
      <c r="T30" s="123"/>
    </row>
    <row r="31" spans="1:20">
      <c r="A31" s="104"/>
      <c r="B31" s="104"/>
      <c r="C31" s="104"/>
      <c r="D31" s="104"/>
      <c r="E31" s="104"/>
      <c r="F31" s="104"/>
      <c r="G31" s="104"/>
      <c r="H31" s="104"/>
      <c r="I31" s="104"/>
      <c r="J31" s="104"/>
      <c r="K31" s="104"/>
      <c r="L31" s="104"/>
      <c r="M31" s="104"/>
      <c r="N31" s="104"/>
      <c r="O31" s="104"/>
      <c r="P31" s="104"/>
      <c r="Q31" s="104"/>
      <c r="R31" s="104"/>
      <c r="T31" s="123"/>
    </row>
    <row r="32" spans="1:20">
      <c r="A32" s="104"/>
      <c r="B32" s="104"/>
      <c r="C32" s="104"/>
      <c r="D32" s="104"/>
      <c r="E32" s="104"/>
      <c r="F32" s="104"/>
      <c r="G32" s="104"/>
      <c r="H32" s="104"/>
      <c r="I32" s="104"/>
      <c r="J32" s="104"/>
      <c r="K32" s="104"/>
      <c r="L32" s="104"/>
      <c r="M32" s="104"/>
      <c r="N32" s="104"/>
      <c r="O32" s="104"/>
      <c r="P32" s="104"/>
      <c r="Q32" s="104"/>
      <c r="R32" s="104"/>
    </row>
    <row r="33" spans="1:18">
      <c r="A33" s="104"/>
      <c r="B33" s="104"/>
      <c r="C33" s="104"/>
      <c r="D33" s="104"/>
      <c r="E33" s="104"/>
      <c r="F33" s="104"/>
      <c r="G33" s="104"/>
      <c r="H33" s="104"/>
      <c r="I33" s="104"/>
      <c r="J33" s="104"/>
      <c r="K33" s="104"/>
      <c r="L33" s="104"/>
      <c r="M33" s="104"/>
      <c r="N33" s="104"/>
      <c r="O33" s="104"/>
      <c r="P33" s="104"/>
      <c r="Q33" s="104"/>
      <c r="R33" s="104"/>
    </row>
    <row r="34" spans="1:18">
      <c r="A34" s="104"/>
      <c r="B34" s="104"/>
      <c r="C34" s="104"/>
      <c r="D34" s="104"/>
      <c r="E34" s="104"/>
      <c r="F34" s="104"/>
      <c r="G34" s="104"/>
      <c r="H34" s="104"/>
      <c r="I34" s="104"/>
      <c r="J34" s="104"/>
      <c r="K34" s="104"/>
      <c r="L34" s="104"/>
      <c r="M34" s="104"/>
      <c r="N34" s="104"/>
      <c r="O34" s="104"/>
      <c r="P34" s="104"/>
      <c r="Q34" s="104"/>
      <c r="R34" s="104"/>
    </row>
    <row r="35" spans="1:18">
      <c r="A35" s="104"/>
      <c r="B35" s="104"/>
      <c r="C35" s="104"/>
      <c r="D35" s="30"/>
      <c r="E35" s="104"/>
      <c r="F35" s="104"/>
      <c r="G35" s="104"/>
      <c r="H35" s="104"/>
      <c r="I35" s="104"/>
      <c r="J35" s="104"/>
      <c r="K35" s="104"/>
      <c r="L35" s="104"/>
      <c r="M35" s="104"/>
      <c r="N35" s="104"/>
      <c r="O35" s="104"/>
      <c r="P35" s="104"/>
      <c r="Q35" s="104"/>
      <c r="R35" s="104"/>
    </row>
    <row r="36" spans="1:18">
      <c r="A36" s="104"/>
      <c r="B36" s="104"/>
      <c r="C36" s="104"/>
      <c r="D36" s="104"/>
      <c r="E36" s="104"/>
      <c r="F36" s="104"/>
      <c r="G36" s="104"/>
      <c r="H36" s="104"/>
      <c r="I36" s="104"/>
      <c r="J36" s="104"/>
      <c r="K36" s="104"/>
      <c r="L36" s="104"/>
      <c r="M36" s="104"/>
      <c r="N36" s="104"/>
      <c r="O36" s="104"/>
      <c r="P36" s="104"/>
      <c r="Q36" s="104"/>
      <c r="R36" s="104"/>
    </row>
    <row r="37" spans="1:18">
      <c r="A37" s="104"/>
      <c r="B37" s="104"/>
      <c r="C37" s="104"/>
      <c r="D37" s="104"/>
      <c r="E37" s="104"/>
      <c r="F37" s="104"/>
      <c r="G37" s="104"/>
      <c r="H37" s="104"/>
      <c r="I37" s="104"/>
      <c r="J37" s="104"/>
      <c r="K37" s="104"/>
      <c r="L37" s="104"/>
      <c r="M37" s="104"/>
      <c r="N37" s="104"/>
      <c r="O37" s="104"/>
      <c r="P37" s="104"/>
      <c r="Q37" s="104"/>
      <c r="R37" s="104"/>
    </row>
    <row r="38" spans="1:18">
      <c r="A38" s="104"/>
      <c r="B38" s="104"/>
      <c r="C38" s="104"/>
      <c r="D38" s="104"/>
      <c r="E38" s="104"/>
      <c r="F38" s="104"/>
      <c r="G38" s="104"/>
      <c r="H38" s="104"/>
      <c r="I38" s="104"/>
      <c r="J38" s="104"/>
      <c r="K38" s="104"/>
      <c r="L38" s="104"/>
      <c r="M38" s="104"/>
      <c r="N38" s="104"/>
      <c r="O38" s="104"/>
      <c r="P38" s="104"/>
      <c r="Q38" s="104"/>
      <c r="R38" s="104"/>
    </row>
    <row r="39" spans="1:18">
      <c r="A39" s="104"/>
      <c r="B39" s="104"/>
      <c r="C39" s="104"/>
      <c r="D39" s="104"/>
      <c r="E39" s="104"/>
      <c r="F39" s="104"/>
      <c r="G39" s="104"/>
      <c r="H39" s="104"/>
      <c r="I39" s="104"/>
      <c r="J39" s="104"/>
      <c r="K39" s="104"/>
      <c r="L39" s="104"/>
      <c r="M39" s="104"/>
      <c r="N39" s="104"/>
      <c r="O39" s="104"/>
      <c r="P39" s="104"/>
      <c r="Q39" s="104"/>
      <c r="R39" s="104"/>
    </row>
    <row r="40" spans="1:18">
      <c r="A40" s="104"/>
      <c r="B40" s="104"/>
      <c r="C40" s="104"/>
      <c r="D40" s="104"/>
      <c r="E40" s="104"/>
      <c r="F40" s="104"/>
      <c r="G40" s="104"/>
      <c r="H40" s="104"/>
      <c r="I40" s="104"/>
      <c r="J40" s="104"/>
      <c r="K40" s="104"/>
      <c r="L40" s="104"/>
      <c r="M40" s="104"/>
      <c r="N40" s="104"/>
      <c r="O40" s="104"/>
      <c r="P40" s="104"/>
      <c r="Q40" s="104"/>
      <c r="R40" s="104"/>
    </row>
    <row r="41" spans="1:18">
      <c r="A41" s="104"/>
      <c r="B41" s="104"/>
      <c r="C41" s="104"/>
      <c r="D41" s="104"/>
      <c r="E41" s="104"/>
      <c r="F41" s="104"/>
      <c r="G41" s="104"/>
      <c r="H41" s="104"/>
      <c r="I41" s="104"/>
      <c r="J41" s="104"/>
      <c r="K41" s="104"/>
      <c r="L41" s="104"/>
      <c r="M41" s="104"/>
      <c r="N41" s="104"/>
      <c r="O41" s="104"/>
      <c r="P41" s="104"/>
      <c r="Q41" s="104"/>
      <c r="R41" s="104"/>
    </row>
    <row r="42" spans="1:18">
      <c r="A42" s="104"/>
      <c r="B42" s="104"/>
      <c r="C42" s="104"/>
      <c r="D42" s="104"/>
      <c r="E42" s="104"/>
      <c r="F42" s="104"/>
      <c r="G42" s="104"/>
      <c r="H42" s="104"/>
      <c r="I42" s="104"/>
      <c r="J42" s="104"/>
      <c r="K42" s="104"/>
      <c r="L42" s="104"/>
      <c r="M42" s="104"/>
      <c r="N42" s="104"/>
      <c r="O42" s="104"/>
      <c r="P42" s="104"/>
    </row>
    <row r="86" spans="1:16" s="44" customFormat="1">
      <c r="A86" s="84"/>
      <c r="B86" s="84"/>
      <c r="C86" s="84"/>
      <c r="D86" s="84"/>
      <c r="E86" s="84"/>
      <c r="F86" s="84"/>
      <c r="G86" s="84"/>
      <c r="H86" s="84"/>
      <c r="I86" s="84"/>
      <c r="J86" s="84"/>
      <c r="K86" s="84"/>
      <c r="L86" s="84"/>
      <c r="M86" s="84"/>
      <c r="N86" s="84"/>
      <c r="O86" s="84"/>
      <c r="P86" s="84"/>
    </row>
    <row r="87" spans="1:16" s="44" customFormat="1"/>
    <row r="88" spans="1:16" s="44" customFormat="1"/>
    <row r="89" spans="1:16" s="44" customFormat="1"/>
    <row r="90" spans="1:16" s="44" customFormat="1"/>
    <row r="91" spans="1:16" s="44" customFormat="1"/>
    <row r="92" spans="1:16" s="44" customFormat="1"/>
    <row r="93" spans="1:16" s="44" customFormat="1"/>
    <row r="94" spans="1:16" s="44" customFormat="1"/>
    <row r="95" spans="1:16" s="44" customFormat="1"/>
    <row r="96" spans="1:16" s="44" customFormat="1"/>
    <row r="97" s="44" customFormat="1"/>
    <row r="98" s="44" customFormat="1"/>
    <row r="99" s="44" customFormat="1"/>
    <row r="100" s="44" customFormat="1"/>
    <row r="101" s="44" customFormat="1"/>
    <row r="102" s="44" customFormat="1"/>
    <row r="103" s="44" customFormat="1"/>
    <row r="104" s="44" customFormat="1"/>
    <row r="105" s="44" customFormat="1"/>
    <row r="106" s="44" customFormat="1"/>
    <row r="107" s="44" customFormat="1"/>
    <row r="108" s="44" customFormat="1"/>
    <row r="109" s="44" customFormat="1"/>
    <row r="110" s="44" customFormat="1"/>
    <row r="111" s="44" customFormat="1"/>
    <row r="112" s="44" customFormat="1"/>
    <row r="113" spans="1:16" s="44" customFormat="1"/>
    <row r="114" spans="1:16" s="44" customFormat="1"/>
    <row r="115" spans="1:16" s="44" customFormat="1"/>
    <row r="116" spans="1:16" s="44" customFormat="1"/>
    <row r="117" spans="1:16" s="44" customFormat="1"/>
    <row r="118" spans="1:16" s="44" customFormat="1"/>
    <row r="119" spans="1:16">
      <c r="A119" s="44"/>
      <c r="B119" s="44"/>
      <c r="C119" s="44"/>
      <c r="D119" s="44"/>
      <c r="E119" s="44"/>
      <c r="F119" s="44"/>
      <c r="G119" s="44"/>
      <c r="H119" s="44"/>
      <c r="I119" s="44"/>
      <c r="J119" s="44"/>
      <c r="K119" s="44"/>
      <c r="L119" s="44"/>
      <c r="M119" s="44"/>
      <c r="N119" s="44"/>
      <c r="O119" s="44"/>
      <c r="P119" s="44"/>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65"/>
  <sheetViews>
    <sheetView showGridLines="0" view="pageBreakPreview" zoomScale="70" zoomScaleNormal="70" zoomScaleSheetLayoutView="70" workbookViewId="0">
      <selection activeCell="M43" sqref="M43"/>
    </sheetView>
  </sheetViews>
  <sheetFormatPr baseColWidth="10" defaultColWidth="11.42578125" defaultRowHeight="15"/>
  <cols>
    <col min="1" max="1" width="28.7109375" style="84" customWidth="1"/>
    <col min="2" max="2" width="18.28515625" style="84" customWidth="1"/>
    <col min="3" max="3" width="18.140625" style="84" customWidth="1"/>
    <col min="4" max="4" width="17.85546875" style="84" customWidth="1"/>
    <col min="5" max="5" width="18.7109375" style="84" customWidth="1"/>
    <col min="6" max="6" width="20.85546875" style="84" customWidth="1"/>
    <col min="7" max="7" width="14.85546875" style="84" customWidth="1"/>
    <col min="8" max="8" width="18" style="84" customWidth="1"/>
    <col min="9" max="9" width="11.42578125" style="84"/>
    <col min="10" max="10" width="16.140625" style="84" customWidth="1"/>
    <col min="11" max="11" width="13.7109375" style="84" customWidth="1"/>
    <col min="12" max="16384" width="11.42578125" style="84"/>
  </cols>
  <sheetData>
    <row r="1" spans="1:14" ht="73.5" customHeight="1">
      <c r="A1" s="1820" t="s">
        <v>885</v>
      </c>
      <c r="B1" s="1820"/>
      <c r="C1" s="1820"/>
      <c r="D1" s="1820"/>
      <c r="E1" s="1820"/>
      <c r="F1" s="1820"/>
      <c r="G1" s="1820"/>
      <c r="H1" s="1820"/>
      <c r="I1" s="1820"/>
      <c r="J1" s="1820"/>
      <c r="K1" s="1820"/>
    </row>
    <row r="2" spans="1:14" ht="3.75" customHeight="1">
      <c r="A2" s="104"/>
      <c r="B2" s="104"/>
      <c r="C2" s="104"/>
      <c r="D2" s="104"/>
      <c r="E2" s="104"/>
      <c r="F2" s="104"/>
      <c r="G2" s="104"/>
      <c r="H2" s="104"/>
      <c r="I2" s="104"/>
      <c r="J2" s="104"/>
      <c r="K2" s="104"/>
    </row>
    <row r="3" spans="1:14" s="1629" customFormat="1" ht="21" customHeight="1">
      <c r="A3" s="387" t="s">
        <v>886</v>
      </c>
      <c r="B3" s="388" t="s">
        <v>888</v>
      </c>
      <c r="C3" s="388" t="s">
        <v>102</v>
      </c>
      <c r="D3" s="388" t="s">
        <v>92</v>
      </c>
      <c r="E3" s="388" t="s">
        <v>93</v>
      </c>
      <c r="F3" s="388" t="s">
        <v>889</v>
      </c>
      <c r="G3" s="1627" t="s">
        <v>23</v>
      </c>
      <c r="H3" s="389" t="s">
        <v>891</v>
      </c>
      <c r="I3" s="1628"/>
      <c r="J3" s="1628"/>
      <c r="K3" s="1628"/>
      <c r="L3" s="1628"/>
    </row>
    <row r="4" spans="1:14" ht="15.75" hidden="1">
      <c r="A4" s="1632" t="s">
        <v>441</v>
      </c>
      <c r="B4" s="1542">
        <v>1242780</v>
      </c>
      <c r="C4" s="1542">
        <v>2552974</v>
      </c>
      <c r="D4" s="1543">
        <f t="shared" ref="D4:D9" si="0">B4/C4</f>
        <v>0.4867969669883046</v>
      </c>
      <c r="F4" s="19"/>
      <c r="G4" s="1635"/>
      <c r="H4" s="1636"/>
      <c r="I4" s="104"/>
      <c r="J4" s="104"/>
      <c r="K4" s="104"/>
      <c r="L4" s="104"/>
      <c r="M4" s="104"/>
      <c r="N4" s="104"/>
    </row>
    <row r="5" spans="1:14" ht="15.75" hidden="1">
      <c r="A5" s="1632" t="s">
        <v>479</v>
      </c>
      <c r="B5" s="1542">
        <v>1160674</v>
      </c>
      <c r="C5" s="1542">
        <v>2564145</v>
      </c>
      <c r="D5" s="1543">
        <f>B5/C5</f>
        <v>0.45265536855365046</v>
      </c>
      <c r="F5" s="19"/>
      <c r="G5" s="1635"/>
      <c r="H5" s="1636"/>
      <c r="I5" s="104"/>
      <c r="J5" s="104"/>
      <c r="K5" s="104"/>
      <c r="L5" s="104"/>
      <c r="M5" s="104"/>
      <c r="N5" s="104"/>
    </row>
    <row r="6" spans="1:14" ht="15.75" hidden="1">
      <c r="A6" s="1632" t="s">
        <v>480</v>
      </c>
      <c r="B6" s="1542">
        <v>1242050</v>
      </c>
      <c r="C6" s="1542">
        <v>2576299</v>
      </c>
      <c r="D6" s="1543">
        <f t="shared" si="0"/>
        <v>0.4821063083128162</v>
      </c>
      <c r="F6" s="19"/>
      <c r="G6" s="1635"/>
      <c r="H6" s="1636"/>
      <c r="I6" s="104"/>
      <c r="J6" s="104"/>
      <c r="K6" s="104"/>
      <c r="L6" s="104"/>
      <c r="M6" s="104"/>
      <c r="N6" s="104"/>
    </row>
    <row r="7" spans="1:14" ht="15.75" hidden="1">
      <c r="A7" s="1632" t="s">
        <v>438</v>
      </c>
      <c r="B7" s="1542">
        <v>1263326</v>
      </c>
      <c r="C7" s="1541">
        <v>2591066</v>
      </c>
      <c r="D7" s="1544">
        <f t="shared" si="0"/>
        <v>0.48756998084958081</v>
      </c>
      <c r="F7" s="19"/>
      <c r="G7" s="1635"/>
      <c r="H7" s="1636"/>
      <c r="I7" s="104"/>
      <c r="J7" s="104"/>
      <c r="K7" s="104"/>
      <c r="L7" s="104"/>
      <c r="M7" s="104"/>
      <c r="N7" s="104"/>
    </row>
    <row r="8" spans="1:14" ht="15.75" hidden="1">
      <c r="A8" s="1632" t="s">
        <v>449</v>
      </c>
      <c r="B8" s="1542">
        <v>1232216</v>
      </c>
      <c r="C8" s="1541">
        <v>2605110</v>
      </c>
      <c r="D8" s="1544">
        <f t="shared" si="0"/>
        <v>0.47299960462322127</v>
      </c>
      <c r="F8" s="19"/>
      <c r="G8" s="1635"/>
      <c r="H8" s="1636"/>
      <c r="I8" s="104"/>
      <c r="J8" s="104"/>
      <c r="K8" s="104"/>
      <c r="L8" s="104"/>
      <c r="M8" s="104"/>
      <c r="N8" s="104"/>
    </row>
    <row r="9" spans="1:14" ht="15.75" hidden="1">
      <c r="A9" s="1632" t="s">
        <v>481</v>
      </c>
      <c r="B9" s="1542">
        <v>1281168</v>
      </c>
      <c r="C9" s="1541">
        <v>2617014</v>
      </c>
      <c r="D9" s="1544">
        <f t="shared" si="0"/>
        <v>0.48955336119715065</v>
      </c>
      <c r="F9" s="19"/>
      <c r="G9" s="1635"/>
      <c r="H9" s="1636"/>
      <c r="I9" s="104"/>
      <c r="J9" s="104"/>
      <c r="K9" s="104"/>
      <c r="L9" s="104"/>
      <c r="M9" s="104"/>
      <c r="N9" s="104"/>
    </row>
    <row r="10" spans="1:14" ht="15.75" hidden="1">
      <c r="A10" s="1632" t="s">
        <v>482</v>
      </c>
      <c r="B10" s="1542">
        <v>1236530</v>
      </c>
      <c r="C10" s="1541">
        <v>2630146</v>
      </c>
      <c r="D10" s="1544">
        <f>B10/C10</f>
        <v>0.47013739921662145</v>
      </c>
      <c r="E10" s="19"/>
      <c r="F10" s="104"/>
      <c r="G10" s="1635"/>
      <c r="H10" s="1636"/>
      <c r="I10" s="104"/>
      <c r="J10" s="104"/>
      <c r="K10" s="104"/>
      <c r="L10" s="104"/>
      <c r="M10" s="104"/>
    </row>
    <row r="11" spans="1:14" ht="15.75" hidden="1">
      <c r="A11" s="1632" t="s">
        <v>483</v>
      </c>
      <c r="B11" s="1542">
        <v>1279009</v>
      </c>
      <c r="C11" s="1541">
        <v>2642650</v>
      </c>
      <c r="D11" s="1544">
        <f t="shared" ref="D11:D27" si="1">B11/C11</f>
        <v>0.4839872854899438</v>
      </c>
      <c r="E11" s="104"/>
      <c r="F11" s="104"/>
      <c r="G11" s="1635"/>
      <c r="H11" s="1636"/>
      <c r="I11" s="104"/>
      <c r="J11" s="104"/>
      <c r="K11" s="104"/>
      <c r="L11" s="104"/>
      <c r="M11" s="104"/>
    </row>
    <row r="12" spans="1:14" ht="15.75" hidden="1">
      <c r="A12" s="1632" t="s">
        <v>474</v>
      </c>
      <c r="B12" s="1542">
        <v>1260233</v>
      </c>
      <c r="C12" s="1541">
        <v>2655996</v>
      </c>
      <c r="D12" s="1545">
        <f t="shared" si="1"/>
        <v>0.47448603085245611</v>
      </c>
      <c r="E12" s="104"/>
      <c r="F12" s="104"/>
      <c r="G12" s="1635"/>
      <c r="H12" s="1636"/>
      <c r="I12" s="104"/>
      <c r="J12" s="104"/>
      <c r="K12" s="104"/>
      <c r="L12" s="104"/>
      <c r="M12" s="104"/>
    </row>
    <row r="13" spans="1:14" ht="15.75" hidden="1">
      <c r="A13" s="1632" t="s">
        <v>484</v>
      </c>
      <c r="B13" s="1542">
        <v>1240431</v>
      </c>
      <c r="C13" s="1541">
        <v>2669917</v>
      </c>
      <c r="D13" s="1545">
        <f t="shared" si="1"/>
        <v>0.46459534135330799</v>
      </c>
      <c r="E13" s="104"/>
      <c r="F13" s="104"/>
      <c r="G13" s="1635"/>
      <c r="H13" s="1636"/>
      <c r="I13" s="104"/>
      <c r="J13" s="104"/>
      <c r="K13" s="104"/>
      <c r="L13" s="104"/>
      <c r="M13" s="104"/>
    </row>
    <row r="14" spans="1:14" ht="15.75" hidden="1">
      <c r="A14" s="1632" t="s">
        <v>496</v>
      </c>
      <c r="B14" s="1542">
        <v>1287611</v>
      </c>
      <c r="C14" s="1541">
        <v>2684138</v>
      </c>
      <c r="D14" s="1545">
        <f t="shared" si="1"/>
        <v>0.47971117729416296</v>
      </c>
      <c r="G14" s="1637"/>
      <c r="H14" s="1638"/>
    </row>
    <row r="15" spans="1:14" ht="15.75" hidden="1">
      <c r="A15" s="1632" t="s">
        <v>495</v>
      </c>
      <c r="B15" s="1542">
        <v>1273247</v>
      </c>
      <c r="C15" s="1541">
        <v>2699249</v>
      </c>
      <c r="D15" s="1545">
        <f t="shared" si="1"/>
        <v>0.47170416660337744</v>
      </c>
      <c r="G15" s="1637"/>
      <c r="H15" s="1638"/>
    </row>
    <row r="16" spans="1:14" ht="15.75" hidden="1">
      <c r="A16" s="1632" t="s">
        <v>507</v>
      </c>
      <c r="B16" s="1542">
        <v>1291137</v>
      </c>
      <c r="C16" s="1541">
        <v>2714449</v>
      </c>
      <c r="D16" s="1545">
        <f t="shared" si="1"/>
        <v>0.47565343832210516</v>
      </c>
      <c r="G16" s="1637"/>
      <c r="H16" s="1638"/>
    </row>
    <row r="17" spans="1:11" ht="15.75" hidden="1">
      <c r="A17" s="1632" t="s">
        <v>510</v>
      </c>
      <c r="B17" s="1542">
        <f>+'[4]V.1.2 Afil. cotiz.'!C14</f>
        <v>1376966</v>
      </c>
      <c r="C17" s="1541">
        <f>+'[4]V.1.2 Afil. cotiz.'!B14</f>
        <v>2881130</v>
      </c>
      <c r="D17" s="1545">
        <f t="shared" si="1"/>
        <v>0.47792567499557465</v>
      </c>
      <c r="G17" s="1637"/>
      <c r="H17" s="1638"/>
    </row>
    <row r="18" spans="1:11" ht="15.75" hidden="1">
      <c r="A18" s="1632" t="s">
        <v>590</v>
      </c>
      <c r="B18" s="1542">
        <v>1284535</v>
      </c>
      <c r="C18" s="1541">
        <v>2738417</v>
      </c>
      <c r="D18" s="1545">
        <f t="shared" si="1"/>
        <v>0.46907939879134553</v>
      </c>
      <c r="G18" s="1637"/>
      <c r="H18" s="1638"/>
    </row>
    <row r="19" spans="1:11" ht="15.75" hidden="1">
      <c r="A19" s="1632" t="s">
        <v>591</v>
      </c>
      <c r="B19" s="1542">
        <v>1316873</v>
      </c>
      <c r="C19" s="1541">
        <v>2753791</v>
      </c>
      <c r="D19" s="1545">
        <f t="shared" si="1"/>
        <v>0.47820368357656773</v>
      </c>
      <c r="G19" s="1637"/>
      <c r="H19" s="1638"/>
    </row>
    <row r="20" spans="1:11" ht="15.75" hidden="1">
      <c r="A20" s="1632" t="s">
        <v>592</v>
      </c>
      <c r="B20" s="1542">
        <v>1304070</v>
      </c>
      <c r="C20" s="1541">
        <v>2767996</v>
      </c>
      <c r="D20" s="1545">
        <f t="shared" si="1"/>
        <v>0.47112423572866435</v>
      </c>
      <c r="G20" s="1637"/>
      <c r="H20" s="1638"/>
    </row>
    <row r="21" spans="1:11" ht="15.75" hidden="1">
      <c r="A21" s="1632" t="s">
        <v>593</v>
      </c>
      <c r="B21" s="1542">
        <v>1345058</v>
      </c>
      <c r="C21" s="1541">
        <v>2781822</v>
      </c>
      <c r="D21" s="1545">
        <f t="shared" si="1"/>
        <v>0.48351691804867458</v>
      </c>
      <c r="G21" s="1637"/>
      <c r="H21" s="1638"/>
    </row>
    <row r="22" spans="1:11" ht="15.75" hidden="1">
      <c r="A22" s="1632" t="s">
        <v>594</v>
      </c>
      <c r="B22" s="1542">
        <v>1333316</v>
      </c>
      <c r="C22" s="1541">
        <v>2797275</v>
      </c>
      <c r="D22" s="1545">
        <f t="shared" si="1"/>
        <v>0.47664816651920172</v>
      </c>
      <c r="G22" s="1637"/>
      <c r="H22" s="1638"/>
    </row>
    <row r="23" spans="1:11" ht="15.75" hidden="1">
      <c r="A23" s="1632" t="s">
        <v>595</v>
      </c>
      <c r="B23" s="1542">
        <v>1349327</v>
      </c>
      <c r="C23" s="1541">
        <v>2810420</v>
      </c>
      <c r="D23" s="1545">
        <f t="shared" si="1"/>
        <v>0.48011578340603894</v>
      </c>
      <c r="G23" s="1637"/>
      <c r="H23" s="1638"/>
    </row>
    <row r="24" spans="1:11" ht="15.75" hidden="1">
      <c r="A24" s="1632" t="s">
        <v>596</v>
      </c>
      <c r="B24" s="1542">
        <v>1336030</v>
      </c>
      <c r="C24" s="1541">
        <v>2824402</v>
      </c>
      <c r="D24" s="1545">
        <f t="shared" si="1"/>
        <v>0.47303110534548554</v>
      </c>
      <c r="G24" s="1637"/>
      <c r="H24" s="1638"/>
    </row>
    <row r="25" spans="1:11" ht="15.75" hidden="1">
      <c r="A25" s="1632" t="s">
        <v>597</v>
      </c>
      <c r="B25" s="1542">
        <v>1335886</v>
      </c>
      <c r="C25" s="1541">
        <v>2837928</v>
      </c>
      <c r="D25" s="1545">
        <f t="shared" si="1"/>
        <v>0.47072582532044505</v>
      </c>
      <c r="G25" s="1637"/>
      <c r="H25" s="1638"/>
    </row>
    <row r="26" spans="1:11" ht="15.75" hidden="1">
      <c r="A26" s="1632" t="s">
        <v>598</v>
      </c>
      <c r="B26" s="1542">
        <v>1366703</v>
      </c>
      <c r="C26" s="1541">
        <v>2851044</v>
      </c>
      <c r="D26" s="1545">
        <f t="shared" si="1"/>
        <v>0.47936931173282488</v>
      </c>
      <c r="G26" s="1637"/>
      <c r="H26" s="1638"/>
    </row>
    <row r="27" spans="1:11" ht="15.75" hidden="1">
      <c r="A27" s="1632" t="s">
        <v>599</v>
      </c>
      <c r="B27" s="1542">
        <v>1338335</v>
      </c>
      <c r="C27" s="1541">
        <v>2866790</v>
      </c>
      <c r="D27" s="1545">
        <f t="shared" si="1"/>
        <v>0.46684096149351711</v>
      </c>
      <c r="G27" s="1637"/>
      <c r="H27" s="1638"/>
    </row>
    <row r="28" spans="1:11" ht="15.75">
      <c r="A28" s="1633" t="s">
        <v>316</v>
      </c>
      <c r="B28" s="1561">
        <v>7019</v>
      </c>
      <c r="C28" s="1561">
        <v>5344</v>
      </c>
      <c r="D28" s="1561">
        <v>8</v>
      </c>
      <c r="E28" s="1561">
        <v>6419</v>
      </c>
      <c r="F28" s="1561">
        <v>3974</v>
      </c>
      <c r="G28" s="1639">
        <f t="shared" ref="G28:G61" si="2">SUM(B28:F28)</f>
        <v>22764</v>
      </c>
      <c r="H28" s="1562">
        <f t="shared" ref="H28:H60" si="3">G28/$G$61</f>
        <v>7.9435867157435433E-3</v>
      </c>
      <c r="I28" s="52"/>
      <c r="J28" s="52"/>
      <c r="K28" s="52"/>
    </row>
    <row r="29" spans="1:11" ht="15.75">
      <c r="A29" s="1634" t="s">
        <v>315</v>
      </c>
      <c r="B29" s="1542">
        <v>2320</v>
      </c>
      <c r="C29" s="1542">
        <v>2144</v>
      </c>
      <c r="D29" s="1559">
        <v>0</v>
      </c>
      <c r="E29" s="1542">
        <v>2141</v>
      </c>
      <c r="F29" s="1542">
        <v>1596</v>
      </c>
      <c r="G29" s="1640">
        <f t="shared" si="2"/>
        <v>8201</v>
      </c>
      <c r="H29" s="1563">
        <f t="shared" si="3"/>
        <v>2.8617709829473204E-3</v>
      </c>
      <c r="I29" s="52"/>
      <c r="J29" s="52"/>
      <c r="K29" s="52"/>
    </row>
    <row r="30" spans="1:11" ht="15.75">
      <c r="A30" s="1634" t="s">
        <v>314</v>
      </c>
      <c r="B30" s="1542">
        <v>5748</v>
      </c>
      <c r="C30" s="1542">
        <v>7347</v>
      </c>
      <c r="D30" s="1542">
        <v>1</v>
      </c>
      <c r="E30" s="1542">
        <v>4364</v>
      </c>
      <c r="F30" s="1542">
        <v>5017</v>
      </c>
      <c r="G30" s="1640">
        <f t="shared" si="2"/>
        <v>22477</v>
      </c>
      <c r="H30" s="1563">
        <f t="shared" si="3"/>
        <v>7.8434369447270974E-3</v>
      </c>
      <c r="I30" s="52"/>
      <c r="J30" s="52"/>
      <c r="K30" s="52"/>
    </row>
    <row r="31" spans="1:11" ht="15.75">
      <c r="A31" s="1634" t="s">
        <v>313</v>
      </c>
      <c r="B31" s="1542">
        <v>2215</v>
      </c>
      <c r="C31" s="1542">
        <v>2369</v>
      </c>
      <c r="D31" s="1542">
        <v>2</v>
      </c>
      <c r="E31" s="1542">
        <v>2415</v>
      </c>
      <c r="F31" s="1542">
        <v>717</v>
      </c>
      <c r="G31" s="1640">
        <f t="shared" si="2"/>
        <v>7718</v>
      </c>
      <c r="H31" s="1563">
        <f t="shared" si="3"/>
        <v>2.6932262463586661E-3</v>
      </c>
      <c r="I31" s="52"/>
      <c r="J31" s="52"/>
      <c r="K31" s="52"/>
    </row>
    <row r="32" spans="1:11" ht="15.75">
      <c r="A32" s="1634" t="s">
        <v>141</v>
      </c>
      <c r="B32" s="1542">
        <v>211339</v>
      </c>
      <c r="C32" s="1542">
        <v>50496</v>
      </c>
      <c r="D32" s="1542">
        <v>92</v>
      </c>
      <c r="E32" s="1542">
        <v>157864</v>
      </c>
      <c r="F32" s="1542">
        <v>210155</v>
      </c>
      <c r="G32" s="1640">
        <f t="shared" si="2"/>
        <v>629946</v>
      </c>
      <c r="H32" s="1563">
        <f t="shared" si="3"/>
        <v>0.2198221172568873</v>
      </c>
      <c r="I32" s="52"/>
      <c r="J32" s="52"/>
      <c r="K32" s="52"/>
    </row>
    <row r="33" spans="1:11" ht="15.75">
      <c r="A33" s="1634" t="s">
        <v>312</v>
      </c>
      <c r="B33" s="1542">
        <v>13556</v>
      </c>
      <c r="C33" s="1542">
        <v>8702</v>
      </c>
      <c r="D33" s="1542">
        <v>1</v>
      </c>
      <c r="E33" s="1542">
        <v>12872</v>
      </c>
      <c r="F33" s="1542">
        <v>6670</v>
      </c>
      <c r="G33" s="1640">
        <f t="shared" si="2"/>
        <v>41801</v>
      </c>
      <c r="H33" s="1563">
        <f t="shared" si="3"/>
        <v>1.4586622223897202E-2</v>
      </c>
      <c r="I33" s="52"/>
      <c r="J33" s="52"/>
      <c r="K33" s="52"/>
    </row>
    <row r="34" spans="1:11" ht="15.75">
      <c r="A34" s="1634" t="s">
        <v>311</v>
      </c>
      <c r="B34" s="1542">
        <v>5088</v>
      </c>
      <c r="C34" s="1542">
        <v>1396</v>
      </c>
      <c r="D34" s="1542">
        <v>852</v>
      </c>
      <c r="E34" s="1542">
        <v>1629</v>
      </c>
      <c r="F34" s="1542">
        <v>1793</v>
      </c>
      <c r="G34" s="1640">
        <f t="shared" si="2"/>
        <v>10758</v>
      </c>
      <c r="H34" s="1563">
        <f t="shared" si="3"/>
        <v>3.7540461205398455E-3</v>
      </c>
      <c r="I34" s="52"/>
      <c r="J34" s="52"/>
      <c r="K34" s="52"/>
    </row>
    <row r="35" spans="1:11" ht="15.75">
      <c r="A35" s="1634" t="s">
        <v>890</v>
      </c>
      <c r="B35" s="1542">
        <v>1217</v>
      </c>
      <c r="C35" s="1542">
        <v>1046</v>
      </c>
      <c r="D35" s="1542">
        <v>0</v>
      </c>
      <c r="E35" s="1542">
        <v>820</v>
      </c>
      <c r="F35" s="1542">
        <v>679</v>
      </c>
      <c r="G35" s="1640">
        <f t="shared" si="2"/>
        <v>3762</v>
      </c>
      <c r="H35" s="1563">
        <f t="shared" si="3"/>
        <v>1.3127645942992098E-3</v>
      </c>
      <c r="I35" s="52"/>
      <c r="J35" s="52"/>
      <c r="K35" s="52"/>
    </row>
    <row r="36" spans="1:11" ht="15.75">
      <c r="A36" s="1634" t="s">
        <v>310</v>
      </c>
      <c r="B36" s="1542">
        <v>22310</v>
      </c>
      <c r="C36" s="1542">
        <v>6761</v>
      </c>
      <c r="D36" s="1542">
        <v>1</v>
      </c>
      <c r="E36" s="1542">
        <v>12768</v>
      </c>
      <c r="F36" s="1542">
        <v>4927</v>
      </c>
      <c r="G36" s="1640">
        <f t="shared" si="2"/>
        <v>46767</v>
      </c>
      <c r="H36" s="1563">
        <f t="shared" si="3"/>
        <v>1.6319527320997115E-2</v>
      </c>
      <c r="I36" s="52"/>
      <c r="J36" s="52"/>
      <c r="K36" s="52"/>
    </row>
    <row r="37" spans="1:11" ht="15.75">
      <c r="A37" s="1634" t="s">
        <v>309</v>
      </c>
      <c r="B37" s="1542">
        <v>6922</v>
      </c>
      <c r="C37" s="1542">
        <v>2073</v>
      </c>
      <c r="D37" s="1542">
        <v>21</v>
      </c>
      <c r="E37" s="1542">
        <v>3059</v>
      </c>
      <c r="F37" s="1542">
        <v>1996</v>
      </c>
      <c r="G37" s="1640">
        <f t="shared" si="2"/>
        <v>14071</v>
      </c>
      <c r="H37" s="1563">
        <f t="shared" si="3"/>
        <v>4.9101304110537427E-3</v>
      </c>
      <c r="I37" s="52"/>
      <c r="J37" s="52"/>
      <c r="K37" s="52"/>
    </row>
    <row r="38" spans="1:11" ht="15.75">
      <c r="A38" s="1634" t="s">
        <v>433</v>
      </c>
      <c r="B38" s="1542">
        <v>2800</v>
      </c>
      <c r="C38" s="1542">
        <v>3541</v>
      </c>
      <c r="D38" s="1542">
        <v>0</v>
      </c>
      <c r="E38" s="1542">
        <v>3517</v>
      </c>
      <c r="F38" s="1542">
        <v>1487</v>
      </c>
      <c r="G38" s="1640">
        <f t="shared" si="2"/>
        <v>11345</v>
      </c>
      <c r="H38" s="1563">
        <f t="shared" si="3"/>
        <v>3.9588820633504876E-3</v>
      </c>
      <c r="I38" s="52"/>
      <c r="J38" s="52"/>
      <c r="K38" s="52"/>
    </row>
    <row r="39" spans="1:11" ht="15.75">
      <c r="A39" s="1634" t="s">
        <v>308</v>
      </c>
      <c r="B39" s="1542">
        <v>1437</v>
      </c>
      <c r="C39" s="1542">
        <v>1712</v>
      </c>
      <c r="D39" s="1542">
        <v>0</v>
      </c>
      <c r="E39" s="1542">
        <v>1072</v>
      </c>
      <c r="F39" s="1542">
        <v>587</v>
      </c>
      <c r="G39" s="1640">
        <f t="shared" si="2"/>
        <v>4808</v>
      </c>
      <c r="H39" s="1563">
        <f t="shared" si="3"/>
        <v>1.677770379954971E-3</v>
      </c>
      <c r="I39" s="52"/>
      <c r="J39" s="52"/>
      <c r="K39" s="52"/>
    </row>
    <row r="40" spans="1:11" ht="15.75">
      <c r="A40" s="1634" t="s">
        <v>626</v>
      </c>
      <c r="B40" s="1542">
        <v>25974</v>
      </c>
      <c r="C40" s="1542">
        <v>6742</v>
      </c>
      <c r="D40" s="1542">
        <v>976</v>
      </c>
      <c r="E40" s="1542">
        <v>13074</v>
      </c>
      <c r="F40" s="1542">
        <v>7254</v>
      </c>
      <c r="G40" s="1640">
        <f t="shared" si="2"/>
        <v>54020</v>
      </c>
      <c r="H40" s="1563">
        <f t="shared" si="3"/>
        <v>1.8850490001074777E-2</v>
      </c>
      <c r="I40" s="52"/>
      <c r="J40" s="52"/>
      <c r="K40" s="52"/>
    </row>
    <row r="41" spans="1:11" ht="15.75">
      <c r="A41" s="1634" t="s">
        <v>307</v>
      </c>
      <c r="B41" s="1542">
        <v>29424</v>
      </c>
      <c r="C41" s="1542">
        <v>8138</v>
      </c>
      <c r="D41" s="1542">
        <v>11256</v>
      </c>
      <c r="E41" s="1542">
        <v>24818</v>
      </c>
      <c r="F41" s="1542">
        <v>9312</v>
      </c>
      <c r="G41" s="1640">
        <f t="shared" si="2"/>
        <v>82948</v>
      </c>
      <c r="H41" s="1563">
        <f t="shared" si="3"/>
        <v>2.8945028593283056E-2</v>
      </c>
      <c r="I41" s="52"/>
      <c r="J41" s="52"/>
      <c r="K41" s="52"/>
    </row>
    <row r="42" spans="1:11" ht="15.75">
      <c r="A42" s="1634" t="s">
        <v>432</v>
      </c>
      <c r="B42" s="1542">
        <v>23496</v>
      </c>
      <c r="C42" s="1542">
        <v>9323</v>
      </c>
      <c r="D42" s="1542">
        <v>5</v>
      </c>
      <c r="E42" s="1542">
        <v>26930</v>
      </c>
      <c r="F42" s="1542">
        <v>13034</v>
      </c>
      <c r="G42" s="1640">
        <f t="shared" si="2"/>
        <v>72788</v>
      </c>
      <c r="H42" s="1563">
        <f t="shared" si="3"/>
        <v>2.5399656908519641E-2</v>
      </c>
      <c r="I42" s="52"/>
      <c r="J42" s="52"/>
      <c r="K42" s="52"/>
    </row>
    <row r="43" spans="1:11" ht="15.75">
      <c r="A43" s="1634" t="s">
        <v>305</v>
      </c>
      <c r="B43" s="1542">
        <v>4882</v>
      </c>
      <c r="C43" s="1542">
        <v>3678</v>
      </c>
      <c r="D43" s="1542">
        <v>0</v>
      </c>
      <c r="E43" s="1542">
        <v>5613</v>
      </c>
      <c r="F43" s="1542">
        <v>1536</v>
      </c>
      <c r="G43" s="1640">
        <f t="shared" si="2"/>
        <v>15709</v>
      </c>
      <c r="H43" s="1563">
        <f t="shared" si="3"/>
        <v>5.4817169090500498E-3</v>
      </c>
      <c r="I43" s="52"/>
      <c r="J43" s="52"/>
      <c r="K43" s="52"/>
    </row>
    <row r="44" spans="1:11" ht="15.75">
      <c r="A44" s="1634" t="s">
        <v>304</v>
      </c>
      <c r="B44" s="1542">
        <v>13531</v>
      </c>
      <c r="C44" s="1542">
        <v>4514</v>
      </c>
      <c r="D44" s="1542">
        <v>2</v>
      </c>
      <c r="E44" s="1542">
        <v>9979</v>
      </c>
      <c r="F44" s="1542">
        <v>7504</v>
      </c>
      <c r="G44" s="1640">
        <f t="shared" si="2"/>
        <v>35530</v>
      </c>
      <c r="H44" s="1563">
        <f t="shared" si="3"/>
        <v>1.2398332279492537E-2</v>
      </c>
      <c r="I44" s="52"/>
      <c r="J44" s="52"/>
      <c r="K44" s="52"/>
    </row>
    <row r="45" spans="1:11" ht="15.75">
      <c r="A45" s="1634" t="s">
        <v>303</v>
      </c>
      <c r="B45" s="1542">
        <v>6446</v>
      </c>
      <c r="C45" s="1542">
        <v>1527</v>
      </c>
      <c r="D45" s="1542">
        <v>3</v>
      </c>
      <c r="E45" s="1542">
        <v>5526</v>
      </c>
      <c r="F45" s="1542">
        <v>2590</v>
      </c>
      <c r="G45" s="1640">
        <f t="shared" si="2"/>
        <v>16092</v>
      </c>
      <c r="H45" s="1563">
        <f t="shared" si="3"/>
        <v>5.6153662550406389E-3</v>
      </c>
      <c r="I45" s="52"/>
      <c r="J45" s="52"/>
      <c r="K45" s="52"/>
    </row>
    <row r="46" spans="1:11" ht="15.75">
      <c r="A46" s="1634" t="s">
        <v>302</v>
      </c>
      <c r="B46" s="1542">
        <v>3829</v>
      </c>
      <c r="C46" s="1542">
        <v>2876</v>
      </c>
      <c r="D46" s="1542">
        <v>1</v>
      </c>
      <c r="E46" s="1542">
        <v>3917</v>
      </c>
      <c r="F46" s="1542">
        <v>2087</v>
      </c>
      <c r="G46" s="1640">
        <f t="shared" si="2"/>
        <v>12710</v>
      </c>
      <c r="H46" s="1563">
        <f t="shared" si="3"/>
        <v>4.435204145014077E-3</v>
      </c>
      <c r="I46" s="52"/>
      <c r="J46" s="52"/>
      <c r="K46" s="52"/>
    </row>
    <row r="47" spans="1:11" ht="15.75">
      <c r="A47" s="1634" t="s">
        <v>301</v>
      </c>
      <c r="B47" s="1542">
        <v>831</v>
      </c>
      <c r="C47" s="1542">
        <v>1248</v>
      </c>
      <c r="D47" s="1542">
        <v>0</v>
      </c>
      <c r="E47" s="1542">
        <v>1156</v>
      </c>
      <c r="F47" s="1542">
        <v>809</v>
      </c>
      <c r="G47" s="1640">
        <f t="shared" si="2"/>
        <v>4044</v>
      </c>
      <c r="H47" s="1563">
        <f t="shared" si="3"/>
        <v>1.4111695957857535E-3</v>
      </c>
      <c r="I47" s="52"/>
      <c r="J47" s="52"/>
      <c r="K47" s="52"/>
    </row>
    <row r="48" spans="1:11" ht="15.75">
      <c r="A48" s="1634" t="s">
        <v>300</v>
      </c>
      <c r="B48" s="1542">
        <v>6854</v>
      </c>
      <c r="C48" s="1542">
        <v>3328</v>
      </c>
      <c r="D48" s="1542">
        <v>3</v>
      </c>
      <c r="E48" s="1542">
        <v>10141</v>
      </c>
      <c r="F48" s="1542">
        <v>5105</v>
      </c>
      <c r="G48" s="1640">
        <f t="shared" si="2"/>
        <v>25431</v>
      </c>
      <c r="H48" s="1563">
        <f t="shared" si="3"/>
        <v>8.8742467829939411E-3</v>
      </c>
      <c r="I48" s="52"/>
      <c r="J48" s="52"/>
      <c r="K48" s="52"/>
    </row>
    <row r="49" spans="1:11" ht="15.75">
      <c r="A49" s="1634" t="s">
        <v>299</v>
      </c>
      <c r="B49" s="1542">
        <v>29499</v>
      </c>
      <c r="C49" s="1542">
        <v>7471</v>
      </c>
      <c r="D49" s="1542">
        <v>7</v>
      </c>
      <c r="E49" s="1542">
        <v>20440</v>
      </c>
      <c r="F49" s="1542">
        <v>12506</v>
      </c>
      <c r="G49" s="1640">
        <f t="shared" si="2"/>
        <v>69923</v>
      </c>
      <c r="H49" s="1563">
        <f t="shared" si="3"/>
        <v>2.4399903967885075E-2</v>
      </c>
      <c r="I49" s="52"/>
      <c r="J49" s="52"/>
      <c r="K49" s="52"/>
    </row>
    <row r="50" spans="1:11" ht="15.75">
      <c r="A50" s="1634" t="s">
        <v>297</v>
      </c>
      <c r="B50" s="1542">
        <v>5183</v>
      </c>
      <c r="C50" s="1542">
        <v>1328</v>
      </c>
      <c r="D50" s="1542">
        <v>1</v>
      </c>
      <c r="E50" s="1542">
        <v>4022</v>
      </c>
      <c r="F50" s="1542">
        <v>1121</v>
      </c>
      <c r="G50" s="1640">
        <f t="shared" si="2"/>
        <v>11655</v>
      </c>
      <c r="H50" s="1563">
        <f t="shared" si="3"/>
        <v>4.0670577742044894E-3</v>
      </c>
      <c r="I50" s="52"/>
      <c r="J50" s="52"/>
      <c r="K50" s="52"/>
    </row>
    <row r="51" spans="1:11" ht="15.75">
      <c r="A51" s="1634" t="s">
        <v>296</v>
      </c>
      <c r="B51" s="1542">
        <v>52208</v>
      </c>
      <c r="C51" s="1542">
        <v>15560</v>
      </c>
      <c r="D51" s="1542">
        <v>46</v>
      </c>
      <c r="E51" s="1542">
        <v>37590</v>
      </c>
      <c r="F51" s="1542">
        <v>17019</v>
      </c>
      <c r="G51" s="1640">
        <f t="shared" si="2"/>
        <v>122423</v>
      </c>
      <c r="H51" s="1563">
        <f t="shared" si="3"/>
        <v>4.271998403186926E-2</v>
      </c>
      <c r="I51" s="52"/>
      <c r="J51" s="52"/>
      <c r="K51" s="52"/>
    </row>
    <row r="52" spans="1:11" ht="15.75">
      <c r="A52" s="1634" t="s">
        <v>295</v>
      </c>
      <c r="B52" s="1542">
        <v>1436</v>
      </c>
      <c r="C52" s="1542">
        <v>699</v>
      </c>
      <c r="D52" s="1542">
        <v>1</v>
      </c>
      <c r="E52" s="1542">
        <v>2102</v>
      </c>
      <c r="F52" s="1542">
        <v>284</v>
      </c>
      <c r="G52" s="1640">
        <f t="shared" si="2"/>
        <v>4522</v>
      </c>
      <c r="H52" s="1563">
        <f t="shared" si="3"/>
        <v>1.5779695628445048E-3</v>
      </c>
      <c r="I52" s="52"/>
      <c r="J52" s="52"/>
      <c r="K52" s="52"/>
    </row>
    <row r="53" spans="1:11" ht="15.75">
      <c r="A53" s="1634" t="s">
        <v>434</v>
      </c>
      <c r="B53" s="1542">
        <v>6599</v>
      </c>
      <c r="C53" s="1542">
        <v>4491</v>
      </c>
      <c r="D53" s="1542">
        <v>4</v>
      </c>
      <c r="E53" s="1542">
        <v>6365</v>
      </c>
      <c r="F53" s="1542">
        <v>5756</v>
      </c>
      <c r="G53" s="1640">
        <f t="shared" si="2"/>
        <v>23215</v>
      </c>
      <c r="H53" s="1563">
        <f t="shared" si="3"/>
        <v>8.1009649273408174E-3</v>
      </c>
      <c r="I53" s="52"/>
      <c r="J53" s="52"/>
      <c r="K53" s="52"/>
    </row>
    <row r="54" spans="1:11" ht="15.75">
      <c r="A54" s="1634" t="s">
        <v>293</v>
      </c>
      <c r="B54" s="1542">
        <v>27392</v>
      </c>
      <c r="C54" s="1542">
        <v>8411</v>
      </c>
      <c r="D54" s="1542">
        <v>331</v>
      </c>
      <c r="E54" s="1542">
        <v>28360</v>
      </c>
      <c r="F54" s="1542">
        <v>15781</v>
      </c>
      <c r="G54" s="1640">
        <f t="shared" si="2"/>
        <v>80275</v>
      </c>
      <c r="H54" s="1563">
        <f t="shared" si="3"/>
        <v>2.8012274802596774E-2</v>
      </c>
      <c r="I54" s="52"/>
      <c r="J54" s="52"/>
      <c r="K54" s="52"/>
    </row>
    <row r="55" spans="1:11" ht="15.75">
      <c r="A55" s="1634" t="s">
        <v>892</v>
      </c>
      <c r="B55" s="1542">
        <v>7303</v>
      </c>
      <c r="C55" s="1542">
        <v>5748</v>
      </c>
      <c r="D55" s="1542">
        <v>0</v>
      </c>
      <c r="E55" s="1542">
        <v>6279</v>
      </c>
      <c r="F55" s="1542">
        <v>1721</v>
      </c>
      <c r="G55" s="1640">
        <f t="shared" si="2"/>
        <v>21051</v>
      </c>
      <c r="H55" s="1563">
        <f t="shared" si="3"/>
        <v>7.3458286747986887E-3</v>
      </c>
      <c r="I55" s="52"/>
      <c r="J55" s="52"/>
      <c r="K55" s="52"/>
    </row>
    <row r="56" spans="1:11" ht="15.75">
      <c r="A56" s="1634" t="s">
        <v>893</v>
      </c>
      <c r="B56" s="1542">
        <v>118070</v>
      </c>
      <c r="C56" s="1542">
        <v>36056</v>
      </c>
      <c r="D56" s="1542">
        <v>4</v>
      </c>
      <c r="E56" s="1542">
        <v>113142</v>
      </c>
      <c r="F56" s="1542">
        <v>50345</v>
      </c>
      <c r="G56" s="1640">
        <f t="shared" si="2"/>
        <v>317617</v>
      </c>
      <c r="H56" s="1563">
        <f t="shared" si="3"/>
        <v>0.1108336927558565</v>
      </c>
      <c r="I56" s="52"/>
      <c r="J56" s="52"/>
      <c r="K56" s="52"/>
    </row>
    <row r="57" spans="1:11" ht="15.75">
      <c r="A57" s="1634" t="s">
        <v>290</v>
      </c>
      <c r="B57" s="1542">
        <v>1994</v>
      </c>
      <c r="C57" s="1542">
        <v>2288</v>
      </c>
      <c r="D57" s="1542">
        <v>0</v>
      </c>
      <c r="E57" s="1542">
        <v>1638</v>
      </c>
      <c r="F57" s="1542">
        <v>249</v>
      </c>
      <c r="G57" s="1640">
        <f t="shared" si="2"/>
        <v>6169</v>
      </c>
      <c r="H57" s="1563">
        <f t="shared" si="3"/>
        <v>2.1526966459946371E-3</v>
      </c>
      <c r="I57" s="52"/>
      <c r="J57" s="52"/>
      <c r="K57" s="52"/>
    </row>
    <row r="58" spans="1:11" ht="15.75">
      <c r="A58" s="1634" t="s">
        <v>142</v>
      </c>
      <c r="B58" s="1542">
        <v>101683</v>
      </c>
      <c r="C58" s="1542">
        <v>61509</v>
      </c>
      <c r="D58" s="1542">
        <v>591</v>
      </c>
      <c r="E58" s="1542">
        <v>212388</v>
      </c>
      <c r="F58" s="1542">
        <v>27193</v>
      </c>
      <c r="G58" s="1640">
        <f t="shared" si="2"/>
        <v>403364</v>
      </c>
      <c r="H58" s="1563">
        <f t="shared" si="3"/>
        <v>0.1407554433319794</v>
      </c>
      <c r="I58" s="52"/>
      <c r="J58" s="52"/>
      <c r="K58" s="52"/>
    </row>
    <row r="59" spans="1:11" ht="15.75">
      <c r="A59" s="1634" t="s">
        <v>894</v>
      </c>
      <c r="B59" s="1542">
        <v>7106</v>
      </c>
      <c r="C59" s="1542">
        <v>4234</v>
      </c>
      <c r="D59" s="1542">
        <v>0</v>
      </c>
      <c r="E59" s="1542">
        <v>19729</v>
      </c>
      <c r="F59" s="1542">
        <v>3644</v>
      </c>
      <c r="G59" s="1640">
        <f t="shared" si="2"/>
        <v>34713</v>
      </c>
      <c r="H59" s="1563">
        <f t="shared" si="3"/>
        <v>1.2113236938306345E-2</v>
      </c>
      <c r="I59" s="52"/>
      <c r="J59" s="52"/>
      <c r="K59" s="52"/>
    </row>
    <row r="60" spans="1:11" ht="15.75">
      <c r="A60" s="1634" t="s">
        <v>895</v>
      </c>
      <c r="B60" s="1542">
        <v>155585</v>
      </c>
      <c r="C60" s="1542">
        <v>95567</v>
      </c>
      <c r="D60" s="1542">
        <v>8128</v>
      </c>
      <c r="E60" s="1542">
        <v>198598</v>
      </c>
      <c r="F60" s="1542">
        <v>169213</v>
      </c>
      <c r="G60" s="1640">
        <f t="shared" si="2"/>
        <v>627091</v>
      </c>
      <c r="H60" s="1563">
        <f t="shared" si="3"/>
        <v>0.21882585385531256</v>
      </c>
      <c r="I60" s="52"/>
      <c r="J60" s="52"/>
      <c r="K60" s="52"/>
    </row>
    <row r="61" spans="1:11" ht="15.75">
      <c r="A61" s="1560" t="s">
        <v>23</v>
      </c>
      <c r="B61" s="1630">
        <f>SUM(B28:B60)</f>
        <v>911296</v>
      </c>
      <c r="C61" s="1630">
        <f>SUM(C28:C60)</f>
        <v>377667</v>
      </c>
      <c r="D61" s="1630">
        <f>SUM(D28:D60)</f>
        <v>22337</v>
      </c>
      <c r="E61" s="1630">
        <f>SUM(E28:E60)</f>
        <v>960747</v>
      </c>
      <c r="F61" s="1630">
        <f>SUM(F28:F60)</f>
        <v>593661</v>
      </c>
      <c r="G61" s="1641">
        <f t="shared" si="2"/>
        <v>2865708</v>
      </c>
      <c r="H61" s="1631">
        <f>SUM(H28:H60)</f>
        <v>1.0000000000000002</v>
      </c>
      <c r="I61" s="52"/>
      <c r="J61" s="52"/>
      <c r="K61" s="52"/>
    </row>
    <row r="62" spans="1:11" ht="15.75">
      <c r="A62" s="1558" t="s">
        <v>904</v>
      </c>
      <c r="B62" s="52"/>
      <c r="C62" s="52"/>
      <c r="D62" s="52"/>
      <c r="E62" s="52"/>
      <c r="F62" s="52"/>
      <c r="G62" s="52"/>
      <c r="H62" s="52"/>
      <c r="I62" s="52"/>
      <c r="J62" s="52"/>
      <c r="K62" s="52"/>
    </row>
    <row r="63" spans="1:11" ht="15.75">
      <c r="A63" s="1558"/>
      <c r="B63" s="52"/>
      <c r="C63" s="52"/>
      <c r="D63" s="52"/>
      <c r="E63" s="52"/>
      <c r="F63" s="52"/>
      <c r="G63" s="52"/>
      <c r="H63" s="52"/>
      <c r="I63" s="52"/>
      <c r="J63" s="52"/>
      <c r="K63" s="52"/>
    </row>
    <row r="64" spans="1:11" ht="15.75">
      <c r="A64" s="1558"/>
      <c r="B64" s="52"/>
      <c r="C64" s="52"/>
      <c r="D64" s="52"/>
      <c r="E64" s="52"/>
      <c r="F64" s="52"/>
      <c r="G64" s="52"/>
      <c r="H64" s="52"/>
      <c r="I64" s="52"/>
      <c r="J64" s="52"/>
      <c r="K64" s="52"/>
    </row>
    <row r="65" spans="1:11" ht="15.75">
      <c r="A65" s="1558"/>
      <c r="B65" s="52"/>
      <c r="C65" s="52"/>
      <c r="D65" s="52"/>
      <c r="E65" s="52"/>
      <c r="F65" s="52"/>
      <c r="G65" s="52"/>
      <c r="H65" s="52"/>
      <c r="I65" s="52"/>
      <c r="J65" s="52"/>
      <c r="K65" s="52"/>
    </row>
  </sheetData>
  <mergeCells count="1">
    <mergeCell ref="A1:K1"/>
  </mergeCells>
  <printOptions horizontalCentered="1" verticalCentered="1"/>
  <pageMargins left="0.4" right="0.4" top="0.25" bottom="0.25" header="0.31496062992126" footer="0.31496062992126"/>
  <pageSetup scale="6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85" zoomScaleNormal="100" zoomScaleSheetLayoutView="85" workbookViewId="0">
      <selection activeCell="M17" sqref="M17"/>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7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election activeCell="Q44" sqref="Q44"/>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70" zoomScaleNormal="100" zoomScaleSheetLayoutView="70" workbookViewId="0">
      <selection activeCell="R25" sqref="R25"/>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6:M28"/>
  <sheetViews>
    <sheetView showGridLines="0" view="pageBreakPreview" zoomScale="85" zoomScaleNormal="100" zoomScaleSheetLayoutView="85" workbookViewId="0">
      <selection activeCell="L29" sqref="L29"/>
    </sheetView>
  </sheetViews>
  <sheetFormatPr baseColWidth="10" defaultColWidth="11.42578125" defaultRowHeight="15"/>
  <cols>
    <col min="1" max="6" width="11.42578125" style="84"/>
    <col min="7" max="7" width="13.42578125" style="84" customWidth="1"/>
    <col min="8" max="16384" width="11.42578125" style="84"/>
  </cols>
  <sheetData>
    <row r="16" spans="13:13">
      <c r="M16" s="185"/>
    </row>
    <row r="17" spans="12:13">
      <c r="M17" s="185"/>
    </row>
    <row r="20" spans="12:13">
      <c r="L20" s="19"/>
    </row>
    <row r="21" spans="12:13">
      <c r="L21" s="19"/>
    </row>
    <row r="23" spans="12:13">
      <c r="M23" s="19"/>
    </row>
    <row r="28" spans="12:13">
      <c r="M28" s="293"/>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S38"/>
  <sheetViews>
    <sheetView showGridLines="0" view="pageBreakPreview" zoomScale="55" zoomScaleNormal="100" zoomScaleSheetLayoutView="55" workbookViewId="0">
      <selection activeCell="R2" sqref="R2:T20"/>
    </sheetView>
  </sheetViews>
  <sheetFormatPr baseColWidth="10" defaultColWidth="11.42578125" defaultRowHeight="15"/>
  <cols>
    <col min="1" max="1" width="18.42578125" style="62" customWidth="1"/>
    <col min="2" max="2" width="21" style="62" customWidth="1"/>
    <col min="3" max="3" width="18.140625" style="62" hidden="1" customWidth="1"/>
    <col min="4" max="4" width="18.7109375" style="62" customWidth="1"/>
    <col min="5" max="5" width="19.42578125" style="62" hidden="1" customWidth="1"/>
    <col min="6" max="6" width="21.85546875" style="62" customWidth="1"/>
    <col min="7" max="8" width="11.42578125" style="62"/>
    <col min="9" max="9" width="16.85546875" style="62" bestFit="1" customWidth="1"/>
    <col min="10" max="10" width="15" style="62" bestFit="1" customWidth="1"/>
    <col min="11" max="13" width="15" style="62" customWidth="1"/>
    <col min="14" max="14" width="11.42578125" style="62"/>
    <col min="15" max="15" width="15.85546875" style="62" customWidth="1"/>
    <col min="16" max="16" width="17.42578125" style="62" customWidth="1"/>
    <col min="17" max="17" width="24.7109375" style="62" customWidth="1"/>
    <col min="18" max="18" width="11.42578125" style="62"/>
    <col min="19" max="19" width="17.42578125" style="62" customWidth="1"/>
    <col min="20" max="16384" width="11.42578125" style="62"/>
  </cols>
  <sheetData>
    <row r="1" spans="1:19" s="84" customFormat="1" ht="92.25" customHeight="1">
      <c r="A1" s="1792"/>
      <c r="B1" s="1792"/>
      <c r="C1" s="1792"/>
      <c r="D1" s="1792"/>
      <c r="E1" s="1792"/>
      <c r="F1" s="1792"/>
      <c r="G1" s="1792"/>
      <c r="H1" s="1792"/>
      <c r="I1" s="1792"/>
      <c r="J1" s="1792"/>
      <c r="K1" s="1792"/>
      <c r="L1" s="1792"/>
      <c r="M1" s="1792"/>
      <c r="N1" s="1792"/>
      <c r="O1" s="1792"/>
      <c r="P1" s="1792"/>
      <c r="Q1" s="1792"/>
    </row>
    <row r="2" spans="1:19" s="84" customFormat="1" ht="11.25" customHeight="1">
      <c r="A2" s="102"/>
      <c r="B2" s="102"/>
      <c r="C2" s="102"/>
      <c r="D2" s="102"/>
      <c r="E2" s="102"/>
      <c r="F2" s="102"/>
      <c r="G2" s="102"/>
      <c r="H2" s="102"/>
      <c r="I2" s="102"/>
      <c r="J2" s="102"/>
      <c r="K2" s="102"/>
      <c r="L2" s="102"/>
      <c r="M2" s="102"/>
      <c r="N2" s="102"/>
      <c r="O2" s="102"/>
      <c r="P2" s="102"/>
      <c r="Q2" s="102"/>
    </row>
    <row r="3" spans="1:19" s="84" customFormat="1" ht="60.75" customHeight="1">
      <c r="A3" s="645" t="s">
        <v>0</v>
      </c>
      <c r="B3" s="459" t="s">
        <v>455</v>
      </c>
      <c r="C3" s="459" t="s">
        <v>222</v>
      </c>
      <c r="D3" s="459" t="s">
        <v>470</v>
      </c>
      <c r="E3" s="459" t="s">
        <v>222</v>
      </c>
      <c r="F3" s="461" t="s">
        <v>620</v>
      </c>
      <c r="G3" s="20"/>
      <c r="H3" s="20"/>
      <c r="I3" s="211"/>
      <c r="J3" s="20"/>
      <c r="K3" s="20"/>
      <c r="L3" s="20"/>
      <c r="M3" s="20"/>
      <c r="N3" s="20"/>
      <c r="O3" s="20"/>
      <c r="P3" s="20"/>
      <c r="Q3" s="102"/>
      <c r="S3" s="1207"/>
    </row>
    <row r="4" spans="1:19" s="84" customFormat="1" ht="18.75">
      <c r="A4" s="462" t="s">
        <v>9</v>
      </c>
      <c r="B4" s="652">
        <v>1566047</v>
      </c>
      <c r="C4" s="653"/>
      <c r="D4" s="654">
        <v>1188229</v>
      </c>
      <c r="E4" s="653"/>
      <c r="F4" s="655">
        <f>D4/B4</f>
        <v>0.75874415007978691</v>
      </c>
      <c r="G4" s="20"/>
      <c r="H4" s="20"/>
      <c r="S4" s="1207"/>
    </row>
    <row r="5" spans="1:19" s="84" customFormat="1" ht="18.75">
      <c r="A5" s="462" t="s">
        <v>10</v>
      </c>
      <c r="B5" s="656">
        <v>1560994</v>
      </c>
      <c r="C5" s="647">
        <f>B5/B4-1</f>
        <v>-3.226595370381613E-3</v>
      </c>
      <c r="D5" s="646">
        <v>1227725</v>
      </c>
      <c r="E5" s="647">
        <f>D5/D4-1</f>
        <v>3.323938399079629E-2</v>
      </c>
      <c r="F5" s="648">
        <f>D5/B5</f>
        <v>0.78650206214758034</v>
      </c>
      <c r="G5" s="21"/>
      <c r="H5" s="21"/>
      <c r="S5" s="1207"/>
    </row>
    <row r="6" spans="1:19" s="84" customFormat="1" ht="18.75">
      <c r="A6" s="462" t="s">
        <v>151</v>
      </c>
      <c r="B6" s="656">
        <v>1631129</v>
      </c>
      <c r="C6" s="647">
        <f>B6/B5-1</f>
        <v>4.4929705046912405E-2</v>
      </c>
      <c r="D6" s="646">
        <v>1299087</v>
      </c>
      <c r="E6" s="647">
        <f>D6/D5-1</f>
        <v>5.8125394530534225E-2</v>
      </c>
      <c r="F6" s="648">
        <f t="shared" ref="F6:F11" si="0">D6/B6</f>
        <v>0.79643424891593495</v>
      </c>
      <c r="G6" s="25"/>
      <c r="H6" s="25"/>
      <c r="J6" s="25"/>
      <c r="K6" s="25"/>
      <c r="L6" s="25"/>
      <c r="M6" s="25"/>
      <c r="N6" s="25"/>
      <c r="O6" s="25"/>
      <c r="P6" s="25"/>
      <c r="Q6" s="25"/>
      <c r="S6" s="1207"/>
    </row>
    <row r="7" spans="1:19" s="84" customFormat="1" ht="18.75">
      <c r="A7" s="462" t="s">
        <v>252</v>
      </c>
      <c r="B7" s="656">
        <v>1686216</v>
      </c>
      <c r="C7" s="647">
        <f>B7/B6-1</f>
        <v>3.3772313532528742E-2</v>
      </c>
      <c r="D7" s="646">
        <v>1367790</v>
      </c>
      <c r="E7" s="647">
        <f>D7/D6-1</f>
        <v>5.2885603504615242E-2</v>
      </c>
      <c r="F7" s="648">
        <f t="shared" si="0"/>
        <v>0.81115942441537736</v>
      </c>
      <c r="S7" s="1207"/>
    </row>
    <row r="8" spans="1:19" s="84" customFormat="1" ht="18.75">
      <c r="A8" s="462" t="s">
        <v>506</v>
      </c>
      <c r="B8" s="656">
        <v>1716228</v>
      </c>
      <c r="C8" s="647">
        <f>B8/B7-1</f>
        <v>1.7798431517670243E-2</v>
      </c>
      <c r="D8" s="292">
        <v>1430273</v>
      </c>
      <c r="E8" s="647">
        <f>D8/D7-1</f>
        <v>4.5681720147098703E-2</v>
      </c>
      <c r="F8" s="648">
        <f t="shared" si="0"/>
        <v>0.83338169520599825</v>
      </c>
      <c r="N8" s="84" t="s">
        <v>33</v>
      </c>
      <c r="S8" s="1207"/>
    </row>
    <row r="9" spans="1:19" s="84" customFormat="1" ht="18.75">
      <c r="A9" s="462" t="s">
        <v>619</v>
      </c>
      <c r="B9" s="656">
        <v>1769801</v>
      </c>
      <c r="C9" s="647">
        <f>B9/B8-1</f>
        <v>3.1215549449140845E-2</v>
      </c>
      <c r="D9" s="292">
        <v>1530322</v>
      </c>
      <c r="E9" s="647">
        <f>D9/D8-1</f>
        <v>6.9950981386071032E-2</v>
      </c>
      <c r="F9" s="648">
        <f t="shared" si="0"/>
        <v>0.864685916665207</v>
      </c>
      <c r="G9" s="25"/>
      <c r="H9" s="25"/>
      <c r="J9" s="25"/>
      <c r="K9" s="25"/>
      <c r="L9" s="25"/>
      <c r="M9" s="25"/>
      <c r="N9" s="25"/>
      <c r="O9" s="25"/>
      <c r="P9" s="25"/>
      <c r="Q9" s="25"/>
      <c r="S9" s="214"/>
    </row>
    <row r="10" spans="1:19" s="84" customFormat="1" ht="18.75">
      <c r="A10" s="462" t="s">
        <v>628</v>
      </c>
      <c r="B10" s="656">
        <v>1865496</v>
      </c>
      <c r="C10" s="647">
        <v>5.4071050926064679E-2</v>
      </c>
      <c r="D10" s="292">
        <v>1651202</v>
      </c>
      <c r="E10" s="647">
        <v>7.8989911927032308E-2</v>
      </c>
      <c r="F10" s="648">
        <f t="shared" si="0"/>
        <v>0.88512760145291114</v>
      </c>
      <c r="G10" s="25"/>
      <c r="H10" s="25"/>
      <c r="J10" s="25"/>
      <c r="K10" s="25"/>
      <c r="L10" s="25"/>
      <c r="M10" s="25"/>
      <c r="N10" s="25"/>
      <c r="O10" s="25"/>
      <c r="P10" s="25"/>
      <c r="Q10" s="25"/>
      <c r="S10" s="1208"/>
    </row>
    <row r="11" spans="1:19" s="84" customFormat="1" ht="18.75">
      <c r="A11" s="523" t="s">
        <v>632</v>
      </c>
      <c r="B11" s="657">
        <v>1865496</v>
      </c>
      <c r="C11" s="650"/>
      <c r="D11" s="649">
        <v>1654484</v>
      </c>
      <c r="E11" s="650">
        <f>D11/D9-1</f>
        <v>8.1134558609233798E-2</v>
      </c>
      <c r="F11" s="651">
        <f t="shared" si="0"/>
        <v>0.88688691908211004</v>
      </c>
      <c r="G11" s="25"/>
      <c r="H11" s="25"/>
      <c r="J11" s="25"/>
      <c r="K11" s="25"/>
      <c r="L11" s="25"/>
      <c r="M11" s="25"/>
      <c r="N11" s="25"/>
      <c r="O11" s="25"/>
      <c r="P11" s="25"/>
      <c r="Q11" s="25"/>
    </row>
    <row r="12" spans="1:19" s="84" customFormat="1">
      <c r="B12" s="25"/>
      <c r="C12" s="25"/>
      <c r="D12" s="25"/>
      <c r="E12" s="25"/>
      <c r="F12" s="25"/>
      <c r="G12" s="25"/>
      <c r="H12" s="25"/>
      <c r="J12" s="25"/>
      <c r="K12" s="25"/>
      <c r="L12" s="25"/>
      <c r="M12" s="25"/>
      <c r="N12" s="25"/>
      <c r="O12" s="25"/>
      <c r="P12" s="25"/>
      <c r="Q12" s="25"/>
    </row>
    <row r="13" spans="1:19" s="84" customFormat="1">
      <c r="B13" s="25"/>
      <c r="C13" s="25"/>
      <c r="D13" s="25"/>
      <c r="E13" s="25"/>
      <c r="F13" s="25"/>
      <c r="G13" s="25"/>
      <c r="H13" s="25"/>
      <c r="I13" s="25"/>
      <c r="J13" s="25"/>
      <c r="K13" s="25"/>
      <c r="L13" s="25"/>
      <c r="M13" s="25"/>
      <c r="N13" s="25"/>
      <c r="O13" s="25"/>
      <c r="P13" s="25"/>
      <c r="Q13" s="25"/>
    </row>
    <row r="14" spans="1:19" s="84" customFormat="1">
      <c r="B14" s="25"/>
      <c r="C14" s="25"/>
      <c r="D14" s="25"/>
      <c r="E14" s="25"/>
      <c r="F14" s="25"/>
      <c r="G14" s="25"/>
      <c r="H14" s="25"/>
      <c r="I14" s="25"/>
      <c r="J14" s="25"/>
      <c r="K14" s="25"/>
      <c r="L14" s="25"/>
      <c r="M14" s="25"/>
      <c r="N14" s="25"/>
      <c r="O14" s="25"/>
      <c r="P14" s="25"/>
      <c r="Q14" s="25"/>
    </row>
    <row r="15" spans="1:19" s="84" customFormat="1">
      <c r="B15" s="25"/>
      <c r="C15" s="25"/>
      <c r="D15" s="25"/>
      <c r="E15" s="25"/>
      <c r="F15" s="25"/>
      <c r="G15" s="25"/>
      <c r="H15" s="25"/>
      <c r="I15" s="25"/>
      <c r="J15" s="25"/>
      <c r="K15" s="25"/>
      <c r="L15" s="25"/>
      <c r="M15" s="25"/>
      <c r="N15" s="25"/>
      <c r="O15" s="25"/>
      <c r="P15" s="25"/>
      <c r="Q15" s="25"/>
    </row>
    <row r="16" spans="1:19" s="84" customFormat="1">
      <c r="B16" s="25"/>
      <c r="C16" s="25"/>
      <c r="D16" s="25"/>
      <c r="E16" s="25"/>
      <c r="F16" s="25"/>
      <c r="G16" s="25"/>
      <c r="H16" s="25"/>
      <c r="I16" s="25"/>
      <c r="J16" s="25"/>
      <c r="K16" s="25"/>
      <c r="L16" s="25"/>
      <c r="M16" s="25"/>
      <c r="N16" s="25"/>
      <c r="O16" s="25"/>
      <c r="P16" s="25"/>
      <c r="Q16" s="25"/>
    </row>
    <row r="17" spans="2:17" s="84" customFormat="1">
      <c r="B17" s="25"/>
      <c r="C17" s="25"/>
      <c r="D17" s="25"/>
      <c r="E17" s="25"/>
      <c r="F17" s="25"/>
      <c r="G17" s="25"/>
      <c r="H17" s="25"/>
      <c r="I17" s="25"/>
      <c r="J17" s="25"/>
      <c r="K17" s="25"/>
      <c r="L17" s="25"/>
      <c r="M17" s="25"/>
      <c r="N17" s="25"/>
      <c r="O17" s="25"/>
      <c r="P17" s="25"/>
      <c r="Q17" s="25"/>
    </row>
    <row r="18" spans="2:17" s="84" customFormat="1">
      <c r="B18" s="25"/>
      <c r="C18" s="25"/>
      <c r="D18" s="25"/>
      <c r="E18" s="25"/>
      <c r="F18" s="25"/>
      <c r="G18" s="25"/>
      <c r="H18" s="25"/>
      <c r="I18" s="25"/>
      <c r="J18" s="25"/>
      <c r="K18" s="25"/>
      <c r="L18" s="25"/>
      <c r="M18" s="25"/>
      <c r="N18" s="25"/>
      <c r="O18" s="25"/>
      <c r="P18" s="25"/>
      <c r="Q18" s="25"/>
    </row>
    <row r="19" spans="2:17" s="84" customFormat="1">
      <c r="B19" s="25"/>
      <c r="C19" s="25"/>
      <c r="D19" s="25"/>
      <c r="E19" s="25"/>
      <c r="F19" s="25"/>
      <c r="G19" s="25"/>
      <c r="H19" s="25"/>
      <c r="I19" s="25"/>
      <c r="J19" s="25"/>
      <c r="K19" s="25"/>
      <c r="L19" s="25"/>
      <c r="M19" s="25"/>
      <c r="N19" s="25"/>
      <c r="O19" s="25"/>
      <c r="P19" s="25"/>
      <c r="Q19" s="25"/>
    </row>
    <row r="20" spans="2:17" s="84" customFormat="1">
      <c r="B20" s="25"/>
      <c r="C20" s="25"/>
      <c r="D20" s="25"/>
      <c r="E20" s="25"/>
      <c r="F20" s="25"/>
      <c r="G20" s="25"/>
      <c r="H20" s="25"/>
      <c r="I20" s="25"/>
      <c r="J20" s="25"/>
      <c r="K20" s="25"/>
      <c r="L20" s="25"/>
      <c r="M20" s="25"/>
      <c r="N20" s="25"/>
      <c r="O20" s="25"/>
      <c r="P20" s="25"/>
      <c r="Q20" s="25"/>
    </row>
    <row r="21" spans="2:17" s="84" customFormat="1">
      <c r="B21" s="25"/>
      <c r="C21" s="25"/>
      <c r="D21" s="25"/>
      <c r="E21" s="25"/>
      <c r="F21" s="25"/>
      <c r="G21" s="25"/>
      <c r="H21" s="25"/>
      <c r="I21" s="25"/>
      <c r="J21" s="25"/>
      <c r="K21" s="25"/>
      <c r="L21" s="25"/>
      <c r="M21" s="25"/>
      <c r="N21" s="25"/>
      <c r="O21" s="25"/>
      <c r="P21" s="25"/>
      <c r="Q21" s="25"/>
    </row>
    <row r="22" spans="2:17" s="84" customFormat="1">
      <c r="B22" s="25"/>
      <c r="C22" s="25"/>
      <c r="D22" s="25"/>
      <c r="E22" s="25"/>
      <c r="F22" s="25"/>
      <c r="G22" s="25"/>
      <c r="H22" s="25"/>
      <c r="I22" s="25"/>
      <c r="J22" s="25"/>
      <c r="K22" s="25"/>
      <c r="L22" s="25"/>
      <c r="M22" s="25"/>
      <c r="N22" s="25"/>
      <c r="O22" s="25"/>
      <c r="P22" s="25"/>
      <c r="Q22" s="25"/>
    </row>
    <row r="23" spans="2:17" s="84" customFormat="1">
      <c r="B23" s="25"/>
      <c r="C23" s="25"/>
      <c r="D23" s="25"/>
      <c r="E23" s="25"/>
      <c r="F23" s="25"/>
      <c r="G23" s="25"/>
      <c r="H23" s="25"/>
      <c r="I23" s="25"/>
      <c r="J23" s="25"/>
      <c r="K23" s="25"/>
      <c r="L23" s="25"/>
      <c r="M23" s="25"/>
      <c r="N23" s="25"/>
      <c r="O23" s="25"/>
      <c r="P23" s="25"/>
      <c r="Q23" s="25"/>
    </row>
    <row r="24" spans="2:17" s="84" customFormat="1">
      <c r="B24" s="25"/>
      <c r="C24" s="25"/>
      <c r="D24" s="25"/>
      <c r="E24" s="25"/>
      <c r="F24" s="25"/>
      <c r="G24" s="25"/>
      <c r="H24" s="25"/>
      <c r="I24" s="25"/>
      <c r="J24" s="25"/>
      <c r="K24" s="25"/>
      <c r="L24" s="25"/>
      <c r="M24" s="25"/>
      <c r="N24" s="25"/>
      <c r="O24" s="25"/>
      <c r="P24" s="25"/>
      <c r="Q24" s="25"/>
    </row>
    <row r="25" spans="2:17" s="84" customFormat="1">
      <c r="B25" s="25"/>
      <c r="C25" s="25"/>
      <c r="D25" s="25"/>
      <c r="E25" s="25"/>
      <c r="F25" s="25"/>
      <c r="G25" s="25"/>
      <c r="H25" s="25"/>
      <c r="I25" s="25"/>
      <c r="J25" s="25"/>
      <c r="K25" s="25"/>
      <c r="L25" s="25"/>
      <c r="M25" s="25"/>
      <c r="N25" s="25"/>
      <c r="O25" s="25"/>
      <c r="P25" s="25"/>
      <c r="Q25" s="25"/>
    </row>
    <row r="26" spans="2:17" s="84" customFormat="1">
      <c r="B26" s="25"/>
      <c r="C26" s="25"/>
      <c r="D26" s="25"/>
      <c r="E26" s="25"/>
      <c r="F26" s="25"/>
      <c r="G26" s="25"/>
      <c r="H26" s="25"/>
      <c r="I26" s="25"/>
      <c r="J26" s="25"/>
      <c r="K26" s="25"/>
      <c r="L26" s="25"/>
      <c r="M26" s="25"/>
      <c r="N26" s="25"/>
      <c r="O26" s="25"/>
      <c r="P26" s="25"/>
      <c r="Q26" s="25"/>
    </row>
    <row r="27" spans="2:17" s="84" customFormat="1">
      <c r="B27" s="25"/>
      <c r="C27" s="25"/>
      <c r="D27" s="25"/>
      <c r="E27" s="25"/>
      <c r="F27" s="25"/>
      <c r="G27" s="25"/>
      <c r="H27" s="25"/>
      <c r="I27" s="25"/>
      <c r="J27" s="25"/>
      <c r="K27" s="25"/>
      <c r="L27" s="25"/>
      <c r="M27" s="25"/>
      <c r="N27" s="25"/>
      <c r="O27" s="25"/>
      <c r="P27" s="25"/>
      <c r="Q27" s="25"/>
    </row>
    <row r="28" spans="2:17" s="84" customFormat="1">
      <c r="B28" s="25"/>
      <c r="C28" s="25"/>
      <c r="D28" s="25"/>
      <c r="E28" s="25"/>
      <c r="F28" s="25"/>
      <c r="G28" s="25"/>
      <c r="H28" s="25"/>
      <c r="I28" s="25"/>
      <c r="J28" s="25"/>
      <c r="K28" s="25"/>
      <c r="L28" s="25"/>
      <c r="M28" s="25"/>
      <c r="N28" s="25"/>
      <c r="O28" s="25"/>
      <c r="P28" s="25"/>
      <c r="Q28" s="25"/>
    </row>
    <row r="29" spans="2:17" s="84" customFormat="1">
      <c r="B29" s="25"/>
      <c r="C29" s="25"/>
      <c r="D29" s="25"/>
      <c r="E29" s="25"/>
      <c r="F29" s="25"/>
      <c r="G29" s="25"/>
      <c r="H29" s="25"/>
      <c r="I29" s="25"/>
      <c r="J29" s="25"/>
      <c r="K29" s="25"/>
      <c r="L29" s="25"/>
      <c r="M29" s="25"/>
      <c r="N29" s="25"/>
      <c r="O29" s="25"/>
      <c r="P29" s="25"/>
      <c r="Q29" s="25"/>
    </row>
    <row r="30" spans="2:17" s="84" customFormat="1">
      <c r="B30" s="25"/>
      <c r="C30" s="25"/>
      <c r="D30" s="25"/>
      <c r="E30" s="25"/>
      <c r="F30" s="25"/>
      <c r="G30" s="25"/>
      <c r="H30" s="25"/>
      <c r="I30" s="25"/>
      <c r="J30" s="25"/>
      <c r="K30" s="25"/>
      <c r="L30" s="25"/>
      <c r="M30" s="25"/>
      <c r="N30" s="25"/>
      <c r="O30" s="25"/>
      <c r="P30" s="25"/>
      <c r="Q30" s="25"/>
    </row>
    <row r="31" spans="2:17" s="84" customFormat="1">
      <c r="B31" s="25"/>
      <c r="C31" s="25"/>
      <c r="D31" s="25"/>
      <c r="E31" s="25"/>
      <c r="F31" s="25"/>
      <c r="G31" s="25"/>
      <c r="H31" s="25"/>
      <c r="I31" s="25"/>
      <c r="J31" s="25"/>
      <c r="K31" s="25"/>
      <c r="L31" s="25"/>
      <c r="M31" s="25"/>
      <c r="N31" s="25"/>
      <c r="O31" s="25"/>
      <c r="P31" s="25"/>
      <c r="Q31" s="25"/>
    </row>
    <row r="32" spans="2:17" s="84" customFormat="1">
      <c r="B32" s="25"/>
      <c r="C32" s="25"/>
      <c r="D32" s="25"/>
      <c r="E32" s="25"/>
      <c r="F32" s="25"/>
      <c r="G32" s="25"/>
      <c r="H32" s="25"/>
      <c r="I32" s="25"/>
      <c r="J32" s="25"/>
      <c r="K32" s="25"/>
      <c r="L32" s="25"/>
      <c r="M32" s="25"/>
      <c r="N32" s="25"/>
      <c r="O32" s="25"/>
      <c r="P32" s="25"/>
      <c r="Q32" s="25"/>
    </row>
    <row r="33" s="84" customFormat="1"/>
    <row r="34" s="84" customFormat="1"/>
    <row r="35" s="84" customFormat="1"/>
    <row r="36" s="84" customFormat="1"/>
    <row r="37" s="84" customFormat="1"/>
    <row r="38" s="84" customFormat="1"/>
  </sheetData>
  <mergeCells count="1">
    <mergeCell ref="A1:Q1"/>
  </mergeCells>
  <printOptions horizontalCentered="1" verticalCentered="1"/>
  <pageMargins left="0.4" right="0.4" top="0.25" bottom="0.25" header="0.31496062992126" footer="0.31496062992126"/>
  <pageSetup scale="52" orientation="landscape"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BM49"/>
  <sheetViews>
    <sheetView showGridLines="0" view="pageBreakPreview" zoomScale="70" zoomScaleNormal="100" zoomScaleSheetLayoutView="70" workbookViewId="0">
      <selection activeCell="J12" sqref="J12"/>
    </sheetView>
  </sheetViews>
  <sheetFormatPr baseColWidth="10" defaultColWidth="11.5703125" defaultRowHeight="15"/>
  <cols>
    <col min="1" max="1" width="15.5703125" style="84" customWidth="1"/>
    <col min="2" max="2" width="24.28515625" style="84" customWidth="1"/>
    <col min="3" max="3" width="20.28515625" style="84" customWidth="1"/>
    <col min="4" max="4" width="17.7109375" style="84" customWidth="1"/>
    <col min="5" max="5" width="20.5703125" style="84" customWidth="1"/>
    <col min="6" max="6" width="19.85546875" style="84" customWidth="1"/>
    <col min="7" max="7" width="13.140625" style="84" bestFit="1" customWidth="1"/>
    <col min="8" max="8" width="13.28515625" style="84" customWidth="1"/>
    <col min="9" max="9" width="14.28515625" style="84" bestFit="1" customWidth="1"/>
    <col min="10" max="10" width="27" style="84" customWidth="1"/>
    <col min="11" max="11" width="31.5703125" style="84" customWidth="1"/>
    <col min="12" max="12" width="22.140625" style="84" customWidth="1"/>
    <col min="13" max="55" width="11.42578125" style="84" customWidth="1"/>
    <col min="56" max="56" width="14.28515625" style="84" bestFit="1" customWidth="1"/>
    <col min="57" max="57" width="11.5703125" style="84"/>
    <col min="58" max="58" width="19.140625" style="84" customWidth="1"/>
    <col min="59" max="59" width="20.85546875" style="84" customWidth="1"/>
    <col min="60" max="61" width="11.5703125" style="84"/>
    <col min="62" max="65" width="0" style="84" hidden="1" customWidth="1"/>
    <col min="66" max="16384" width="11.5703125" style="84"/>
  </cols>
  <sheetData>
    <row r="1" spans="1:65" ht="91.5" customHeight="1">
      <c r="A1" s="1821"/>
      <c r="B1" s="1821"/>
      <c r="C1" s="1821"/>
      <c r="D1" s="1821"/>
      <c r="E1" s="1821"/>
      <c r="F1" s="1821"/>
      <c r="G1" s="1821"/>
      <c r="H1" s="1821"/>
      <c r="I1" s="1821"/>
      <c r="J1" s="1821"/>
      <c r="K1" s="1821"/>
      <c r="L1" s="1821"/>
    </row>
    <row r="2" spans="1:65" s="44" customFormat="1" ht="13.5" customHeight="1">
      <c r="A2" s="208"/>
      <c r="B2" s="208"/>
      <c r="C2" s="208"/>
      <c r="D2" s="208"/>
      <c r="E2" s="208"/>
      <c r="F2" s="208"/>
      <c r="G2" s="208"/>
      <c r="H2" s="208"/>
      <c r="I2" s="208"/>
      <c r="J2" s="208"/>
      <c r="K2" s="208"/>
      <c r="L2" s="208"/>
    </row>
    <row r="3" spans="1:65" ht="57.75" customHeight="1">
      <c r="A3" s="1211" t="s">
        <v>129</v>
      </c>
      <c r="B3" s="1463" t="s">
        <v>658</v>
      </c>
      <c r="C3" s="1464" t="s">
        <v>130</v>
      </c>
      <c r="D3" s="1464" t="s">
        <v>145</v>
      </c>
      <c r="E3" s="1464" t="s">
        <v>77</v>
      </c>
      <c r="F3" s="1465" t="s">
        <v>146</v>
      </c>
      <c r="G3" s="20"/>
      <c r="L3" s="63"/>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E3" s="1822" t="s">
        <v>129</v>
      </c>
      <c r="BF3" s="1735"/>
      <c r="BG3" s="1735"/>
    </row>
    <row r="4" spans="1:65" ht="20.100000000000001" customHeight="1">
      <c r="A4" s="1212" t="s">
        <v>131</v>
      </c>
      <c r="B4" s="1213">
        <f>+C4+E4</f>
        <v>20952</v>
      </c>
      <c r="C4" s="1214">
        <v>12390</v>
      </c>
      <c r="D4" s="1215">
        <f>C4/B4</f>
        <v>0.59135166093928981</v>
      </c>
      <c r="E4" s="1214">
        <v>8562</v>
      </c>
      <c r="F4" s="1216">
        <f>+E4/B4</f>
        <v>0.40864833906071019</v>
      </c>
      <c r="G4" s="20"/>
      <c r="J4" s="197"/>
      <c r="L4" s="63"/>
      <c r="BE4" s="1822"/>
      <c r="BF4" s="1740" t="s">
        <v>77</v>
      </c>
      <c r="BG4" s="1740" t="s">
        <v>130</v>
      </c>
      <c r="BJ4" s="1823" t="s">
        <v>128</v>
      </c>
      <c r="BK4" s="1824"/>
      <c r="BL4" s="1824"/>
    </row>
    <row r="5" spans="1:65" ht="20.100000000000001" customHeight="1">
      <c r="A5" s="1212" t="s">
        <v>52</v>
      </c>
      <c r="B5" s="1213">
        <f t="shared" ref="B5:B18" si="0">+C5+E5</f>
        <v>204451</v>
      </c>
      <c r="C5" s="1214">
        <v>118089</v>
      </c>
      <c r="D5" s="1215">
        <f t="shared" ref="D5:D19" si="1">C5/B5</f>
        <v>0.57759071855848099</v>
      </c>
      <c r="E5" s="1214">
        <v>86362</v>
      </c>
      <c r="F5" s="1216">
        <f t="shared" ref="F5:F19" si="2">+E5/B5</f>
        <v>0.42240928144151901</v>
      </c>
      <c r="G5" s="20"/>
      <c r="H5" s="185"/>
      <c r="L5" s="63"/>
      <c r="BE5" s="1741" t="s">
        <v>131</v>
      </c>
      <c r="BF5" s="1742">
        <f t="shared" ref="BF5:BF19" si="3">E4*-1</f>
        <v>-8562</v>
      </c>
      <c r="BG5" s="1743">
        <f t="shared" ref="BG5:BG19" si="4">+C4</f>
        <v>12390</v>
      </c>
      <c r="BJ5" s="109" t="s">
        <v>129</v>
      </c>
      <c r="BK5" s="109" t="s">
        <v>130</v>
      </c>
      <c r="BL5" s="109" t="s">
        <v>77</v>
      </c>
    </row>
    <row r="6" spans="1:65" ht="20.100000000000001" customHeight="1">
      <c r="A6" s="1212" t="s">
        <v>53</v>
      </c>
      <c r="B6" s="1213">
        <f t="shared" si="0"/>
        <v>257121</v>
      </c>
      <c r="C6" s="1214">
        <v>144166</v>
      </c>
      <c r="D6" s="1215">
        <f t="shared" si="1"/>
        <v>0.56069321447878628</v>
      </c>
      <c r="E6" s="1214">
        <v>112955</v>
      </c>
      <c r="F6" s="1216">
        <f t="shared" si="2"/>
        <v>0.43930678552121377</v>
      </c>
      <c r="G6" s="20"/>
      <c r="L6" s="63"/>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E6" s="1741" t="s">
        <v>52</v>
      </c>
      <c r="BF6" s="1742">
        <f t="shared" si="3"/>
        <v>-86362</v>
      </c>
      <c r="BG6" s="1743">
        <f t="shared" si="4"/>
        <v>118089</v>
      </c>
      <c r="BJ6" s="110" t="s">
        <v>131</v>
      </c>
      <c r="BK6" s="68">
        <v>13968</v>
      </c>
      <c r="BL6" s="68">
        <f>8829*-1</f>
        <v>-8829</v>
      </c>
    </row>
    <row r="7" spans="1:65" ht="20.100000000000001" customHeight="1">
      <c r="A7" s="1212" t="s">
        <v>54</v>
      </c>
      <c r="B7" s="1213">
        <f t="shared" si="0"/>
        <v>248352</v>
      </c>
      <c r="C7" s="1214">
        <v>134946</v>
      </c>
      <c r="D7" s="1215">
        <f t="shared" si="1"/>
        <v>0.54336586780054119</v>
      </c>
      <c r="E7" s="1214">
        <v>113406</v>
      </c>
      <c r="F7" s="1216">
        <f t="shared" si="2"/>
        <v>0.45663413219945881</v>
      </c>
      <c r="G7" s="20"/>
      <c r="H7" s="185"/>
      <c r="I7" s="185"/>
      <c r="J7" s="185"/>
      <c r="K7" s="185"/>
      <c r="L7" s="63"/>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E7" s="1741" t="s">
        <v>53</v>
      </c>
      <c r="BF7" s="1742">
        <f t="shared" si="3"/>
        <v>-112955</v>
      </c>
      <c r="BG7" s="1743">
        <f t="shared" si="4"/>
        <v>144166</v>
      </c>
      <c r="BJ7" s="110" t="s">
        <v>52</v>
      </c>
      <c r="BK7" s="68">
        <v>94691</v>
      </c>
      <c r="BL7" s="68">
        <f>65301*-1</f>
        <v>-65301</v>
      </c>
    </row>
    <row r="8" spans="1:65" ht="20.100000000000001" customHeight="1">
      <c r="A8" s="1212" t="s">
        <v>55</v>
      </c>
      <c r="B8" s="1213">
        <f t="shared" si="0"/>
        <v>225502</v>
      </c>
      <c r="C8" s="1214">
        <v>120443</v>
      </c>
      <c r="D8" s="1215">
        <f t="shared" si="1"/>
        <v>0.53411056221230857</v>
      </c>
      <c r="E8" s="1214">
        <v>105059</v>
      </c>
      <c r="F8" s="1216">
        <f t="shared" si="2"/>
        <v>0.46588943778769148</v>
      </c>
      <c r="G8" s="20"/>
      <c r="L8" s="63"/>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E8" s="1741" t="s">
        <v>54</v>
      </c>
      <c r="BF8" s="1742">
        <f t="shared" si="3"/>
        <v>-113406</v>
      </c>
      <c r="BG8" s="1743">
        <f t="shared" si="4"/>
        <v>134946</v>
      </c>
      <c r="BJ8" s="110" t="s">
        <v>53</v>
      </c>
      <c r="BK8" s="68">
        <v>114856</v>
      </c>
      <c r="BL8" s="68">
        <v>-87226</v>
      </c>
      <c r="BM8" s="68" t="e">
        <f t="shared" ref="BM8:BM20" si="5">BL8*$BE$6</f>
        <v>#VALUE!</v>
      </c>
    </row>
    <row r="9" spans="1:65" ht="20.100000000000001" customHeight="1">
      <c r="A9" s="1212" t="s">
        <v>56</v>
      </c>
      <c r="B9" s="1213">
        <f t="shared" si="0"/>
        <v>191747</v>
      </c>
      <c r="C9" s="1214">
        <v>102316</v>
      </c>
      <c r="D9" s="1215">
        <f t="shared" si="1"/>
        <v>0.53359896113107375</v>
      </c>
      <c r="E9" s="1214">
        <v>89431</v>
      </c>
      <c r="F9" s="1216">
        <f t="shared" si="2"/>
        <v>0.46640103886892625</v>
      </c>
      <c r="G9" s="20"/>
      <c r="L9" s="63"/>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E9" s="1741" t="s">
        <v>55</v>
      </c>
      <c r="BF9" s="1742">
        <f t="shared" si="3"/>
        <v>-105059</v>
      </c>
      <c r="BG9" s="1743">
        <f t="shared" si="4"/>
        <v>120443</v>
      </c>
      <c r="BJ9" s="110" t="s">
        <v>54</v>
      </c>
      <c r="BK9" s="68">
        <v>110599</v>
      </c>
      <c r="BL9" s="68">
        <v>-88163</v>
      </c>
      <c r="BM9" s="68" t="e">
        <f t="shared" si="5"/>
        <v>#VALUE!</v>
      </c>
    </row>
    <row r="10" spans="1:65" ht="20.100000000000001" customHeight="1">
      <c r="A10" s="1212" t="s">
        <v>57</v>
      </c>
      <c r="B10" s="1213">
        <f t="shared" si="0"/>
        <v>164818</v>
      </c>
      <c r="C10" s="1214">
        <v>88561</v>
      </c>
      <c r="D10" s="1215">
        <f t="shared" si="1"/>
        <v>0.53732602021623854</v>
      </c>
      <c r="E10" s="1214">
        <v>76257</v>
      </c>
      <c r="F10" s="1216">
        <f t="shared" si="2"/>
        <v>0.46267397978376146</v>
      </c>
      <c r="G10" s="20"/>
      <c r="H10" s="185"/>
      <c r="I10" s="185"/>
      <c r="J10" s="185"/>
      <c r="K10" s="185"/>
      <c r="L10" s="63"/>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E10" s="1741" t="s">
        <v>56</v>
      </c>
      <c r="BF10" s="1742">
        <f t="shared" si="3"/>
        <v>-89431</v>
      </c>
      <c r="BG10" s="1743">
        <f t="shared" si="4"/>
        <v>102316</v>
      </c>
      <c r="BJ10" s="110" t="s">
        <v>55</v>
      </c>
      <c r="BK10" s="68">
        <v>94068</v>
      </c>
      <c r="BL10" s="68">
        <v>-78209</v>
      </c>
      <c r="BM10" s="68" t="e">
        <f t="shared" si="5"/>
        <v>#VALUE!</v>
      </c>
    </row>
    <row r="11" spans="1:65" ht="20.100000000000001" customHeight="1">
      <c r="A11" s="1212" t="s">
        <v>58</v>
      </c>
      <c r="B11" s="1213">
        <f t="shared" si="0"/>
        <v>128863</v>
      </c>
      <c r="C11" s="1214">
        <v>71519</v>
      </c>
      <c r="D11" s="1215">
        <f t="shared" si="1"/>
        <v>0.55500027160627952</v>
      </c>
      <c r="E11" s="1214">
        <v>57344</v>
      </c>
      <c r="F11" s="1216">
        <f t="shared" si="2"/>
        <v>0.44499972839372048</v>
      </c>
      <c r="G11" s="20"/>
      <c r="L11" s="63"/>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E11" s="1741" t="s">
        <v>57</v>
      </c>
      <c r="BF11" s="1742">
        <f t="shared" si="3"/>
        <v>-76257</v>
      </c>
      <c r="BG11" s="1743">
        <f t="shared" si="4"/>
        <v>88561</v>
      </c>
      <c r="BJ11" s="110" t="s">
        <v>56</v>
      </c>
      <c r="BK11" s="68">
        <v>82896</v>
      </c>
      <c r="BL11" s="68">
        <v>-70646</v>
      </c>
      <c r="BM11" s="68" t="e">
        <f t="shared" si="5"/>
        <v>#VALUE!</v>
      </c>
    </row>
    <row r="12" spans="1:65" ht="20.100000000000001" customHeight="1">
      <c r="A12" s="1212" t="s">
        <v>59</v>
      </c>
      <c r="B12" s="1213">
        <f t="shared" si="0"/>
        <v>92585</v>
      </c>
      <c r="C12" s="1214">
        <v>54018</v>
      </c>
      <c r="D12" s="1215">
        <f t="shared" si="1"/>
        <v>0.58344224226386565</v>
      </c>
      <c r="E12" s="1214">
        <v>38567</v>
      </c>
      <c r="F12" s="1216">
        <f t="shared" si="2"/>
        <v>0.41655775773613435</v>
      </c>
      <c r="G12" s="20"/>
      <c r="K12" s="84" t="s">
        <v>33</v>
      </c>
      <c r="L12" s="63"/>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E12" s="1741" t="s">
        <v>58</v>
      </c>
      <c r="BF12" s="1742">
        <f t="shared" si="3"/>
        <v>-57344</v>
      </c>
      <c r="BG12" s="1743">
        <f t="shared" si="4"/>
        <v>71519</v>
      </c>
      <c r="BJ12" s="110" t="s">
        <v>57</v>
      </c>
      <c r="BK12" s="68">
        <v>68381</v>
      </c>
      <c r="BL12" s="68">
        <v>-56998</v>
      </c>
      <c r="BM12" s="68" t="e">
        <f t="shared" si="5"/>
        <v>#VALUE!</v>
      </c>
    </row>
    <row r="13" spans="1:65" ht="20.100000000000001" customHeight="1">
      <c r="A13" s="1212" t="s">
        <v>60</v>
      </c>
      <c r="B13" s="1213">
        <f t="shared" si="0"/>
        <v>57523</v>
      </c>
      <c r="C13" s="1214">
        <v>35303</v>
      </c>
      <c r="D13" s="1215">
        <f t="shared" si="1"/>
        <v>0.6137197294995046</v>
      </c>
      <c r="E13" s="1214">
        <v>22220</v>
      </c>
      <c r="F13" s="1216">
        <f t="shared" si="2"/>
        <v>0.38628027050049546</v>
      </c>
      <c r="G13" s="20"/>
      <c r="L13" s="63"/>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E13" s="1741" t="s">
        <v>59</v>
      </c>
      <c r="BF13" s="1742">
        <f t="shared" si="3"/>
        <v>-38567</v>
      </c>
      <c r="BG13" s="1743">
        <f t="shared" si="4"/>
        <v>54018</v>
      </c>
      <c r="BJ13" s="110" t="s">
        <v>58</v>
      </c>
      <c r="BK13" s="68">
        <v>53231</v>
      </c>
      <c r="BL13" s="68">
        <v>-40454</v>
      </c>
      <c r="BM13" s="68" t="e">
        <f t="shared" si="5"/>
        <v>#VALUE!</v>
      </c>
    </row>
    <row r="14" spans="1:65" ht="20.100000000000001" customHeight="1">
      <c r="A14" s="1212" t="s">
        <v>132</v>
      </c>
      <c r="B14" s="1213">
        <f t="shared" si="0"/>
        <v>31552</v>
      </c>
      <c r="C14" s="1214">
        <v>20542</v>
      </c>
      <c r="D14" s="1215">
        <f t="shared" si="1"/>
        <v>0.65105223123732248</v>
      </c>
      <c r="E14" s="1214">
        <v>11010</v>
      </c>
      <c r="F14" s="1216">
        <f t="shared" si="2"/>
        <v>0.34894776876267747</v>
      </c>
      <c r="G14" s="20"/>
      <c r="H14" s="67"/>
      <c r="K14" s="102"/>
      <c r="L14" s="63"/>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E14" s="1741" t="s">
        <v>60</v>
      </c>
      <c r="BF14" s="1742">
        <f t="shared" si="3"/>
        <v>-22220</v>
      </c>
      <c r="BG14" s="1743">
        <f t="shared" si="4"/>
        <v>35303</v>
      </c>
      <c r="BJ14" s="110" t="s">
        <v>59</v>
      </c>
      <c r="BK14" s="68">
        <v>39299</v>
      </c>
      <c r="BL14" s="68">
        <v>-25509</v>
      </c>
      <c r="BM14" s="68" t="e">
        <f t="shared" si="5"/>
        <v>#VALUE!</v>
      </c>
    </row>
    <row r="15" spans="1:65" ht="20.100000000000001" customHeight="1">
      <c r="A15" s="1212" t="s">
        <v>133</v>
      </c>
      <c r="B15" s="1213">
        <f t="shared" si="0"/>
        <v>15792</v>
      </c>
      <c r="C15" s="1214">
        <v>10694</v>
      </c>
      <c r="D15" s="1215">
        <f t="shared" si="1"/>
        <v>0.6771783181357649</v>
      </c>
      <c r="E15" s="1214">
        <v>5098</v>
      </c>
      <c r="F15" s="1216">
        <f t="shared" si="2"/>
        <v>0.32282168186423504</v>
      </c>
      <c r="G15" s="20"/>
      <c r="H15" s="66"/>
      <c r="K15" s="102"/>
      <c r="L15" s="63"/>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E15" s="1741" t="s">
        <v>132</v>
      </c>
      <c r="BF15" s="1742">
        <f t="shared" si="3"/>
        <v>-11010</v>
      </c>
      <c r="BG15" s="1743">
        <f t="shared" si="4"/>
        <v>20542</v>
      </c>
      <c r="BJ15" s="110" t="s">
        <v>60</v>
      </c>
      <c r="BK15" s="68">
        <v>25049</v>
      </c>
      <c r="BL15" s="68">
        <v>-13161</v>
      </c>
      <c r="BM15" s="68" t="e">
        <f t="shared" si="5"/>
        <v>#VALUE!</v>
      </c>
    </row>
    <row r="16" spans="1:65" ht="20.100000000000001" customHeight="1">
      <c r="A16" s="1212" t="s">
        <v>134</v>
      </c>
      <c r="B16" s="1213">
        <f t="shared" si="0"/>
        <v>8558</v>
      </c>
      <c r="C16" s="1214">
        <v>5819</v>
      </c>
      <c r="D16" s="1215">
        <f t="shared" si="1"/>
        <v>0.67994858611825193</v>
      </c>
      <c r="E16" s="1214">
        <v>2739</v>
      </c>
      <c r="F16" s="1216">
        <f t="shared" si="2"/>
        <v>0.32005141388174807</v>
      </c>
      <c r="G16" s="20"/>
      <c r="H16" s="66"/>
      <c r="K16" s="102"/>
      <c r="L16" s="63"/>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E16" s="1741" t="s">
        <v>133</v>
      </c>
      <c r="BF16" s="1742">
        <f t="shared" si="3"/>
        <v>-5098</v>
      </c>
      <c r="BG16" s="1743">
        <f t="shared" si="4"/>
        <v>10694</v>
      </c>
      <c r="BJ16" s="110" t="s">
        <v>132</v>
      </c>
      <c r="BK16" s="68">
        <v>13405</v>
      </c>
      <c r="BL16" s="68">
        <v>-5601</v>
      </c>
      <c r="BM16" s="68" t="e">
        <f t="shared" si="5"/>
        <v>#VALUE!</v>
      </c>
    </row>
    <row r="17" spans="1:65" ht="20.100000000000001" customHeight="1">
      <c r="A17" s="1212" t="s">
        <v>135</v>
      </c>
      <c r="B17" s="1213">
        <f t="shared" si="0"/>
        <v>4099</v>
      </c>
      <c r="C17" s="1214">
        <v>2812</v>
      </c>
      <c r="D17" s="1215">
        <f t="shared" si="1"/>
        <v>0.68602098072700657</v>
      </c>
      <c r="E17" s="1214">
        <v>1287</v>
      </c>
      <c r="F17" s="1216">
        <f t="shared" si="2"/>
        <v>0.31397901927299343</v>
      </c>
      <c r="G17" s="20"/>
      <c r="H17" s="66"/>
      <c r="K17" s="102"/>
      <c r="L17" s="44"/>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E17" s="1741" t="s">
        <v>134</v>
      </c>
      <c r="BF17" s="1742">
        <f t="shared" si="3"/>
        <v>-2739</v>
      </c>
      <c r="BG17" s="1743">
        <f t="shared" si="4"/>
        <v>5819</v>
      </c>
      <c r="BJ17" s="110" t="s">
        <v>133</v>
      </c>
      <c r="BK17" s="68">
        <v>7875</v>
      </c>
      <c r="BL17" s="68">
        <v>-2898</v>
      </c>
      <c r="BM17" s="68" t="e">
        <f t="shared" si="5"/>
        <v>#VALUE!</v>
      </c>
    </row>
    <row r="18" spans="1:65" ht="20.100000000000001" customHeight="1">
      <c r="A18" s="1212" t="s">
        <v>136</v>
      </c>
      <c r="B18" s="1213">
        <f t="shared" si="0"/>
        <v>2569</v>
      </c>
      <c r="C18" s="1214">
        <v>1745</v>
      </c>
      <c r="D18" s="1215">
        <f t="shared" si="1"/>
        <v>0.67925262748151027</v>
      </c>
      <c r="E18" s="1214">
        <v>824</v>
      </c>
      <c r="F18" s="1216">
        <f t="shared" si="2"/>
        <v>0.32074737251848967</v>
      </c>
      <c r="G18" s="20"/>
      <c r="H18" s="66"/>
      <c r="K18" s="102"/>
      <c r="L18" s="44"/>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E18" s="1741" t="s">
        <v>135</v>
      </c>
      <c r="BF18" s="1742">
        <f t="shared" si="3"/>
        <v>-1287</v>
      </c>
      <c r="BG18" s="1743">
        <f t="shared" si="4"/>
        <v>2812</v>
      </c>
      <c r="BJ18" s="110" t="s">
        <v>134</v>
      </c>
      <c r="BK18" s="68">
        <v>3939</v>
      </c>
      <c r="BL18" s="68">
        <v>-1434</v>
      </c>
      <c r="BM18" s="68" t="e">
        <f t="shared" si="5"/>
        <v>#VALUE!</v>
      </c>
    </row>
    <row r="19" spans="1:65" ht="18" customHeight="1">
      <c r="A19" s="1217" t="s">
        <v>23</v>
      </c>
      <c r="B19" s="1400">
        <f>SUM(B4:B18)</f>
        <v>1654484</v>
      </c>
      <c r="C19" s="1218">
        <f>SUM(C4:C18)</f>
        <v>923363</v>
      </c>
      <c r="D19" s="1401">
        <f t="shared" si="1"/>
        <v>0.55809726778862778</v>
      </c>
      <c r="E19" s="1218">
        <f>SUM(E4:E18)</f>
        <v>731121</v>
      </c>
      <c r="F19" s="1402">
        <f t="shared" si="2"/>
        <v>0.44190273221137227</v>
      </c>
      <c r="G19" s="20"/>
      <c r="H19" s="66"/>
      <c r="I19" s="66"/>
      <c r="K19" s="102"/>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E19" s="1741" t="s">
        <v>136</v>
      </c>
      <c r="BF19" s="1742">
        <f t="shared" si="3"/>
        <v>-824</v>
      </c>
      <c r="BG19" s="1743">
        <f t="shared" si="4"/>
        <v>1745</v>
      </c>
      <c r="BJ19" s="110" t="s">
        <v>135</v>
      </c>
      <c r="BK19" s="68">
        <v>1841</v>
      </c>
      <c r="BL19" s="68">
        <v>-673</v>
      </c>
      <c r="BM19" s="68" t="e">
        <f t="shared" si="5"/>
        <v>#VALUE!</v>
      </c>
    </row>
    <row r="20" spans="1:65">
      <c r="A20" s="25"/>
      <c r="B20" s="25"/>
      <c r="C20" s="25"/>
      <c r="D20" s="25"/>
      <c r="E20" s="25"/>
      <c r="F20" s="25"/>
      <c r="G20" s="25"/>
      <c r="H20" s="66"/>
      <c r="I20" s="65"/>
      <c r="K20" s="64"/>
      <c r="L20" s="44"/>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J20" s="110" t="s">
        <v>136</v>
      </c>
      <c r="BK20" s="68">
        <v>855</v>
      </c>
      <c r="BL20" s="68">
        <v>-303</v>
      </c>
      <c r="BM20" s="68" t="e">
        <f t="shared" si="5"/>
        <v>#VALUE!</v>
      </c>
    </row>
    <row r="21" spans="1:65">
      <c r="B21" s="25"/>
      <c r="C21" s="25"/>
      <c r="D21" s="25"/>
      <c r="E21" s="25"/>
      <c r="F21" s="25"/>
      <c r="G21" s="25"/>
      <c r="H21" s="66"/>
      <c r="I21" s="43"/>
      <c r="K21" s="43"/>
      <c r="L21" s="43"/>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J21" s="110" t="s">
        <v>23</v>
      </c>
      <c r="BK21" s="69">
        <f>SUM(BK6:BK20)</f>
        <v>724953</v>
      </c>
      <c r="BL21" s="69">
        <f>SUM(BL6:BL20)</f>
        <v>-545405</v>
      </c>
    </row>
    <row r="22" spans="1:65">
      <c r="B22" s="25"/>
      <c r="C22" s="25"/>
      <c r="D22" s="25"/>
      <c r="E22" s="25"/>
      <c r="F22" s="25"/>
      <c r="G22" s="25"/>
      <c r="H22" s="25"/>
      <c r="I22" s="25"/>
      <c r="K22" s="25"/>
      <c r="L22" s="25"/>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row>
    <row r="23" spans="1:65">
      <c r="B23" s="25"/>
      <c r="C23" s="25"/>
      <c r="D23" s="25"/>
      <c r="E23" s="25"/>
      <c r="F23" s="25"/>
      <c r="G23" s="25"/>
      <c r="H23" s="25"/>
      <c r="I23" s="25"/>
      <c r="J23" s="25"/>
      <c r="K23" s="25"/>
      <c r="L23" s="25"/>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1:65">
      <c r="B24" s="25"/>
      <c r="C24" s="25"/>
      <c r="D24" s="25"/>
      <c r="E24" s="25"/>
      <c r="F24" s="25"/>
      <c r="G24" s="25"/>
      <c r="H24" s="25"/>
      <c r="I24" s="25"/>
      <c r="J24" s="25"/>
      <c r="K24" s="25"/>
      <c r="L24" s="25"/>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row>
    <row r="25" spans="1:65">
      <c r="B25" s="25"/>
      <c r="C25" s="25"/>
      <c r="D25" s="25"/>
      <c r="E25" s="25"/>
      <c r="F25" s="25"/>
      <c r="G25" s="25"/>
      <c r="H25" s="25"/>
      <c r="I25" s="25"/>
      <c r="J25" s="25"/>
      <c r="K25" s="25"/>
      <c r="L25" s="25"/>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65">
      <c r="B26" s="25"/>
      <c r="C26" s="25"/>
      <c r="D26" s="25"/>
      <c r="E26" s="25"/>
      <c r="F26" s="25"/>
      <c r="G26" s="25"/>
      <c r="H26" s="25"/>
      <c r="I26" s="25"/>
      <c r="J26" s="25"/>
      <c r="K26" s="25"/>
      <c r="L26" s="25"/>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row>
    <row r="27" spans="1:65">
      <c r="B27" s="25"/>
      <c r="C27" s="25"/>
      <c r="D27" s="25"/>
      <c r="E27" s="25"/>
      <c r="F27" s="25"/>
      <c r="G27" s="25"/>
      <c r="H27" s="25"/>
      <c r="I27" s="25"/>
      <c r="J27" s="25"/>
      <c r="K27" s="25"/>
      <c r="L27" s="25"/>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row>
    <row r="28" spans="1:65">
      <c r="B28" s="25"/>
      <c r="C28" s="25"/>
      <c r="D28" s="25"/>
      <c r="E28" s="25"/>
      <c r="F28" s="25"/>
      <c r="G28" s="25"/>
      <c r="H28" s="25"/>
      <c r="I28" s="25"/>
      <c r="J28" s="25"/>
      <c r="K28" s="25"/>
      <c r="L28" s="25"/>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row>
    <row r="29" spans="1:65">
      <c r="B29" s="25"/>
      <c r="C29" s="25"/>
      <c r="D29" s="25"/>
      <c r="E29" s="25"/>
      <c r="F29" s="25"/>
      <c r="G29" s="25"/>
      <c r="H29" s="25"/>
      <c r="I29" s="25"/>
      <c r="J29" s="25"/>
      <c r="K29" s="25"/>
      <c r="L29" s="25"/>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row>
    <row r="30" spans="1:65">
      <c r="B30" s="25"/>
      <c r="C30" s="25"/>
      <c r="D30" s="25"/>
      <c r="E30" s="25"/>
      <c r="F30" s="25"/>
      <c r="G30" s="25"/>
      <c r="H30" s="25"/>
      <c r="I30" s="25"/>
      <c r="J30" s="25"/>
      <c r="K30" s="25"/>
      <c r="L30" s="25"/>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row>
    <row r="31" spans="1:65">
      <c r="B31" s="25"/>
      <c r="C31" s="25"/>
      <c r="D31" s="25"/>
      <c r="E31" s="25"/>
      <c r="F31" s="25"/>
      <c r="G31" s="25"/>
      <c r="H31" s="25"/>
      <c r="I31" s="25"/>
      <c r="J31" s="25"/>
      <c r="K31" s="25"/>
      <c r="L31" s="25"/>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row>
    <row r="32" spans="1:65">
      <c r="B32" s="25"/>
      <c r="C32" s="25"/>
      <c r="D32" s="25"/>
      <c r="E32" s="25"/>
      <c r="F32" s="25"/>
      <c r="G32" s="25"/>
      <c r="H32" s="25"/>
      <c r="I32" s="25"/>
      <c r="J32" s="25"/>
      <c r="K32" s="25"/>
      <c r="L32" s="25"/>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row>
    <row r="33" spans="2:58">
      <c r="B33" s="25"/>
      <c r="C33" s="25"/>
      <c r="D33" s="25"/>
      <c r="E33" s="25"/>
      <c r="F33" s="25"/>
      <c r="G33" s="25"/>
      <c r="H33" s="25"/>
      <c r="I33" s="25"/>
      <c r="J33" s="25"/>
      <c r="K33" s="25"/>
      <c r="L33" s="25"/>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row>
    <row r="34" spans="2:58">
      <c r="B34" s="25"/>
      <c r="C34" s="25"/>
      <c r="D34" s="25"/>
      <c r="E34" s="25"/>
      <c r="F34" s="25"/>
      <c r="G34" s="25"/>
      <c r="H34" s="25"/>
      <c r="I34" s="25"/>
      <c r="J34" s="25"/>
      <c r="K34" s="25"/>
      <c r="L34" s="25"/>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row>
    <row r="35" spans="2:58">
      <c r="B35" s="25"/>
      <c r="C35" s="25"/>
      <c r="D35" s="25"/>
      <c r="E35" s="25"/>
      <c r="F35" s="25"/>
      <c r="G35" s="25"/>
      <c r="H35" s="25"/>
      <c r="I35" s="25"/>
      <c r="J35" s="25"/>
      <c r="K35" s="25"/>
      <c r="L35" s="25"/>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26"/>
      <c r="BF35" s="26"/>
    </row>
    <row r="36" spans="2:58">
      <c r="B36" s="25"/>
      <c r="C36" s="25"/>
      <c r="D36" s="25"/>
      <c r="E36" s="25"/>
      <c r="F36" s="25"/>
      <c r="G36" s="25"/>
      <c r="H36" s="25"/>
      <c r="I36" s="25"/>
      <c r="J36" s="25"/>
      <c r="K36" s="25"/>
      <c r="L36" s="25"/>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26"/>
      <c r="BF36" s="26"/>
    </row>
    <row r="37" spans="2:58">
      <c r="B37" s="25"/>
      <c r="C37" s="25"/>
      <c r="D37" s="25"/>
      <c r="E37" s="25"/>
      <c r="F37" s="25"/>
      <c r="G37" s="25"/>
      <c r="H37" s="25"/>
      <c r="I37" s="25"/>
      <c r="J37" s="25"/>
      <c r="K37" s="25"/>
      <c r="L37" s="25"/>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26"/>
      <c r="BF37" s="26"/>
    </row>
    <row r="38" spans="2:58">
      <c r="B38" s="25"/>
      <c r="C38" s="25"/>
      <c r="D38" s="25"/>
      <c r="E38" s="25"/>
      <c r="F38" s="25"/>
      <c r="G38" s="25"/>
      <c r="H38" s="25"/>
      <c r="I38" s="25"/>
      <c r="J38" s="25"/>
      <c r="K38" s="25"/>
      <c r="L38" s="25"/>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26"/>
      <c r="BF38" s="26"/>
    </row>
    <row r="39" spans="2:58">
      <c r="B39" s="25"/>
      <c r="C39" s="25"/>
      <c r="D39" s="25"/>
      <c r="E39" s="25"/>
      <c r="F39" s="25"/>
      <c r="G39" s="25"/>
      <c r="H39" s="25"/>
      <c r="I39" s="25"/>
      <c r="J39" s="25"/>
      <c r="K39" s="25"/>
      <c r="L39" s="25"/>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26"/>
      <c r="BF39" s="26"/>
    </row>
    <row r="40" spans="2:58">
      <c r="B40" s="25"/>
      <c r="C40" s="25"/>
      <c r="D40" s="25"/>
      <c r="E40" s="25"/>
      <c r="F40" s="25"/>
      <c r="G40" s="25"/>
      <c r="H40" s="25"/>
      <c r="I40" s="25"/>
      <c r="J40" s="25"/>
      <c r="K40" s="25"/>
      <c r="L40" s="25"/>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26"/>
      <c r="BF40" s="26"/>
    </row>
    <row r="41" spans="2:58">
      <c r="B41" s="25"/>
      <c r="C41" s="25"/>
      <c r="D41" s="25"/>
      <c r="E41" s="25"/>
      <c r="F41" s="25"/>
      <c r="G41" s="25"/>
      <c r="H41" s="25"/>
      <c r="I41" s="25"/>
      <c r="J41" s="25"/>
      <c r="K41" s="25"/>
      <c r="L41" s="25"/>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26"/>
      <c r="BF41" s="26"/>
    </row>
    <row r="42" spans="2:58">
      <c r="B42" s="25"/>
      <c r="C42" s="25"/>
      <c r="D42" s="25"/>
      <c r="E42" s="25"/>
      <c r="F42" s="25"/>
      <c r="G42" s="25"/>
      <c r="H42" s="25"/>
      <c r="I42" s="25"/>
      <c r="J42" s="25"/>
      <c r="K42" s="25"/>
      <c r="L42" s="25"/>
      <c r="BD42" s="66"/>
      <c r="BE42" s="26"/>
      <c r="BF42" s="26"/>
    </row>
    <row r="43" spans="2:58">
      <c r="B43" s="25"/>
      <c r="C43" s="25"/>
      <c r="D43" s="25"/>
      <c r="E43" s="25"/>
      <c r="F43" s="25"/>
      <c r="G43" s="25"/>
      <c r="H43" s="25"/>
      <c r="I43" s="25"/>
      <c r="J43" s="25"/>
      <c r="K43" s="25"/>
      <c r="L43" s="25"/>
      <c r="BD43" s="66"/>
      <c r="BE43" s="26"/>
      <c r="BF43" s="26"/>
    </row>
    <row r="44" spans="2:58">
      <c r="B44" s="25"/>
      <c r="C44" s="25"/>
      <c r="D44" s="25"/>
      <c r="E44" s="25"/>
      <c r="F44" s="25"/>
      <c r="G44" s="25"/>
      <c r="H44" s="25"/>
      <c r="I44" s="25"/>
      <c r="J44" s="25"/>
      <c r="K44" s="25"/>
      <c r="L44" s="25"/>
      <c r="BD44" s="66"/>
      <c r="BE44" s="26"/>
      <c r="BF44" s="26"/>
    </row>
    <row r="45" spans="2:58">
      <c r="B45" s="25"/>
      <c r="C45" s="25"/>
      <c r="D45" s="25"/>
      <c r="E45" s="25"/>
      <c r="F45" s="25"/>
      <c r="G45" s="25"/>
      <c r="H45" s="25"/>
      <c r="I45" s="25"/>
      <c r="J45" s="25"/>
      <c r="K45" s="25"/>
      <c r="L45" s="25"/>
      <c r="BD45" s="66"/>
      <c r="BE45" s="26"/>
      <c r="BF45" s="26"/>
    </row>
    <row r="46" spans="2:58">
      <c r="B46" s="25"/>
      <c r="C46" s="25"/>
      <c r="D46" s="25"/>
      <c r="E46" s="25"/>
      <c r="F46" s="25"/>
      <c r="G46" s="25"/>
      <c r="H46" s="25"/>
      <c r="I46" s="25"/>
      <c r="J46" s="25"/>
      <c r="K46" s="25"/>
      <c r="L46" s="25"/>
      <c r="BD46" s="66"/>
      <c r="BE46" s="26"/>
      <c r="BF46" s="26"/>
    </row>
    <row r="47" spans="2:58">
      <c r="BD47" s="66"/>
      <c r="BE47" s="26"/>
      <c r="BF47" s="26"/>
    </row>
    <row r="48" spans="2:58">
      <c r="BD48" s="66"/>
      <c r="BE48" s="26"/>
      <c r="BF48" s="148"/>
    </row>
    <row r="49" spans="56:58" ht="15.75">
      <c r="BD49" s="149"/>
      <c r="BE49" s="26"/>
      <c r="BF49" s="148"/>
    </row>
  </sheetData>
  <mergeCells count="3">
    <mergeCell ref="A1:L1"/>
    <mergeCell ref="BE3:BE4"/>
    <mergeCell ref="BJ4:BL4"/>
  </mergeCells>
  <printOptions horizontalCentered="1" verticalCentered="1"/>
  <pageMargins left="0.4" right="0.4" top="0.25" bottom="0.25" header="0.31496062992126" footer="0.31496062992126"/>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V44"/>
  <sheetViews>
    <sheetView showGridLines="0" view="pageBreakPreview" zoomScale="70" zoomScaleNormal="85" zoomScaleSheetLayoutView="70" workbookViewId="0">
      <selection activeCell="I38" sqref="I38"/>
    </sheetView>
  </sheetViews>
  <sheetFormatPr baseColWidth="10" defaultColWidth="11.42578125" defaultRowHeight="15"/>
  <cols>
    <col min="1" max="1" width="13.85546875" style="63" customWidth="1"/>
    <col min="2" max="2" width="16" style="63" customWidth="1"/>
    <col min="3" max="3" width="15" style="63" customWidth="1"/>
    <col min="4" max="4" width="16.28515625" style="63" customWidth="1"/>
    <col min="5" max="5" width="16.7109375" style="63" customWidth="1"/>
    <col min="6" max="6" width="15" style="63" customWidth="1"/>
    <col min="7" max="7" width="22" style="63" bestFit="1" customWidth="1"/>
    <col min="8" max="8" width="15.140625" style="63" bestFit="1" customWidth="1"/>
    <col min="9" max="9" width="14.140625" style="63" bestFit="1" customWidth="1"/>
    <col min="10" max="10" width="15.140625" style="63" bestFit="1" customWidth="1"/>
    <col min="11" max="15" width="11.42578125" style="63"/>
    <col min="16" max="16" width="13" style="63" bestFit="1" customWidth="1"/>
    <col min="17" max="17" width="15.140625" style="63" bestFit="1" customWidth="1"/>
    <col min="18" max="16384" width="11.42578125" style="63"/>
  </cols>
  <sheetData>
    <row r="1" spans="1:20" s="84" customFormat="1" ht="82.5" customHeight="1">
      <c r="A1" s="1825"/>
      <c r="B1" s="1825"/>
      <c r="C1" s="1825"/>
      <c r="D1" s="1825"/>
      <c r="E1" s="1825"/>
      <c r="F1" s="1825"/>
      <c r="G1" s="1825"/>
      <c r="H1" s="1825"/>
      <c r="I1" s="1825"/>
      <c r="J1" s="1825"/>
      <c r="K1" s="1825"/>
      <c r="L1" s="1825"/>
      <c r="M1" s="1825"/>
      <c r="N1" s="1825"/>
    </row>
    <row r="2" spans="1:20" s="84" customFormat="1" ht="7.5" customHeight="1">
      <c r="A2" s="1826"/>
      <c r="B2" s="1826"/>
      <c r="C2" s="1826"/>
      <c r="D2" s="1826"/>
      <c r="E2" s="1826"/>
      <c r="F2" s="1826"/>
      <c r="G2" s="1826"/>
      <c r="H2" s="1826"/>
      <c r="I2" s="1826"/>
      <c r="J2" s="1826"/>
      <c r="K2" s="1826"/>
      <c r="L2" s="1826"/>
      <c r="M2" s="1826"/>
      <c r="N2" s="1826"/>
    </row>
    <row r="3" spans="1:20" s="84" customFormat="1" ht="40.5" customHeight="1">
      <c r="A3" s="1827" t="s">
        <v>47</v>
      </c>
      <c r="B3" s="1829" t="s">
        <v>663</v>
      </c>
      <c r="C3" s="1830"/>
      <c r="D3" s="1830"/>
      <c r="E3" s="1830"/>
      <c r="F3" s="1831"/>
      <c r="G3" s="77"/>
      <c r="H3" s="77"/>
      <c r="I3" s="77"/>
      <c r="J3" s="77"/>
      <c r="Q3" s="295"/>
      <c r="R3" s="295"/>
      <c r="S3" s="295"/>
      <c r="T3" s="295"/>
    </row>
    <row r="4" spans="1:20" s="84" customFormat="1" ht="18.75">
      <c r="A4" s="1828"/>
      <c r="B4" s="671" t="s">
        <v>659</v>
      </c>
      <c r="C4" s="672" t="s">
        <v>660</v>
      </c>
      <c r="D4" s="672" t="s">
        <v>661</v>
      </c>
      <c r="E4" s="672" t="s">
        <v>662</v>
      </c>
      <c r="F4" s="660" t="s">
        <v>171</v>
      </c>
      <c r="G4" s="77"/>
      <c r="H4" s="77"/>
      <c r="I4" s="77"/>
      <c r="J4" s="77"/>
      <c r="Q4" s="295"/>
      <c r="R4" s="295"/>
      <c r="S4" s="295"/>
      <c r="T4" s="295"/>
    </row>
    <row r="5" spans="1:20" s="75" customFormat="1" ht="18.75" hidden="1">
      <c r="A5" s="661" t="s">
        <v>478</v>
      </c>
      <c r="B5" s="299">
        <v>181454</v>
      </c>
      <c r="C5" s="299">
        <v>489265</v>
      </c>
      <c r="D5" s="299">
        <v>356294</v>
      </c>
      <c r="E5" s="299">
        <v>329382</v>
      </c>
      <c r="F5" s="673">
        <f t="shared" ref="F5:F13" si="0">SUM(B5:E5)</f>
        <v>1356395</v>
      </c>
      <c r="H5" s="77"/>
      <c r="I5" s="77"/>
      <c r="J5" s="77"/>
      <c r="K5" s="84"/>
      <c r="L5" s="84"/>
      <c r="M5" s="84"/>
      <c r="Q5" s="295"/>
      <c r="R5" s="295"/>
      <c r="S5" s="295"/>
      <c r="T5" s="295"/>
    </row>
    <row r="6" spans="1:20" s="75" customFormat="1" ht="18.75" hidden="1">
      <c r="A6" s="661" t="s">
        <v>441</v>
      </c>
      <c r="B6" s="299">
        <v>183187</v>
      </c>
      <c r="C6" s="299">
        <v>496776</v>
      </c>
      <c r="D6" s="299">
        <v>356636</v>
      </c>
      <c r="E6" s="299">
        <v>331191</v>
      </c>
      <c r="F6" s="673">
        <f t="shared" si="0"/>
        <v>1367790</v>
      </c>
      <c r="H6" s="77"/>
      <c r="I6" s="77"/>
      <c r="J6" s="77"/>
      <c r="K6" s="84"/>
      <c r="L6" s="84"/>
      <c r="M6" s="84"/>
      <c r="Q6" s="295"/>
      <c r="R6" s="295"/>
      <c r="S6" s="295"/>
      <c r="T6" s="295"/>
    </row>
    <row r="7" spans="1:20" s="75" customFormat="1" ht="18.75" hidden="1">
      <c r="A7" s="661" t="s">
        <v>479</v>
      </c>
      <c r="B7" s="299">
        <v>186483</v>
      </c>
      <c r="C7" s="299">
        <v>491532</v>
      </c>
      <c r="D7" s="299">
        <v>359445</v>
      </c>
      <c r="E7" s="299">
        <v>330278</v>
      </c>
      <c r="F7" s="673">
        <f t="shared" si="0"/>
        <v>1367738</v>
      </c>
      <c r="H7" s="77"/>
      <c r="I7" s="77"/>
      <c r="J7" s="77"/>
      <c r="K7" s="84"/>
      <c r="L7" s="84"/>
      <c r="M7" s="84"/>
      <c r="O7" s="75">
        <f>+D19+E19</f>
        <v>701749</v>
      </c>
      <c r="Q7" s="295"/>
      <c r="R7" s="295"/>
      <c r="S7" s="295"/>
      <c r="T7" s="295"/>
    </row>
    <row r="8" spans="1:20" s="75" customFormat="1" ht="18.75" hidden="1" customHeight="1">
      <c r="A8" s="661" t="s">
        <v>480</v>
      </c>
      <c r="B8" s="299">
        <v>191891</v>
      </c>
      <c r="C8" s="299">
        <v>491348</v>
      </c>
      <c r="D8" s="299">
        <v>356397</v>
      </c>
      <c r="E8" s="299">
        <v>329939</v>
      </c>
      <c r="F8" s="673">
        <f t="shared" si="0"/>
        <v>1369575</v>
      </c>
      <c r="H8" s="77"/>
      <c r="I8" s="77"/>
      <c r="J8" s="77"/>
      <c r="K8" s="84"/>
      <c r="L8" s="84"/>
      <c r="M8" s="84"/>
      <c r="O8" s="296"/>
      <c r="Q8" s="295"/>
      <c r="R8" s="295"/>
      <c r="S8" s="295"/>
      <c r="T8" s="295"/>
    </row>
    <row r="9" spans="1:20" ht="18.75" hidden="1">
      <c r="A9" s="661" t="s">
        <v>438</v>
      </c>
      <c r="B9" s="299">
        <v>193209</v>
      </c>
      <c r="C9" s="299">
        <v>497871</v>
      </c>
      <c r="D9" s="299">
        <v>357838</v>
      </c>
      <c r="E9" s="299">
        <v>332260</v>
      </c>
      <c r="F9" s="673">
        <f t="shared" si="0"/>
        <v>1381178</v>
      </c>
      <c r="H9" s="77"/>
      <c r="I9" s="77"/>
      <c r="J9" s="77"/>
      <c r="K9" s="84"/>
      <c r="L9" s="84"/>
      <c r="M9" s="84"/>
      <c r="Q9" s="295">
        <f>+(D21+E21)/F21</f>
        <v>0.48438022559362742</v>
      </c>
      <c r="R9" s="295"/>
      <c r="S9" s="295"/>
      <c r="T9" s="295"/>
    </row>
    <row r="10" spans="1:20" ht="18.75" hidden="1">
      <c r="A10" s="661" t="s">
        <v>449</v>
      </c>
      <c r="B10" s="299">
        <v>196303</v>
      </c>
      <c r="C10" s="299">
        <v>498763</v>
      </c>
      <c r="D10" s="299">
        <v>360098</v>
      </c>
      <c r="E10" s="299">
        <v>333019</v>
      </c>
      <c r="F10" s="673">
        <f t="shared" si="0"/>
        <v>1388183</v>
      </c>
      <c r="H10" s="77"/>
      <c r="I10" s="77"/>
      <c r="J10" s="77"/>
      <c r="K10" s="84"/>
      <c r="L10" s="84"/>
      <c r="M10" s="84"/>
      <c r="Q10" s="295"/>
      <c r="R10" s="295"/>
      <c r="S10" s="295"/>
      <c r="T10" s="295"/>
    </row>
    <row r="11" spans="1:20" ht="18.75" hidden="1">
      <c r="A11" s="661" t="s">
        <v>481</v>
      </c>
      <c r="B11" s="299">
        <v>197491</v>
      </c>
      <c r="C11" s="299">
        <v>503300</v>
      </c>
      <c r="D11" s="299">
        <v>363597</v>
      </c>
      <c r="E11" s="299">
        <v>335269</v>
      </c>
      <c r="F11" s="673">
        <f t="shared" si="0"/>
        <v>1399657</v>
      </c>
      <c r="H11" s="77"/>
      <c r="I11" s="77"/>
      <c r="J11" s="77"/>
      <c r="K11" s="84"/>
      <c r="L11" s="84"/>
      <c r="M11" s="84"/>
      <c r="Q11" s="295"/>
      <c r="R11" s="295"/>
      <c r="S11" s="295"/>
      <c r="T11" s="295"/>
    </row>
    <row r="12" spans="1:20" ht="18.75" hidden="1">
      <c r="A12" s="661" t="s">
        <v>482</v>
      </c>
      <c r="B12" s="299">
        <v>199249</v>
      </c>
      <c r="C12" s="299">
        <v>503409</v>
      </c>
      <c r="D12" s="299">
        <v>363707</v>
      </c>
      <c r="E12" s="299">
        <v>331492</v>
      </c>
      <c r="F12" s="673">
        <f t="shared" si="0"/>
        <v>1397857</v>
      </c>
      <c r="H12" s="77"/>
      <c r="I12" s="77"/>
      <c r="J12" s="77"/>
      <c r="K12" s="84"/>
      <c r="L12" s="84"/>
      <c r="M12" s="84"/>
      <c r="Q12" s="295"/>
      <c r="R12" s="295"/>
      <c r="S12" s="295"/>
      <c r="T12" s="295"/>
    </row>
    <row r="13" spans="1:20" ht="18.75" hidden="1">
      <c r="A13" s="661" t="s">
        <v>483</v>
      </c>
      <c r="B13" s="299">
        <v>198686</v>
      </c>
      <c r="C13" s="299">
        <v>502841</v>
      </c>
      <c r="D13" s="299">
        <v>362314</v>
      </c>
      <c r="E13" s="299">
        <v>331024</v>
      </c>
      <c r="F13" s="673">
        <f t="shared" si="0"/>
        <v>1394865</v>
      </c>
      <c r="H13" s="77"/>
      <c r="I13" s="77"/>
      <c r="J13" s="77"/>
      <c r="K13" s="84"/>
      <c r="L13" s="84"/>
      <c r="M13" s="84"/>
      <c r="Q13" s="295"/>
      <c r="R13" s="295"/>
      <c r="S13" s="295"/>
      <c r="T13" s="295"/>
    </row>
    <row r="14" spans="1:20" ht="18.75" hidden="1">
      <c r="A14" s="661" t="s">
        <v>474</v>
      </c>
      <c r="B14" s="299">
        <v>204343</v>
      </c>
      <c r="C14" s="299">
        <v>501740</v>
      </c>
      <c r="D14" s="299">
        <v>361665</v>
      </c>
      <c r="E14" s="299">
        <v>330418</v>
      </c>
      <c r="F14" s="673">
        <f t="shared" ref="F14:F29" si="1">+B14+C14+D14+E14</f>
        <v>1398166</v>
      </c>
      <c r="H14" s="77"/>
      <c r="I14" s="77"/>
      <c r="J14" s="77"/>
      <c r="K14" s="84"/>
      <c r="L14" s="84"/>
      <c r="M14" s="84"/>
      <c r="P14" s="63">
        <f>D26+E26</f>
        <v>707687</v>
      </c>
      <c r="Q14" s="295"/>
      <c r="R14" s="295"/>
      <c r="S14" s="295"/>
      <c r="T14" s="295"/>
    </row>
    <row r="15" spans="1:20" ht="18.75" hidden="1">
      <c r="A15" s="661" t="s">
        <v>484</v>
      </c>
      <c r="B15" s="299">
        <v>202976</v>
      </c>
      <c r="C15" s="299">
        <v>509462</v>
      </c>
      <c r="D15" s="299">
        <v>363533</v>
      </c>
      <c r="E15" s="299">
        <v>327586</v>
      </c>
      <c r="F15" s="673">
        <f t="shared" si="1"/>
        <v>1403557</v>
      </c>
      <c r="H15" s="77"/>
      <c r="I15" s="77"/>
      <c r="J15" s="77"/>
      <c r="K15" s="84"/>
      <c r="L15" s="84"/>
      <c r="M15" s="84"/>
      <c r="P15" s="297">
        <f>+(D27+E27)/F27</f>
        <v>0.47482226312791337</v>
      </c>
      <c r="Q15" s="295"/>
      <c r="R15" s="295"/>
      <c r="S15" s="295"/>
      <c r="T15" s="295"/>
    </row>
    <row r="16" spans="1:20" ht="18.75" hidden="1">
      <c r="A16" s="661" t="s">
        <v>496</v>
      </c>
      <c r="B16" s="299">
        <v>202079</v>
      </c>
      <c r="C16" s="299">
        <v>512555</v>
      </c>
      <c r="D16" s="299">
        <v>365312</v>
      </c>
      <c r="E16" s="299">
        <v>325803</v>
      </c>
      <c r="F16" s="673">
        <f t="shared" si="1"/>
        <v>1405749</v>
      </c>
      <c r="H16" s="77"/>
      <c r="I16" s="77"/>
      <c r="J16" s="77"/>
      <c r="K16" s="84"/>
      <c r="L16" s="84"/>
      <c r="M16" s="84"/>
      <c r="Q16" s="295"/>
      <c r="R16" s="295"/>
      <c r="S16" s="295"/>
      <c r="T16" s="295"/>
    </row>
    <row r="17" spans="1:22" ht="18.75" hidden="1">
      <c r="A17" s="661" t="s">
        <v>495</v>
      </c>
      <c r="B17" s="299">
        <v>205123</v>
      </c>
      <c r="C17" s="299">
        <v>518667</v>
      </c>
      <c r="D17" s="299">
        <v>366393</v>
      </c>
      <c r="E17" s="299">
        <v>328627</v>
      </c>
      <c r="F17" s="673">
        <f t="shared" si="1"/>
        <v>1418810</v>
      </c>
      <c r="H17" s="77"/>
      <c r="I17" s="77"/>
      <c r="J17" s="77"/>
      <c r="K17" s="84"/>
      <c r="L17" s="84"/>
      <c r="M17" s="84"/>
      <c r="N17" s="26"/>
      <c r="O17" s="26"/>
      <c r="P17" s="26"/>
      <c r="Q17" s="295"/>
      <c r="R17" s="295"/>
      <c r="S17" s="295"/>
      <c r="T17" s="295"/>
      <c r="U17" s="26"/>
      <c r="V17" s="26"/>
    </row>
    <row r="18" spans="1:22" ht="18.75" hidden="1">
      <c r="A18" s="661" t="s">
        <v>501</v>
      </c>
      <c r="B18" s="299">
        <v>200441</v>
      </c>
      <c r="C18" s="299">
        <v>530515</v>
      </c>
      <c r="D18" s="299">
        <v>368797</v>
      </c>
      <c r="E18" s="299">
        <v>330520</v>
      </c>
      <c r="F18" s="673">
        <f t="shared" si="1"/>
        <v>1430273</v>
      </c>
      <c r="H18" s="77"/>
      <c r="I18" s="77"/>
      <c r="J18" s="77"/>
      <c r="K18" s="84"/>
      <c r="L18" s="84"/>
      <c r="M18" s="84"/>
      <c r="N18" s="26"/>
      <c r="O18" s="26"/>
      <c r="P18" s="26"/>
      <c r="Q18" s="295"/>
      <c r="R18" s="295"/>
      <c r="S18" s="295"/>
      <c r="T18" s="295"/>
      <c r="U18" s="26"/>
      <c r="V18" s="26"/>
    </row>
    <row r="19" spans="1:22" ht="18.75" hidden="1">
      <c r="A19" s="661" t="s">
        <v>509</v>
      </c>
      <c r="B19" s="299">
        <v>202312</v>
      </c>
      <c r="C19" s="299">
        <v>526759</v>
      </c>
      <c r="D19" s="299">
        <v>371273</v>
      </c>
      <c r="E19" s="299">
        <v>330476</v>
      </c>
      <c r="F19" s="673">
        <f t="shared" si="1"/>
        <v>1430820</v>
      </c>
      <c r="H19" s="77"/>
      <c r="I19" s="77"/>
      <c r="J19" s="77"/>
      <c r="K19" s="84"/>
      <c r="L19" s="84"/>
      <c r="M19" s="84"/>
      <c r="N19" s="26"/>
      <c r="O19" s="26"/>
      <c r="P19" s="26">
        <f>+D31+E31</f>
        <v>717872</v>
      </c>
      <c r="Q19" s="295"/>
      <c r="R19" s="295"/>
      <c r="S19" s="295"/>
      <c r="T19" s="295"/>
      <c r="U19" s="26"/>
      <c r="V19" s="26"/>
    </row>
    <row r="20" spans="1:22" ht="18.75" hidden="1">
      <c r="A20" s="661" t="s">
        <v>590</v>
      </c>
      <c r="B20" s="299">
        <v>211683</v>
      </c>
      <c r="C20" s="299">
        <v>525218</v>
      </c>
      <c r="D20" s="299">
        <v>368918</v>
      </c>
      <c r="E20" s="299">
        <v>329636</v>
      </c>
      <c r="F20" s="673">
        <f t="shared" si="1"/>
        <v>1435455</v>
      </c>
      <c r="H20" s="77"/>
      <c r="I20" s="77"/>
      <c r="J20" s="77"/>
      <c r="K20" s="84"/>
      <c r="L20" s="84"/>
      <c r="M20" s="84"/>
      <c r="N20" s="26"/>
      <c r="O20" s="26"/>
      <c r="P20" s="270">
        <f>(D32+E32)/F32</f>
        <v>0.46591102534614609</v>
      </c>
      <c r="Q20" s="295"/>
      <c r="R20" s="295"/>
      <c r="S20" s="295"/>
      <c r="T20" s="295"/>
      <c r="U20" s="26"/>
      <c r="V20" s="26"/>
    </row>
    <row r="21" spans="1:22" ht="18.75" hidden="1">
      <c r="A21" s="661" t="s">
        <v>591</v>
      </c>
      <c r="B21" s="299">
        <v>219121</v>
      </c>
      <c r="C21" s="299">
        <v>527086</v>
      </c>
      <c r="D21" s="299">
        <v>369090</v>
      </c>
      <c r="E21" s="299">
        <v>331907</v>
      </c>
      <c r="F21" s="673">
        <f t="shared" si="1"/>
        <v>1447204</v>
      </c>
      <c r="H21" s="77"/>
      <c r="I21" s="77"/>
      <c r="J21" s="77"/>
      <c r="K21" s="84"/>
      <c r="L21" s="84"/>
      <c r="M21" s="84"/>
      <c r="N21" s="26"/>
      <c r="O21" s="26"/>
      <c r="P21" s="26"/>
      <c r="R21" s="295"/>
      <c r="S21" s="295"/>
      <c r="T21" s="295"/>
      <c r="U21" s="26"/>
      <c r="V21" s="26"/>
    </row>
    <row r="22" spans="1:22" ht="18.75" hidden="1">
      <c r="A22" s="661" t="s">
        <v>592</v>
      </c>
      <c r="B22" s="299">
        <v>221194</v>
      </c>
      <c r="C22" s="299">
        <v>533546</v>
      </c>
      <c r="D22" s="299">
        <v>374749</v>
      </c>
      <c r="E22" s="299">
        <v>335208</v>
      </c>
      <c r="F22" s="673">
        <f t="shared" si="1"/>
        <v>1464697</v>
      </c>
      <c r="K22" s="66"/>
      <c r="L22" s="66"/>
      <c r="M22" s="26"/>
      <c r="N22" s="26"/>
      <c r="O22" s="26"/>
      <c r="P22" s="26"/>
      <c r="R22" s="295"/>
      <c r="S22" s="295"/>
      <c r="T22" s="295"/>
      <c r="U22" s="26"/>
      <c r="V22" s="26"/>
    </row>
    <row r="23" spans="1:22" ht="18.75" hidden="1">
      <c r="A23" s="661" t="s">
        <v>593</v>
      </c>
      <c r="B23" s="299">
        <v>228432</v>
      </c>
      <c r="C23" s="299">
        <v>536400</v>
      </c>
      <c r="D23" s="299">
        <v>375212</v>
      </c>
      <c r="E23" s="299">
        <v>337026</v>
      </c>
      <c r="F23" s="673">
        <f t="shared" si="1"/>
        <v>1477070</v>
      </c>
      <c r="K23" s="66"/>
      <c r="L23" s="66"/>
      <c r="M23" s="26"/>
      <c r="N23" s="26"/>
      <c r="O23" s="26"/>
      <c r="P23" s="26"/>
      <c r="R23" s="295"/>
      <c r="S23" s="295"/>
      <c r="T23" s="295"/>
      <c r="U23" s="26"/>
      <c r="V23" s="26"/>
    </row>
    <row r="24" spans="1:22" ht="18.75" hidden="1">
      <c r="A24" s="661" t="s">
        <v>594</v>
      </c>
      <c r="B24" s="299">
        <v>228311</v>
      </c>
      <c r="C24" s="299">
        <v>537524</v>
      </c>
      <c r="D24" s="299">
        <v>371556</v>
      </c>
      <c r="E24" s="299">
        <v>336046</v>
      </c>
      <c r="F24" s="673">
        <f t="shared" si="1"/>
        <v>1473437</v>
      </c>
      <c r="Q24" s="295"/>
      <c r="R24" s="295"/>
      <c r="S24" s="295"/>
      <c r="T24" s="295"/>
    </row>
    <row r="25" spans="1:22" ht="18.75" hidden="1">
      <c r="A25" s="661" t="s">
        <v>595</v>
      </c>
      <c r="B25" s="299">
        <v>234394</v>
      </c>
      <c r="C25" s="299">
        <v>534799</v>
      </c>
      <c r="D25" s="299">
        <v>372783</v>
      </c>
      <c r="E25" s="299">
        <v>336130</v>
      </c>
      <c r="F25" s="673">
        <f t="shared" si="1"/>
        <v>1478106</v>
      </c>
      <c r="Q25" s="295"/>
      <c r="R25" s="295"/>
      <c r="S25" s="295"/>
      <c r="T25" s="295"/>
    </row>
    <row r="26" spans="1:22" ht="18.75" hidden="1">
      <c r="A26" s="661" t="s">
        <v>596</v>
      </c>
      <c r="B26" s="299">
        <v>239136</v>
      </c>
      <c r="C26" s="299">
        <v>537402</v>
      </c>
      <c r="D26" s="299">
        <v>371374</v>
      </c>
      <c r="E26" s="299">
        <v>336313</v>
      </c>
      <c r="F26" s="673">
        <f t="shared" si="1"/>
        <v>1484225</v>
      </c>
      <c r="Q26" s="295"/>
      <c r="R26" s="295"/>
      <c r="S26" s="295"/>
      <c r="T26" s="295"/>
    </row>
    <row r="27" spans="1:22" ht="18.75" hidden="1">
      <c r="A27" s="661" t="s">
        <v>597</v>
      </c>
      <c r="B27" s="299">
        <v>244791</v>
      </c>
      <c r="C27" s="299">
        <v>536090</v>
      </c>
      <c r="D27" s="299">
        <v>371118</v>
      </c>
      <c r="E27" s="299">
        <v>334890</v>
      </c>
      <c r="F27" s="673">
        <f t="shared" si="1"/>
        <v>1486889</v>
      </c>
      <c r="Q27" s="295"/>
      <c r="R27" s="295"/>
      <c r="S27" s="295"/>
      <c r="T27" s="295"/>
    </row>
    <row r="28" spans="1:22" ht="18.75" hidden="1">
      <c r="A28" s="661" t="s">
        <v>598</v>
      </c>
      <c r="B28" s="299">
        <v>249439</v>
      </c>
      <c r="C28" s="299">
        <f>541153</f>
        <v>541153</v>
      </c>
      <c r="D28" s="299">
        <f>372919</f>
        <v>372919</v>
      </c>
      <c r="E28" s="299">
        <f>336682</f>
        <v>336682</v>
      </c>
      <c r="F28" s="673">
        <f t="shared" si="1"/>
        <v>1500193</v>
      </c>
      <c r="Q28" s="295"/>
      <c r="R28" s="295"/>
      <c r="S28" s="295"/>
      <c r="T28" s="295"/>
    </row>
    <row r="29" spans="1:22" ht="18.75" hidden="1">
      <c r="A29" s="661" t="s">
        <v>599</v>
      </c>
      <c r="B29" s="299">
        <v>245347</v>
      </c>
      <c r="C29" s="299">
        <v>553544</v>
      </c>
      <c r="D29" s="299">
        <v>376606</v>
      </c>
      <c r="E29" s="299">
        <v>340095</v>
      </c>
      <c r="F29" s="673">
        <f t="shared" si="1"/>
        <v>1515592</v>
      </c>
      <c r="Q29" s="295"/>
      <c r="R29" s="295"/>
      <c r="S29" s="295"/>
      <c r="T29" s="295"/>
    </row>
    <row r="30" spans="1:22" ht="18.75" hidden="1">
      <c r="A30" s="663" t="s">
        <v>570</v>
      </c>
      <c r="B30" s="666">
        <v>246592</v>
      </c>
      <c r="C30" s="667">
        <v>563672</v>
      </c>
      <c r="D30" s="667">
        <v>379418</v>
      </c>
      <c r="E30" s="667">
        <v>340640</v>
      </c>
      <c r="F30" s="674">
        <f>+B30+C30+D30+E30</f>
        <v>1530322</v>
      </c>
      <c r="Q30" s="295"/>
      <c r="R30" s="295"/>
      <c r="S30" s="295"/>
      <c r="T30" s="295"/>
    </row>
    <row r="31" spans="1:22" ht="18.75">
      <c r="A31" s="664" t="s">
        <v>621</v>
      </c>
      <c r="B31" s="668">
        <v>256189</v>
      </c>
      <c r="C31" s="299">
        <v>556755</v>
      </c>
      <c r="D31" s="299">
        <v>377374</v>
      </c>
      <c r="E31" s="299">
        <v>340498</v>
      </c>
      <c r="F31" s="673">
        <f>+B31+C31+D31+E31</f>
        <v>1530816</v>
      </c>
      <c r="Q31" s="295"/>
      <c r="R31" s="295"/>
      <c r="S31" s="295"/>
      <c r="T31" s="295"/>
    </row>
    <row r="32" spans="1:22" ht="18.75">
      <c r="A32" s="664" t="s">
        <v>601</v>
      </c>
      <c r="B32" s="668">
        <v>263872</v>
      </c>
      <c r="C32" s="299">
        <v>558139</v>
      </c>
      <c r="D32" s="299">
        <v>377875</v>
      </c>
      <c r="E32" s="299">
        <v>339204</v>
      </c>
      <c r="F32" s="673">
        <f t="shared" ref="F32:F42" si="2">+B32+C32+D32+E32</f>
        <v>1539090</v>
      </c>
      <c r="Q32" s="298"/>
      <c r="R32" s="295"/>
      <c r="S32" s="295"/>
      <c r="T32" s="295"/>
    </row>
    <row r="33" spans="1:16" ht="18.75">
      <c r="A33" s="664" t="s">
        <v>602</v>
      </c>
      <c r="B33" s="668">
        <v>270651</v>
      </c>
      <c r="C33" s="299">
        <v>565760</v>
      </c>
      <c r="D33" s="299">
        <v>377929</v>
      </c>
      <c r="E33" s="299">
        <v>341362</v>
      </c>
      <c r="F33" s="673">
        <f t="shared" si="2"/>
        <v>1555702</v>
      </c>
    </row>
    <row r="34" spans="1:16" ht="18.75">
      <c r="A34" s="664" t="s">
        <v>603</v>
      </c>
      <c r="B34" s="668">
        <v>272029</v>
      </c>
      <c r="C34" s="299">
        <v>572045</v>
      </c>
      <c r="D34" s="299">
        <v>382588</v>
      </c>
      <c r="E34" s="299">
        <v>345238</v>
      </c>
      <c r="F34" s="673">
        <f t="shared" si="2"/>
        <v>1571900</v>
      </c>
    </row>
    <row r="35" spans="1:16" ht="18.75">
      <c r="A35" s="664" t="s">
        <v>604</v>
      </c>
      <c r="B35" s="668">
        <v>272442</v>
      </c>
      <c r="C35" s="299">
        <v>581637</v>
      </c>
      <c r="D35" s="299">
        <v>387652</v>
      </c>
      <c r="E35" s="299">
        <v>349071</v>
      </c>
      <c r="F35" s="673">
        <f t="shared" si="2"/>
        <v>1590802</v>
      </c>
    </row>
    <row r="36" spans="1:16" ht="18.75">
      <c r="A36" s="664" t="s">
        <v>605</v>
      </c>
      <c r="B36" s="668">
        <v>275990</v>
      </c>
      <c r="C36" s="299">
        <v>577128</v>
      </c>
      <c r="D36" s="299">
        <v>383655</v>
      </c>
      <c r="E36" s="299">
        <v>343083</v>
      </c>
      <c r="F36" s="673">
        <f t="shared" si="2"/>
        <v>1579856</v>
      </c>
    </row>
    <row r="37" spans="1:16" ht="18.75">
      <c r="A37" s="664" t="s">
        <v>606</v>
      </c>
      <c r="B37" s="668">
        <v>274624</v>
      </c>
      <c r="C37" s="299">
        <v>582358</v>
      </c>
      <c r="D37" s="299">
        <v>387019</v>
      </c>
      <c r="E37" s="299">
        <v>346118</v>
      </c>
      <c r="F37" s="673">
        <f t="shared" si="2"/>
        <v>1590119</v>
      </c>
    </row>
    <row r="38" spans="1:16" ht="21">
      <c r="A38" s="664" t="s">
        <v>607</v>
      </c>
      <c r="B38" s="668">
        <v>277391</v>
      </c>
      <c r="C38" s="299">
        <v>585908</v>
      </c>
      <c r="D38" s="299">
        <v>387179</v>
      </c>
      <c r="E38" s="299">
        <v>346360</v>
      </c>
      <c r="F38" s="673">
        <f t="shared" si="2"/>
        <v>1596838</v>
      </c>
      <c r="P38" s="670"/>
    </row>
    <row r="39" spans="1:16" ht="18.75">
      <c r="A39" s="664" t="s">
        <v>608</v>
      </c>
      <c r="B39" s="668">
        <v>276510</v>
      </c>
      <c r="C39" s="299">
        <v>594455</v>
      </c>
      <c r="D39" s="299">
        <v>389664</v>
      </c>
      <c r="E39" s="299">
        <v>345247</v>
      </c>
      <c r="F39" s="673">
        <f t="shared" si="2"/>
        <v>1605876</v>
      </c>
    </row>
    <row r="40" spans="1:16" ht="18.75">
      <c r="A40" s="664" t="s">
        <v>571</v>
      </c>
      <c r="B40" s="668">
        <v>280712</v>
      </c>
      <c r="C40" s="299">
        <v>608568</v>
      </c>
      <c r="D40" s="299">
        <v>391615</v>
      </c>
      <c r="E40" s="299">
        <v>346177</v>
      </c>
      <c r="F40" s="673">
        <f t="shared" si="2"/>
        <v>1627072</v>
      </c>
    </row>
    <row r="41" spans="1:16" ht="18.75">
      <c r="A41" s="664" t="s">
        <v>637</v>
      </c>
      <c r="B41" s="668">
        <v>280852</v>
      </c>
      <c r="C41" s="299">
        <v>618171</v>
      </c>
      <c r="D41" s="299">
        <v>393074</v>
      </c>
      <c r="E41" s="299">
        <v>349307</v>
      </c>
      <c r="F41" s="673">
        <f t="shared" si="2"/>
        <v>1641404</v>
      </c>
    </row>
    <row r="42" spans="1:16" ht="18.75">
      <c r="A42" s="664" t="s">
        <v>635</v>
      </c>
      <c r="B42" s="668">
        <v>285703</v>
      </c>
      <c r="C42" s="299">
        <v>624371</v>
      </c>
      <c r="D42" s="299">
        <v>391447</v>
      </c>
      <c r="E42" s="299">
        <v>349681</v>
      </c>
      <c r="F42" s="673">
        <f t="shared" si="2"/>
        <v>1651202</v>
      </c>
    </row>
    <row r="43" spans="1:16" ht="18.75">
      <c r="A43" s="665" t="s">
        <v>636</v>
      </c>
      <c r="B43" s="669">
        <v>284184</v>
      </c>
      <c r="C43" s="662">
        <v>624657</v>
      </c>
      <c r="D43" s="662">
        <v>393280</v>
      </c>
      <c r="E43" s="662">
        <v>352363</v>
      </c>
      <c r="F43" s="675">
        <f>+B43+C43+D43+E43</f>
        <v>1654484</v>
      </c>
    </row>
    <row r="44" spans="1:16">
      <c r="B44" s="1209"/>
      <c r="C44" s="1209"/>
      <c r="D44" s="1209"/>
      <c r="E44" s="1209"/>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H7" sqref="H7"/>
    </sheetView>
  </sheetViews>
  <sheetFormatPr baseColWidth="10" defaultColWidth="11.42578125" defaultRowHeight="15"/>
  <cols>
    <col min="1" max="1" width="16.28515625" style="44" customWidth="1"/>
    <col min="2" max="2" width="15.85546875" style="44" customWidth="1"/>
    <col min="3" max="3" width="21.85546875" style="44" customWidth="1"/>
    <col min="4" max="4" width="28.85546875" style="44" customWidth="1"/>
    <col min="5" max="5" width="18.85546875" style="44" customWidth="1"/>
    <col min="6" max="6" width="14.28515625" style="44" customWidth="1"/>
    <col min="7" max="7" width="13.140625" style="44" customWidth="1"/>
    <col min="8" max="8" width="17" style="44" customWidth="1"/>
    <col min="9" max="9" width="15.85546875" style="44" customWidth="1"/>
    <col min="10" max="10" width="15.5703125" style="44" customWidth="1"/>
    <col min="11" max="11" width="14.42578125" style="44" customWidth="1"/>
    <col min="12" max="12" width="14.28515625" style="44" customWidth="1"/>
    <col min="13" max="13" width="13.85546875" style="44" customWidth="1"/>
    <col min="14" max="16384" width="11.42578125" style="44"/>
  </cols>
  <sheetData>
    <row r="1" spans="1:15" s="84" customFormat="1" ht="81" customHeight="1">
      <c r="A1" s="1792"/>
      <c r="B1" s="1792"/>
      <c r="C1" s="1792"/>
      <c r="D1" s="1792"/>
      <c r="E1" s="1792"/>
      <c r="F1" s="1792"/>
      <c r="G1" s="1792"/>
      <c r="H1" s="1792"/>
      <c r="I1" s="1792"/>
      <c r="J1" s="1792"/>
    </row>
    <row r="2" spans="1:15" s="84" customFormat="1" ht="11.25" customHeight="1">
      <c r="A2" s="1832"/>
      <c r="B2" s="1832"/>
      <c r="C2" s="1832"/>
      <c r="D2" s="1832"/>
      <c r="E2" s="1832"/>
      <c r="F2" s="1832"/>
      <c r="G2" s="1832"/>
      <c r="H2" s="1832"/>
      <c r="I2" s="1832"/>
      <c r="J2" s="1832"/>
    </row>
    <row r="3" spans="1:15" s="84" customFormat="1" ht="50.25" customHeight="1">
      <c r="A3" s="629" t="s">
        <v>0</v>
      </c>
      <c r="B3" s="676" t="s">
        <v>269</v>
      </c>
      <c r="C3" s="676" t="s">
        <v>425</v>
      </c>
      <c r="D3" s="676" t="s">
        <v>268</v>
      </c>
      <c r="E3" s="677" t="s">
        <v>267</v>
      </c>
      <c r="F3" s="102"/>
      <c r="G3" s="102"/>
      <c r="H3" s="102"/>
      <c r="I3" s="102"/>
      <c r="J3" s="102"/>
      <c r="K3" s="1210"/>
      <c r="L3" s="1210"/>
      <c r="M3" s="1210"/>
      <c r="N3" s="1210"/>
      <c r="O3" s="1210"/>
    </row>
    <row r="4" spans="1:15" s="84" customFormat="1" ht="17.25" hidden="1" customHeight="1">
      <c r="A4" s="641" t="s">
        <v>266</v>
      </c>
      <c r="B4" s="300">
        <v>593286</v>
      </c>
      <c r="C4" s="300">
        <v>2647</v>
      </c>
      <c r="D4" s="678">
        <f t="shared" ref="D4:D15" si="0">C4/B4*$A$21</f>
        <v>446.15918798016475</v>
      </c>
      <c r="E4" s="682">
        <f t="shared" ref="E4:E11" si="1">C4/B4</f>
        <v>4.4615918798016473E-3</v>
      </c>
      <c r="F4" s="102"/>
      <c r="G4" s="102"/>
      <c r="H4" s="102"/>
      <c r="I4" s="102"/>
      <c r="J4" s="102"/>
      <c r="K4" s="1210"/>
      <c r="L4" s="1210"/>
      <c r="M4" s="1210"/>
      <c r="N4" s="1210"/>
      <c r="O4" s="1210"/>
    </row>
    <row r="5" spans="1:15" s="84" customFormat="1" ht="15.75">
      <c r="A5" s="641" t="s">
        <v>265</v>
      </c>
      <c r="B5" s="300">
        <v>626615</v>
      </c>
      <c r="C5" s="300">
        <v>3731</v>
      </c>
      <c r="D5" s="678">
        <f t="shared" si="0"/>
        <v>595.42143102223849</v>
      </c>
      <c r="E5" s="682">
        <f>C5/B5</f>
        <v>5.9542143102223853E-3</v>
      </c>
      <c r="F5" s="102"/>
      <c r="I5" s="102"/>
      <c r="J5" s="102"/>
      <c r="K5" s="1210"/>
      <c r="L5" s="1210"/>
      <c r="M5" s="1210"/>
      <c r="N5" s="1210"/>
      <c r="O5" s="1210"/>
    </row>
    <row r="6" spans="1:15" s="84" customFormat="1" ht="15.75">
      <c r="A6" s="641" t="s">
        <v>264</v>
      </c>
      <c r="B6" s="300">
        <v>808496</v>
      </c>
      <c r="C6" s="300">
        <v>5535</v>
      </c>
      <c r="D6" s="678">
        <f t="shared" si="0"/>
        <v>684.60450020779331</v>
      </c>
      <c r="E6" s="682">
        <f t="shared" si="1"/>
        <v>6.8460450020779327E-3</v>
      </c>
      <c r="F6" s="102"/>
      <c r="H6" s="102"/>
      <c r="I6" s="102"/>
      <c r="J6" s="102"/>
      <c r="K6" s="1210"/>
      <c r="L6" s="1210"/>
      <c r="M6" s="1210"/>
      <c r="N6" s="1210"/>
      <c r="O6" s="1210"/>
    </row>
    <row r="7" spans="1:15" s="84" customFormat="1" ht="15.75">
      <c r="A7" s="641" t="s">
        <v>179</v>
      </c>
      <c r="B7" s="300">
        <v>913203</v>
      </c>
      <c r="C7" s="300">
        <v>8544</v>
      </c>
      <c r="D7" s="678">
        <f t="shared" si="0"/>
        <v>935.60796449420332</v>
      </c>
      <c r="E7" s="682">
        <f t="shared" si="1"/>
        <v>9.3560796449420336E-3</v>
      </c>
      <c r="F7" s="102"/>
      <c r="H7" s="102"/>
      <c r="I7" s="102" t="s">
        <v>33</v>
      </c>
      <c r="J7" s="102"/>
      <c r="K7" s="1210"/>
      <c r="L7" s="1210"/>
      <c r="M7" s="1210"/>
      <c r="N7" s="1210"/>
      <c r="O7" s="1210"/>
    </row>
    <row r="8" spans="1:15" s="84" customFormat="1" ht="15.75">
      <c r="A8" s="641" t="s">
        <v>235</v>
      </c>
      <c r="B8" s="300">
        <v>992746</v>
      </c>
      <c r="C8" s="300">
        <v>10977</v>
      </c>
      <c r="D8" s="678">
        <f t="shared" si="0"/>
        <v>1105.7208994042787</v>
      </c>
      <c r="E8" s="682">
        <f t="shared" si="1"/>
        <v>1.1057208994042786E-2</v>
      </c>
      <c r="F8" s="102"/>
      <c r="H8" s="102"/>
      <c r="I8" s="102"/>
      <c r="J8" s="102"/>
      <c r="K8" s="1210"/>
      <c r="L8" s="1210"/>
      <c r="M8" s="1210"/>
      <c r="N8" s="1210"/>
      <c r="O8" s="1210"/>
    </row>
    <row r="9" spans="1:15" s="84" customFormat="1" ht="15.75">
      <c r="A9" s="641" t="s">
        <v>236</v>
      </c>
      <c r="B9" s="300">
        <v>1084705</v>
      </c>
      <c r="C9" s="300">
        <v>14683</v>
      </c>
      <c r="D9" s="678">
        <f t="shared" si="0"/>
        <v>1353.6399297504852</v>
      </c>
      <c r="E9" s="682">
        <f t="shared" si="1"/>
        <v>1.3536399297504852E-2</v>
      </c>
      <c r="F9" s="102"/>
      <c r="H9" s="102"/>
      <c r="I9" s="102"/>
      <c r="J9" s="102"/>
      <c r="K9" s="1210"/>
      <c r="L9" s="1210"/>
      <c r="M9" s="1210"/>
      <c r="N9" s="1210"/>
      <c r="O9" s="1210"/>
    </row>
    <row r="10" spans="1:15" s="84" customFormat="1" ht="15.75">
      <c r="A10" s="641" t="s">
        <v>197</v>
      </c>
      <c r="B10" s="300">
        <v>1183463</v>
      </c>
      <c r="C10" s="300">
        <v>17456</v>
      </c>
      <c r="D10" s="678">
        <f t="shared" si="0"/>
        <v>1474.9933035506815</v>
      </c>
      <c r="E10" s="682">
        <f t="shared" si="1"/>
        <v>1.4749933035506814E-2</v>
      </c>
      <c r="F10" s="102"/>
      <c r="G10" s="102"/>
      <c r="H10" s="102"/>
      <c r="I10" s="102"/>
      <c r="J10" s="102"/>
      <c r="K10" s="1210"/>
      <c r="L10" s="1210"/>
      <c r="M10" s="1210"/>
      <c r="N10" s="1210"/>
      <c r="O10" s="1210"/>
    </row>
    <row r="11" spans="1:15" s="84" customFormat="1" ht="15.75">
      <c r="A11" s="641" t="s">
        <v>237</v>
      </c>
      <c r="B11" s="300">
        <v>1367790</v>
      </c>
      <c r="C11" s="300">
        <v>22597</v>
      </c>
      <c r="D11" s="678">
        <f t="shared" si="0"/>
        <v>1652.0810943200345</v>
      </c>
      <c r="E11" s="682">
        <f t="shared" si="1"/>
        <v>1.6520810943200345E-2</v>
      </c>
      <c r="F11" s="102"/>
      <c r="H11" s="102"/>
      <c r="I11" s="102"/>
      <c r="J11" s="102"/>
      <c r="K11" s="1210"/>
      <c r="L11" s="1210"/>
      <c r="M11" s="1210"/>
      <c r="N11" s="1210"/>
      <c r="O11" s="1210"/>
    </row>
    <row r="12" spans="1:15" s="84" customFormat="1" ht="15.75">
      <c r="A12" s="641" t="s">
        <v>499</v>
      </c>
      <c r="B12" s="300">
        <v>1430273</v>
      </c>
      <c r="C12" s="300">
        <f>+'[4]VI.3.1 NA. Reportes ARL'!D12</f>
        <v>26688</v>
      </c>
      <c r="D12" s="678">
        <f t="shared" si="0"/>
        <v>1865.9374818653503</v>
      </c>
      <c r="E12" s="682">
        <f>C12/B12</f>
        <v>1.8659374818653502E-2</v>
      </c>
      <c r="F12" s="102"/>
      <c r="H12" s="102"/>
      <c r="I12" s="102"/>
      <c r="J12" s="102"/>
      <c r="K12" s="1210"/>
      <c r="L12" s="1210"/>
      <c r="M12" s="1210"/>
      <c r="N12" s="1210"/>
      <c r="O12" s="1210"/>
    </row>
    <row r="13" spans="1:15" s="84" customFormat="1" ht="15.75">
      <c r="A13" s="641" t="s">
        <v>619</v>
      </c>
      <c r="B13" s="300">
        <v>1530322</v>
      </c>
      <c r="C13" s="300">
        <v>28635</v>
      </c>
      <c r="D13" s="678">
        <f t="shared" si="0"/>
        <v>1871.174824644748</v>
      </c>
      <c r="E13" s="682">
        <f>C13/B13</f>
        <v>1.8711748246447481E-2</v>
      </c>
      <c r="F13" s="102"/>
      <c r="H13" s="102"/>
      <c r="I13" s="102"/>
      <c r="J13" s="102"/>
      <c r="K13" s="1210"/>
      <c r="L13" s="1210"/>
      <c r="M13" s="1210"/>
      <c r="N13" s="1210"/>
      <c r="O13" s="1210"/>
    </row>
    <row r="14" spans="1:15" s="84" customFormat="1" ht="15.75">
      <c r="A14" s="641" t="s">
        <v>628</v>
      </c>
      <c r="B14" s="300">
        <f>+'[4]VI.1.1 Afil. SRL'!D10</f>
        <v>1651202</v>
      </c>
      <c r="C14" s="300">
        <f>+'[4]VI.3.1 NA. Reportes ARL'!D14</f>
        <v>31032</v>
      </c>
      <c r="D14" s="678">
        <f t="shared" si="0"/>
        <v>1879.3581887618836</v>
      </c>
      <c r="E14" s="682">
        <f>C14/B14</f>
        <v>1.8793581887618836E-2</v>
      </c>
      <c r="F14" s="102"/>
      <c r="H14" s="102"/>
      <c r="I14" s="102"/>
      <c r="J14" s="102"/>
      <c r="K14" s="1210"/>
      <c r="L14" s="1210"/>
      <c r="M14" s="1210"/>
      <c r="N14" s="1210"/>
      <c r="O14" s="1210"/>
    </row>
    <row r="15" spans="1:15" s="84" customFormat="1" ht="15.75">
      <c r="A15" s="641" t="s">
        <v>632</v>
      </c>
      <c r="B15" s="300">
        <v>1654484</v>
      </c>
      <c r="C15" s="300">
        <v>2248</v>
      </c>
      <c r="D15" s="678">
        <f t="shared" si="0"/>
        <v>135.87317858619366</v>
      </c>
      <c r="E15" s="682">
        <f>C15/B15</f>
        <v>1.3587317858619365E-3</v>
      </c>
      <c r="F15" s="102"/>
      <c r="H15" s="102"/>
      <c r="I15" s="102"/>
      <c r="J15" s="102"/>
      <c r="K15" s="1210"/>
      <c r="L15" s="1210"/>
      <c r="M15" s="1210"/>
      <c r="N15" s="1210"/>
      <c r="O15" s="1210"/>
    </row>
    <row r="16" spans="1:15" s="84" customFormat="1" ht="17.25" customHeight="1">
      <c r="A16" s="679" t="s">
        <v>23</v>
      </c>
      <c r="B16" s="680"/>
      <c r="C16" s="680">
        <f>SUM(C5:C15)</f>
        <v>172126</v>
      </c>
      <c r="D16" s="680"/>
      <c r="E16" s="681">
        <f>AVERAGE(E4:E15)</f>
        <v>1.1667143320490047E-2</v>
      </c>
      <c r="F16" s="102"/>
      <c r="H16" s="102"/>
      <c r="I16" s="102"/>
      <c r="J16" s="102"/>
      <c r="K16" s="1210"/>
      <c r="L16" s="1210"/>
      <c r="M16" s="1210"/>
      <c r="N16" s="1210"/>
      <c r="O16" s="1210"/>
    </row>
    <row r="17" spans="1:15" s="84" customFormat="1">
      <c r="B17" s="102"/>
      <c r="C17" s="102"/>
      <c r="D17" s="102"/>
      <c r="E17" s="102"/>
      <c r="F17" s="102"/>
      <c r="G17" s="102"/>
      <c r="H17" s="102"/>
      <c r="I17" s="102"/>
      <c r="J17" s="102"/>
      <c r="K17" s="1210"/>
      <c r="L17" s="1210"/>
      <c r="M17" s="1210"/>
      <c r="N17" s="1210"/>
      <c r="O17" s="1210"/>
    </row>
    <row r="18" spans="1:15" s="84" customFormat="1">
      <c r="A18" s="102"/>
      <c r="B18" s="102"/>
      <c r="C18" s="102"/>
      <c r="D18" s="102"/>
      <c r="E18" s="102"/>
      <c r="F18" s="102"/>
      <c r="G18" s="102"/>
      <c r="H18" s="102"/>
      <c r="I18" s="102"/>
      <c r="J18" s="102"/>
      <c r="K18" s="1210"/>
      <c r="L18" s="1210"/>
      <c r="M18" s="1210"/>
      <c r="N18" s="1210"/>
      <c r="O18" s="1210"/>
    </row>
    <row r="19" spans="1:15" s="84" customFormat="1">
      <c r="A19" s="102"/>
      <c r="B19" s="102"/>
      <c r="C19" s="102"/>
      <c r="D19" s="102"/>
      <c r="E19" s="102"/>
      <c r="F19" s="102"/>
      <c r="G19" s="102"/>
      <c r="H19" s="102"/>
      <c r="I19" s="102"/>
      <c r="J19" s="102"/>
      <c r="K19" s="1210"/>
      <c r="L19" s="1210"/>
      <c r="M19" s="1210"/>
      <c r="N19" s="1210"/>
      <c r="O19" s="1210"/>
    </row>
    <row r="20" spans="1:15" s="84" customFormat="1">
      <c r="A20" s="102"/>
      <c r="B20" s="102"/>
      <c r="C20" s="102"/>
      <c r="D20" s="102"/>
      <c r="E20" s="102"/>
      <c r="F20" s="102"/>
      <c r="G20" s="102"/>
      <c r="H20" s="102"/>
      <c r="I20" s="102"/>
      <c r="J20" s="102"/>
      <c r="K20" s="1210"/>
      <c r="L20" s="1210"/>
      <c r="M20" s="1210"/>
      <c r="N20" s="1210"/>
      <c r="O20" s="1210"/>
    </row>
    <row r="21" spans="1:15" s="84" customFormat="1" ht="15.75">
      <c r="A21" s="166">
        <v>100000</v>
      </c>
      <c r="B21" s="102"/>
      <c r="C21" s="102"/>
      <c r="D21" s="102"/>
      <c r="E21" s="102"/>
      <c r="F21" s="102"/>
      <c r="G21" s="102"/>
      <c r="H21" s="102"/>
      <c r="I21" s="102"/>
      <c r="J21" s="102"/>
      <c r="K21" s="1210"/>
      <c r="L21" s="1210"/>
      <c r="M21" s="1210"/>
      <c r="N21" s="1210"/>
      <c r="O21" s="1210"/>
    </row>
    <row r="22" spans="1:15" s="84" customFormat="1">
      <c r="A22" s="102"/>
      <c r="B22" s="102"/>
      <c r="C22" s="102"/>
      <c r="D22" s="102"/>
      <c r="E22" s="102"/>
      <c r="F22" s="102"/>
      <c r="G22" s="102"/>
      <c r="H22" s="102"/>
      <c r="I22" s="102"/>
      <c r="J22" s="102"/>
      <c r="K22" s="1210"/>
      <c r="L22" s="1210"/>
      <c r="M22" s="1210"/>
      <c r="N22" s="1210"/>
      <c r="O22" s="1210"/>
    </row>
    <row r="23" spans="1:15" s="84" customFormat="1">
      <c r="A23" s="102"/>
      <c r="B23" s="102"/>
      <c r="C23" s="102"/>
      <c r="D23" s="102"/>
      <c r="E23" s="102"/>
      <c r="F23" s="102"/>
      <c r="G23" s="102"/>
      <c r="H23" s="102"/>
      <c r="I23" s="102"/>
      <c r="J23" s="102"/>
      <c r="K23" s="25"/>
      <c r="L23" s="19"/>
    </row>
    <row r="24" spans="1:15" s="84" customFormat="1">
      <c r="A24" s="102"/>
      <c r="B24" s="102"/>
      <c r="C24" s="102"/>
      <c r="D24" s="102"/>
      <c r="E24" s="102"/>
      <c r="F24" s="102"/>
      <c r="G24" s="102"/>
      <c r="H24" s="102"/>
      <c r="I24" s="102"/>
      <c r="J24" s="102"/>
      <c r="K24" s="25"/>
      <c r="L24" s="25"/>
    </row>
    <row r="25" spans="1:15" s="84" customFormat="1">
      <c r="A25" s="102"/>
      <c r="B25" s="102"/>
      <c r="C25" s="102"/>
      <c r="D25" s="102"/>
      <c r="E25" s="102"/>
      <c r="F25" s="102"/>
      <c r="G25" s="102"/>
      <c r="H25" s="102"/>
      <c r="I25" s="102"/>
      <c r="J25" s="102"/>
      <c r="K25" s="25"/>
      <c r="L25" s="25"/>
    </row>
    <row r="26" spans="1:15" s="84" customFormat="1">
      <c r="A26" s="102"/>
      <c r="B26" s="102"/>
      <c r="C26" s="102"/>
      <c r="D26" s="102"/>
      <c r="E26" s="102"/>
      <c r="F26" s="102"/>
      <c r="G26" s="102"/>
      <c r="H26" s="102"/>
      <c r="I26" s="102"/>
      <c r="J26" s="102"/>
      <c r="K26" s="25"/>
      <c r="L26" s="25"/>
    </row>
    <row r="27" spans="1:15" s="84" customFormat="1">
      <c r="A27" s="102"/>
      <c r="B27" s="102"/>
      <c r="C27" s="102"/>
      <c r="D27" s="102"/>
      <c r="E27" s="102"/>
      <c r="F27" s="102"/>
      <c r="G27" s="102"/>
      <c r="H27" s="102"/>
      <c r="I27" s="102"/>
      <c r="J27" s="102"/>
      <c r="K27" s="25"/>
      <c r="L27" s="25"/>
    </row>
    <row r="28" spans="1:15" s="84" customFormat="1">
      <c r="A28" s="102"/>
      <c r="B28" s="102"/>
      <c r="C28" s="102"/>
      <c r="D28" s="102"/>
      <c r="E28" s="102"/>
      <c r="F28" s="102"/>
      <c r="G28" s="102"/>
      <c r="H28" s="102"/>
      <c r="I28" s="102"/>
      <c r="J28" s="102"/>
      <c r="K28" s="25"/>
      <c r="L28" s="25"/>
    </row>
    <row r="29" spans="1:15" s="84" customFormat="1">
      <c r="A29" s="102"/>
      <c r="B29" s="102"/>
      <c r="C29" s="102"/>
      <c r="D29" s="102"/>
      <c r="E29" s="102"/>
      <c r="F29" s="102"/>
      <c r="G29" s="102"/>
      <c r="H29" s="102"/>
      <c r="I29" s="102"/>
      <c r="J29" s="102"/>
      <c r="K29" s="25"/>
      <c r="L29" s="25"/>
      <c r="M29" s="19"/>
    </row>
    <row r="30" spans="1:15" s="84" customFormat="1">
      <c r="A30" s="102"/>
      <c r="B30" s="102"/>
      <c r="C30" s="102"/>
      <c r="D30" s="102"/>
      <c r="E30" s="102"/>
      <c r="F30" s="102"/>
      <c r="G30" s="102"/>
      <c r="H30" s="102"/>
      <c r="I30" s="102"/>
      <c r="J30" s="102"/>
      <c r="K30" s="25"/>
      <c r="L30" s="25"/>
    </row>
    <row r="31" spans="1:15" s="84" customFormat="1">
      <c r="A31" s="102"/>
      <c r="B31" s="102"/>
      <c r="C31" s="102"/>
      <c r="D31" s="102"/>
      <c r="E31" s="102"/>
      <c r="F31" s="102"/>
      <c r="G31" s="102"/>
      <c r="H31" s="102"/>
      <c r="I31" s="102"/>
      <c r="J31" s="102"/>
      <c r="K31" s="25"/>
      <c r="L31" s="25"/>
    </row>
    <row r="32" spans="1:15" s="84" customFormat="1">
      <c r="A32" s="102"/>
      <c r="B32" s="102"/>
      <c r="C32" s="102"/>
      <c r="D32" s="102"/>
      <c r="E32" s="102"/>
      <c r="F32" s="102"/>
      <c r="G32" s="102"/>
      <c r="H32" s="102"/>
      <c r="I32" s="102"/>
      <c r="J32" s="102"/>
      <c r="K32" s="25"/>
      <c r="L32" s="25"/>
    </row>
    <row r="33" spans="1:12" s="84" customFormat="1">
      <c r="A33" s="102"/>
      <c r="B33" s="102"/>
      <c r="C33" s="102"/>
      <c r="D33" s="102"/>
      <c r="E33" s="102"/>
      <c r="F33" s="102"/>
      <c r="G33" s="102"/>
      <c r="H33" s="102"/>
      <c r="I33" s="102"/>
      <c r="J33" s="102"/>
      <c r="K33" s="25"/>
      <c r="L33" s="25"/>
    </row>
    <row r="34" spans="1:12" s="84" customFormat="1">
      <c r="A34" s="102"/>
      <c r="B34" s="102"/>
      <c r="C34" s="102"/>
      <c r="D34" s="102"/>
      <c r="E34" s="102"/>
      <c r="F34" s="102"/>
      <c r="G34" s="102"/>
      <c r="H34" s="102"/>
      <c r="I34" s="102"/>
      <c r="J34" s="102"/>
      <c r="K34" s="25"/>
      <c r="L34" s="25"/>
    </row>
    <row r="35" spans="1:12" s="84" customFormat="1">
      <c r="A35" s="102"/>
      <c r="B35" s="102"/>
      <c r="C35" s="102"/>
      <c r="D35" s="102"/>
      <c r="E35" s="102"/>
      <c r="F35" s="102"/>
      <c r="G35" s="102"/>
      <c r="H35" s="102"/>
      <c r="I35" s="102"/>
      <c r="J35" s="102"/>
      <c r="K35" s="25"/>
      <c r="L35" s="25"/>
    </row>
    <row r="36" spans="1:12" s="84" customFormat="1">
      <c r="A36" s="102"/>
      <c r="B36" s="102"/>
      <c r="C36" s="102"/>
      <c r="D36" s="102"/>
      <c r="E36" s="102"/>
      <c r="F36" s="102"/>
      <c r="G36" s="102"/>
      <c r="H36" s="102"/>
      <c r="I36" s="102"/>
      <c r="J36" s="102"/>
      <c r="K36" s="25"/>
      <c r="L36" s="25"/>
    </row>
    <row r="37" spans="1:12" s="84" customFormat="1">
      <c r="A37" s="102"/>
      <c r="B37" s="102"/>
      <c r="C37" s="102"/>
      <c r="D37" s="102"/>
      <c r="E37" s="102"/>
      <c r="F37" s="102"/>
      <c r="G37" s="102"/>
      <c r="H37" s="102"/>
      <c r="I37" s="102"/>
      <c r="J37" s="102"/>
    </row>
    <row r="38" spans="1:12" s="84" customFormat="1">
      <c r="A38" s="102"/>
      <c r="B38" s="102"/>
      <c r="C38" s="102"/>
      <c r="D38" s="102"/>
      <c r="E38" s="102"/>
      <c r="F38" s="102"/>
      <c r="G38" s="102"/>
      <c r="H38" s="102"/>
      <c r="I38" s="102"/>
      <c r="J38" s="102"/>
    </row>
    <row r="39" spans="1:12" s="84" customFormat="1">
      <c r="A39" s="102"/>
      <c r="B39" s="102"/>
      <c r="C39" s="102"/>
      <c r="D39" s="102"/>
      <c r="E39" s="102"/>
      <c r="F39" s="102"/>
      <c r="G39" s="102"/>
      <c r="H39" s="102"/>
      <c r="I39" s="102"/>
      <c r="J39" s="102"/>
    </row>
    <row r="40" spans="1:12" s="84" customFormat="1">
      <c r="A40" s="102"/>
      <c r="B40" s="102"/>
      <c r="C40" s="102"/>
      <c r="D40" s="102"/>
      <c r="E40" s="102"/>
      <c r="F40" s="102"/>
      <c r="G40" s="102"/>
      <c r="H40" s="102"/>
      <c r="I40" s="102"/>
      <c r="J40" s="102"/>
    </row>
    <row r="41" spans="1:12" s="84" customFormat="1">
      <c r="A41" s="102"/>
      <c r="B41" s="102"/>
      <c r="C41" s="102"/>
      <c r="D41" s="102"/>
      <c r="E41" s="102"/>
      <c r="F41" s="102"/>
      <c r="G41" s="102"/>
      <c r="H41" s="102"/>
      <c r="I41" s="102"/>
      <c r="J41" s="102"/>
    </row>
    <row r="42" spans="1:12" s="84" customFormat="1">
      <c r="A42" s="102"/>
      <c r="B42" s="102"/>
      <c r="C42" s="102"/>
      <c r="D42" s="102"/>
      <c r="E42" s="102"/>
      <c r="F42" s="102"/>
      <c r="G42" s="102"/>
      <c r="H42" s="102"/>
      <c r="I42" s="102"/>
      <c r="J42" s="102"/>
    </row>
    <row r="43" spans="1:12" s="84" customFormat="1">
      <c r="A43" s="102"/>
      <c r="B43" s="102"/>
      <c r="C43" s="102"/>
      <c r="D43" s="102"/>
      <c r="E43" s="102"/>
      <c r="F43" s="102"/>
      <c r="G43" s="102"/>
      <c r="H43" s="102"/>
      <c r="I43" s="102"/>
      <c r="J43" s="102"/>
    </row>
    <row r="44" spans="1:12" s="84" customFormat="1">
      <c r="A44" s="102"/>
      <c r="B44" s="102"/>
      <c r="C44" s="102"/>
      <c r="D44" s="102"/>
      <c r="E44" s="102"/>
      <c r="F44" s="102"/>
      <c r="G44" s="102"/>
      <c r="H44" s="102"/>
      <c r="I44" s="102"/>
      <c r="J44" s="102"/>
    </row>
    <row r="45" spans="1:12" s="84" customFormat="1">
      <c r="A45" s="102"/>
      <c r="B45" s="102"/>
      <c r="C45" s="102"/>
      <c r="D45" s="102"/>
      <c r="E45" s="102"/>
      <c r="F45" s="102"/>
      <c r="G45" s="102"/>
      <c r="H45" s="102"/>
      <c r="I45" s="102"/>
      <c r="J45" s="102"/>
    </row>
    <row r="46" spans="1:12" s="84" customFormat="1">
      <c r="A46" s="102"/>
      <c r="B46" s="102"/>
      <c r="C46" s="102"/>
      <c r="D46" s="102"/>
      <c r="E46" s="102"/>
      <c r="F46" s="102"/>
      <c r="G46" s="102"/>
      <c r="H46" s="102"/>
      <c r="I46" s="102"/>
      <c r="J46" s="102"/>
    </row>
    <row r="47" spans="1:12" s="84" customFormat="1"/>
    <row r="48" spans="1:12" s="84" customFormat="1"/>
    <row r="49" s="84" customFormat="1"/>
    <row r="50" s="84" customFormat="1"/>
    <row r="51" s="84"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85" zoomScaleNormal="100" zoomScaleSheetLayoutView="85" workbookViewId="0">
      <selection activeCell="M26" sqref="M26"/>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70" zoomScaleNormal="100" zoomScaleSheetLayoutView="70" workbookViewId="0">
      <selection activeCell="O10" sqref="O10"/>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topLeftCell="A2" zoomScale="70" zoomScaleNormal="100" zoomScaleSheetLayoutView="70" workbookViewId="0">
      <selection activeCell="G53" sqref="G53"/>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pageMargins left="0.70866141732283472" right="0.70866141732283472" top="0.74803149606299213" bottom="0.74803149606299213" header="0.31496062992125984" footer="0.31496062992125984"/>
  <pageSetup scale="7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M5:P50"/>
  <sheetViews>
    <sheetView showGridLines="0" view="pageBreakPreview" topLeftCell="A4" zoomScale="85" zoomScaleNormal="100" zoomScaleSheetLayoutView="85" workbookViewId="0">
      <selection activeCell="M32" sqref="M32"/>
    </sheetView>
  </sheetViews>
  <sheetFormatPr baseColWidth="10" defaultColWidth="11.42578125" defaultRowHeight="15"/>
  <cols>
    <col min="1" max="1" width="11.42578125" style="84"/>
    <col min="2" max="4" width="17.85546875" style="84" bestFit="1" customWidth="1"/>
    <col min="5" max="6" width="18.85546875" style="84" bestFit="1" customWidth="1"/>
    <col min="7" max="7" width="13.42578125" style="84" customWidth="1"/>
    <col min="8" max="9" width="11.42578125" style="84"/>
    <col min="10" max="10" width="16.28515625" style="84" bestFit="1" customWidth="1"/>
    <col min="11" max="11" width="15.5703125" style="84" customWidth="1"/>
    <col min="12" max="12" width="13.140625" style="84" customWidth="1"/>
    <col min="13" max="16384" width="11.42578125" style="84"/>
  </cols>
  <sheetData>
    <row r="5" ht="9" customHeight="1"/>
    <row r="21" spans="13:16">
      <c r="P21" s="705"/>
    </row>
    <row r="22" spans="13:16">
      <c r="N22" s="84" t="s">
        <v>190</v>
      </c>
    </row>
    <row r="25" spans="13:16">
      <c r="M25" s="293"/>
    </row>
    <row r="29" spans="13:16">
      <c r="N29" s="84" t="s">
        <v>33</v>
      </c>
    </row>
    <row r="49" spans="15:15">
      <c r="O49" s="293"/>
    </row>
    <row r="50" spans="15:15">
      <c r="O50" s="293"/>
    </row>
  </sheetData>
  <pageMargins left="0.70866141732283472" right="0.70866141732283472" top="0.74803149606299213" bottom="0.74803149606299213" header="0.31496062992125984" footer="0.31496062992125984"/>
  <pageSetup scale="6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O39" sqref="O39"/>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56"/>
  <sheetViews>
    <sheetView showGridLines="0" view="pageBreakPreview" zoomScale="55" zoomScaleNormal="85" zoomScaleSheetLayoutView="55" workbookViewId="0">
      <pane ySplit="1" topLeftCell="A2" activePane="bottomLeft" state="frozen"/>
      <selection pane="bottomLeft" activeCell="J18" sqref="J18"/>
    </sheetView>
  </sheetViews>
  <sheetFormatPr baseColWidth="10" defaultColWidth="11.42578125" defaultRowHeight="15"/>
  <cols>
    <col min="1" max="1" width="15" style="84" customWidth="1"/>
    <col min="2" max="2" width="29.42578125" style="84" customWidth="1"/>
    <col min="3" max="3" width="27.7109375" style="84" customWidth="1"/>
    <col min="4" max="4" width="24.7109375" style="84" customWidth="1"/>
    <col min="5" max="5" width="24.140625" style="84" customWidth="1"/>
    <col min="6" max="6" width="25.5703125" style="84" customWidth="1"/>
    <col min="7" max="7" width="29.85546875" style="84" customWidth="1"/>
    <col min="8" max="8" width="27.7109375" style="84" bestFit="1" customWidth="1"/>
    <col min="9" max="10" width="26.140625" style="84" customWidth="1"/>
    <col min="11" max="11" width="30.5703125" style="84" customWidth="1"/>
    <col min="12" max="12" width="28.5703125" style="84" customWidth="1"/>
    <col min="13" max="13" width="27.5703125" style="84" customWidth="1"/>
    <col min="14" max="14" width="24" style="84" customWidth="1"/>
    <col min="15" max="15" width="0.42578125" style="84" customWidth="1"/>
    <col min="16" max="16" width="25.28515625" style="84" customWidth="1"/>
    <col min="17" max="19" width="11.42578125" style="84"/>
    <col min="20" max="20" width="22.140625" style="84" customWidth="1"/>
    <col min="21" max="21" width="30.42578125" style="84" customWidth="1"/>
    <col min="22" max="16384" width="11.42578125" style="84"/>
  </cols>
  <sheetData>
    <row r="1" spans="1:17" ht="97.5" customHeight="1">
      <c r="A1" s="1758"/>
      <c r="B1" s="1758"/>
      <c r="C1" s="1758"/>
      <c r="D1" s="1758"/>
      <c r="E1" s="1758"/>
      <c r="F1" s="1758"/>
      <c r="G1" s="1758"/>
      <c r="H1" s="1758"/>
      <c r="I1" s="1758"/>
      <c r="J1" s="1758"/>
      <c r="K1" s="1758"/>
      <c r="L1" s="1758"/>
      <c r="M1" s="1758"/>
      <c r="N1" s="1758"/>
      <c r="O1" s="1758"/>
      <c r="P1" s="198"/>
      <c r="Q1" s="102"/>
    </row>
    <row r="2" spans="1:17" ht="18.75" customHeight="1">
      <c r="A2" s="1833" t="s">
        <v>698</v>
      </c>
      <c r="B2" s="1833"/>
      <c r="C2" s="1833"/>
      <c r="D2" s="1833"/>
      <c r="E2" s="1833"/>
      <c r="F2" s="1833"/>
      <c r="G2" s="1833"/>
      <c r="H2" s="1833"/>
      <c r="I2" s="1833"/>
      <c r="J2" s="1833"/>
      <c r="K2" s="1833"/>
      <c r="L2" s="1833"/>
      <c r="M2" s="1833"/>
      <c r="N2" s="1833"/>
      <c r="O2" s="1833"/>
    </row>
    <row r="3" spans="1:17" s="145" customFormat="1" ht="21" customHeight="1">
      <c r="A3" s="1834" t="s">
        <v>0</v>
      </c>
      <c r="B3" s="1836" t="s">
        <v>460</v>
      </c>
      <c r="C3" s="1836"/>
      <c r="D3" s="1836"/>
      <c r="E3" s="1836"/>
      <c r="F3" s="1836"/>
      <c r="G3" s="1836"/>
      <c r="H3" s="1837" t="s">
        <v>461</v>
      </c>
      <c r="I3" s="1838"/>
      <c r="J3" s="1838"/>
      <c r="K3" s="1839"/>
    </row>
    <row r="4" spans="1:17" s="145" customFormat="1" ht="72" customHeight="1">
      <c r="A4" s="1835"/>
      <c r="B4" s="703" t="s">
        <v>838</v>
      </c>
      <c r="C4" s="384" t="s">
        <v>883</v>
      </c>
      <c r="D4" s="384" t="s">
        <v>837</v>
      </c>
      <c r="E4" s="384" t="s">
        <v>847</v>
      </c>
      <c r="F4" s="384" t="s">
        <v>842</v>
      </c>
      <c r="G4" s="384" t="s">
        <v>462</v>
      </c>
      <c r="H4" s="703" t="s">
        <v>839</v>
      </c>
      <c r="I4" s="384" t="s">
        <v>840</v>
      </c>
      <c r="J4" s="384" t="s">
        <v>841</v>
      </c>
      <c r="K4" s="384" t="s">
        <v>463</v>
      </c>
      <c r="L4" s="703" t="s">
        <v>882</v>
      </c>
      <c r="M4" s="384" t="s">
        <v>477</v>
      </c>
      <c r="N4" s="385" t="s">
        <v>884</v>
      </c>
      <c r="O4" s="242"/>
    </row>
    <row r="5" spans="1:17" s="145" customFormat="1" ht="15.75">
      <c r="A5" s="698">
        <v>2003</v>
      </c>
      <c r="B5" s="692">
        <v>1839323722.0100002</v>
      </c>
      <c r="C5" s="692">
        <v>50000000</v>
      </c>
      <c r="D5" s="692">
        <v>0</v>
      </c>
      <c r="E5" s="692">
        <v>0</v>
      </c>
      <c r="F5" s="692">
        <v>0</v>
      </c>
      <c r="G5" s="693">
        <f>+C5+B5+D5+E5+F5</f>
        <v>1889323722.0100002</v>
      </c>
      <c r="H5" s="701">
        <v>1813713639.8399999</v>
      </c>
      <c r="I5" s="694">
        <v>50652652.469999999</v>
      </c>
      <c r="J5" s="694">
        <v>0</v>
      </c>
      <c r="K5" s="695">
        <f>+I5+H5+J5</f>
        <v>1864366292.3099999</v>
      </c>
      <c r="L5" s="1745">
        <f t="shared" ref="L5:L17" si="0">+B5-H5</f>
        <v>25610082.170000315</v>
      </c>
      <c r="M5" s="1746">
        <f>+G5-K5</f>
        <v>24957429.700000286</v>
      </c>
      <c r="N5" s="1747">
        <f t="shared" ref="N5:N17" si="1">C5-I5</f>
        <v>-652652.46999999881</v>
      </c>
      <c r="O5" s="242"/>
    </row>
    <row r="6" spans="1:17" s="145" customFormat="1" ht="15.75">
      <c r="A6" s="698">
        <v>2004</v>
      </c>
      <c r="B6" s="692">
        <v>7420447711.6900005</v>
      </c>
      <c r="C6" s="692">
        <v>100013332.31999999</v>
      </c>
      <c r="D6" s="692">
        <v>0</v>
      </c>
      <c r="E6" s="692">
        <v>0</v>
      </c>
      <c r="F6" s="692">
        <v>0</v>
      </c>
      <c r="G6" s="693">
        <f t="shared" ref="G6:G17" si="2">+C6+B6+D6+E6+F6</f>
        <v>7520461044.0100002</v>
      </c>
      <c r="H6" s="701">
        <v>7307971772.0699987</v>
      </c>
      <c r="I6" s="694">
        <v>103813912.38</v>
      </c>
      <c r="J6" s="694">
        <v>0</v>
      </c>
      <c r="K6" s="695">
        <f t="shared" ref="K6:K17" si="3">+I6+H6+J6</f>
        <v>7411785684.4499989</v>
      </c>
      <c r="L6" s="704">
        <f t="shared" si="0"/>
        <v>112475939.62000179</v>
      </c>
      <c r="M6" s="695">
        <f t="shared" ref="M6:M17" si="4">+G6-K6</f>
        <v>108675359.56000137</v>
      </c>
      <c r="N6" s="697">
        <f t="shared" si="1"/>
        <v>-3800580.0600000024</v>
      </c>
      <c r="O6" s="242"/>
    </row>
    <row r="7" spans="1:17" s="145" customFormat="1" ht="15.75">
      <c r="A7" s="698">
        <v>2005</v>
      </c>
      <c r="B7" s="692">
        <v>9658178373.5399971</v>
      </c>
      <c r="C7" s="692">
        <v>604604920.63</v>
      </c>
      <c r="D7" s="692">
        <v>0</v>
      </c>
      <c r="E7" s="692">
        <v>0</v>
      </c>
      <c r="F7" s="692">
        <v>0</v>
      </c>
      <c r="G7" s="693">
        <f t="shared" si="2"/>
        <v>10262783294.169996</v>
      </c>
      <c r="H7" s="701">
        <v>9649957865.664959</v>
      </c>
      <c r="I7" s="694">
        <v>203608914.68000001</v>
      </c>
      <c r="J7" s="694">
        <v>0</v>
      </c>
      <c r="K7" s="695">
        <f t="shared" si="3"/>
        <v>9853566780.3449593</v>
      </c>
      <c r="L7" s="704">
        <f t="shared" si="0"/>
        <v>8220507.875038147</v>
      </c>
      <c r="M7" s="695">
        <f t="shared" si="4"/>
        <v>409216513.825037</v>
      </c>
      <c r="N7" s="697">
        <f t="shared" si="1"/>
        <v>400996005.94999999</v>
      </c>
      <c r="O7" s="242"/>
    </row>
    <row r="8" spans="1:17" s="145" customFormat="1" ht="15.75">
      <c r="A8" s="698">
        <v>2006</v>
      </c>
      <c r="B8" s="692">
        <v>11072100417.48</v>
      </c>
      <c r="C8" s="692">
        <v>724509996.65999997</v>
      </c>
      <c r="D8" s="692">
        <v>0</v>
      </c>
      <c r="E8" s="692">
        <v>0</v>
      </c>
      <c r="F8" s="692">
        <v>0</v>
      </c>
      <c r="G8" s="693">
        <f t="shared" si="2"/>
        <v>11796610414.139999</v>
      </c>
      <c r="H8" s="701">
        <v>10992104977.92</v>
      </c>
      <c r="I8" s="694">
        <v>816768960.5</v>
      </c>
      <c r="J8" s="694">
        <v>0</v>
      </c>
      <c r="K8" s="695">
        <f t="shared" si="3"/>
        <v>11808873938.42</v>
      </c>
      <c r="L8" s="704">
        <f t="shared" si="0"/>
        <v>79995439.559999466</v>
      </c>
      <c r="M8" s="695">
        <f t="shared" si="4"/>
        <v>-12263524.280000687</v>
      </c>
      <c r="N8" s="697">
        <f t="shared" si="1"/>
        <v>-92258963.840000033</v>
      </c>
      <c r="O8" s="242"/>
    </row>
    <row r="9" spans="1:17" s="145" customFormat="1" ht="15.75">
      <c r="A9" s="698">
        <v>2007</v>
      </c>
      <c r="B9" s="692">
        <v>21196634534.599998</v>
      </c>
      <c r="C9" s="692">
        <v>1566425499.9599998</v>
      </c>
      <c r="D9" s="692">
        <v>6163525.5899999999</v>
      </c>
      <c r="E9" s="692">
        <v>125000000</v>
      </c>
      <c r="F9" s="692">
        <v>0</v>
      </c>
      <c r="G9" s="693">
        <f t="shared" si="2"/>
        <v>22894223560.149998</v>
      </c>
      <c r="H9" s="701">
        <v>19449421024.499001</v>
      </c>
      <c r="I9" s="694">
        <v>1578880050.26</v>
      </c>
      <c r="J9" s="694">
        <v>0</v>
      </c>
      <c r="K9" s="695">
        <f t="shared" si="3"/>
        <v>21028301074.758999</v>
      </c>
      <c r="L9" s="704">
        <f t="shared" si="0"/>
        <v>1747213510.1009979</v>
      </c>
      <c r="M9" s="695">
        <f t="shared" si="4"/>
        <v>1865922485.3909988</v>
      </c>
      <c r="N9" s="697">
        <f t="shared" si="1"/>
        <v>-12454550.300000191</v>
      </c>
      <c r="O9" s="242"/>
    </row>
    <row r="10" spans="1:17" s="145" customFormat="1" ht="15.75">
      <c r="A10" s="698">
        <v>2008</v>
      </c>
      <c r="B10" s="692">
        <v>33078165051.270004</v>
      </c>
      <c r="C10" s="692">
        <v>2203585531</v>
      </c>
      <c r="D10" s="692">
        <v>173508720.10999998</v>
      </c>
      <c r="E10" s="692">
        <v>256250000</v>
      </c>
      <c r="F10" s="692">
        <v>0</v>
      </c>
      <c r="G10" s="693">
        <f t="shared" si="2"/>
        <v>35711509302.380005</v>
      </c>
      <c r="H10" s="701">
        <v>30384608580.630005</v>
      </c>
      <c r="I10" s="694">
        <v>2556770326.0999999</v>
      </c>
      <c r="J10" s="694">
        <v>0</v>
      </c>
      <c r="K10" s="695">
        <f t="shared" si="3"/>
        <v>32941378906.730003</v>
      </c>
      <c r="L10" s="704">
        <f t="shared" si="0"/>
        <v>2693556470.6399994</v>
      </c>
      <c r="M10" s="695">
        <f t="shared" si="4"/>
        <v>2770130395.6500015</v>
      </c>
      <c r="N10" s="697">
        <f t="shared" si="1"/>
        <v>-353184795.0999999</v>
      </c>
      <c r="O10" s="242"/>
    </row>
    <row r="11" spans="1:17" s="145" customFormat="1" ht="15.75">
      <c r="A11" s="698">
        <v>2009</v>
      </c>
      <c r="B11" s="692">
        <v>37872770644.519997</v>
      </c>
      <c r="C11" s="692">
        <v>3190675855.0100002</v>
      </c>
      <c r="D11" s="692">
        <v>607585089.5999999</v>
      </c>
      <c r="E11" s="692">
        <v>18750000</v>
      </c>
      <c r="F11" s="692">
        <v>178872817.62</v>
      </c>
      <c r="G11" s="693">
        <f t="shared" si="2"/>
        <v>41868654406.75</v>
      </c>
      <c r="H11" s="701">
        <v>36497964610.739998</v>
      </c>
      <c r="I11" s="694">
        <v>2723337644.3600001</v>
      </c>
      <c r="J11" s="694">
        <v>0</v>
      </c>
      <c r="K11" s="695">
        <f t="shared" si="3"/>
        <v>39221302255.099998</v>
      </c>
      <c r="L11" s="704">
        <f t="shared" si="0"/>
        <v>1374806033.7799988</v>
      </c>
      <c r="M11" s="695">
        <f t="shared" si="4"/>
        <v>2647352151.6500015</v>
      </c>
      <c r="N11" s="697">
        <f t="shared" si="1"/>
        <v>467338210.6500001</v>
      </c>
      <c r="O11" s="242"/>
      <c r="P11" s="1564"/>
    </row>
    <row r="12" spans="1:17" s="145" customFormat="1" ht="15.75">
      <c r="A12" s="698">
        <v>2010</v>
      </c>
      <c r="B12" s="692">
        <v>43605006094</v>
      </c>
      <c r="C12" s="692">
        <v>3736675849.46</v>
      </c>
      <c r="D12" s="692">
        <v>596693837.95999992</v>
      </c>
      <c r="E12" s="692">
        <v>0</v>
      </c>
      <c r="F12" s="692">
        <v>95767339.469999999</v>
      </c>
      <c r="G12" s="693">
        <f t="shared" si="2"/>
        <v>48034143120.889999</v>
      </c>
      <c r="H12" s="701">
        <v>47159091999.259995</v>
      </c>
      <c r="I12" s="694">
        <v>3444380482.9799995</v>
      </c>
      <c r="J12" s="694">
        <v>115952658.19999999</v>
      </c>
      <c r="K12" s="695">
        <f t="shared" si="3"/>
        <v>50719425140.439987</v>
      </c>
      <c r="L12" s="704">
        <f t="shared" si="0"/>
        <v>-3554085905.2599945</v>
      </c>
      <c r="M12" s="695">
        <f t="shared" si="4"/>
        <v>-2685282019.5499878</v>
      </c>
      <c r="N12" s="697">
        <f t="shared" si="1"/>
        <v>292295366.4800005</v>
      </c>
      <c r="O12" s="683"/>
      <c r="P12" s="242"/>
    </row>
    <row r="13" spans="1:17" s="145" customFormat="1" ht="15.75">
      <c r="A13" s="698">
        <v>2011</v>
      </c>
      <c r="B13" s="692">
        <v>49415884815.839996</v>
      </c>
      <c r="C13" s="692">
        <v>4134675852</v>
      </c>
      <c r="D13" s="692">
        <v>679951152.83999991</v>
      </c>
      <c r="E13" s="692">
        <v>0</v>
      </c>
      <c r="F13" s="692">
        <v>320281085.42000002</v>
      </c>
      <c r="G13" s="693">
        <f t="shared" si="2"/>
        <v>54550792906.099991</v>
      </c>
      <c r="H13" s="701">
        <v>49687029143.730011</v>
      </c>
      <c r="I13" s="694">
        <v>4363872025.0799999</v>
      </c>
      <c r="J13" s="694">
        <v>291946073.39999998</v>
      </c>
      <c r="K13" s="695">
        <f t="shared" si="3"/>
        <v>54342847242.210014</v>
      </c>
      <c r="L13" s="704">
        <f t="shared" si="0"/>
        <v>-271144327.89001465</v>
      </c>
      <c r="M13" s="695">
        <f t="shared" si="4"/>
        <v>207945663.8899765</v>
      </c>
      <c r="N13" s="697">
        <f t="shared" si="1"/>
        <v>-229196173.07999992</v>
      </c>
      <c r="O13" s="683"/>
      <c r="P13" s="1565"/>
    </row>
    <row r="14" spans="1:17" s="145" customFormat="1" ht="15.75">
      <c r="A14" s="698">
        <v>2012</v>
      </c>
      <c r="B14" s="696">
        <v>55065532307.990005</v>
      </c>
      <c r="C14" s="696">
        <v>4599999999.96</v>
      </c>
      <c r="D14" s="696">
        <v>728182337.74000013</v>
      </c>
      <c r="E14" s="692">
        <v>0</v>
      </c>
      <c r="F14" s="692">
        <v>349151178.95999998</v>
      </c>
      <c r="G14" s="693">
        <f t="shared" si="2"/>
        <v>60742865824.650002</v>
      </c>
      <c r="H14" s="701">
        <v>56015800379.699997</v>
      </c>
      <c r="I14" s="694">
        <v>4742082647.7799997</v>
      </c>
      <c r="J14" s="694">
        <v>331635794.92000002</v>
      </c>
      <c r="K14" s="695">
        <f t="shared" si="3"/>
        <v>61089518822.399994</v>
      </c>
      <c r="L14" s="704">
        <f t="shared" si="0"/>
        <v>-950268071.70999146</v>
      </c>
      <c r="M14" s="695">
        <f t="shared" si="4"/>
        <v>-346652997.74999237</v>
      </c>
      <c r="N14" s="697">
        <f t="shared" si="1"/>
        <v>-142082647.81999969</v>
      </c>
      <c r="O14" s="683"/>
      <c r="P14" s="242"/>
    </row>
    <row r="15" spans="1:17" s="145" customFormat="1" ht="15.75">
      <c r="A15" s="698">
        <v>2013</v>
      </c>
      <c r="B15" s="696">
        <v>61483003598.400002</v>
      </c>
      <c r="C15" s="696">
        <v>5302610000</v>
      </c>
      <c r="D15" s="696">
        <v>559930432.66000009</v>
      </c>
      <c r="E15" s="692">
        <v>0</v>
      </c>
      <c r="F15" s="696">
        <v>362641633.79000002</v>
      </c>
      <c r="G15" s="693">
        <f t="shared" si="2"/>
        <v>67708185664.850006</v>
      </c>
      <c r="H15" s="701">
        <v>62148659498.759995</v>
      </c>
      <c r="I15" s="694">
        <v>5215203784.9399996</v>
      </c>
      <c r="J15" s="694">
        <v>333800248.55999994</v>
      </c>
      <c r="K15" s="695">
        <f t="shared" si="3"/>
        <v>67697663532.259995</v>
      </c>
      <c r="L15" s="704">
        <f t="shared" si="0"/>
        <v>-665655900.35999298</v>
      </c>
      <c r="M15" s="695">
        <f t="shared" si="4"/>
        <v>10522132.590011597</v>
      </c>
      <c r="N15" s="697">
        <f t="shared" si="1"/>
        <v>87406215.06000042</v>
      </c>
      <c r="O15" s="683"/>
      <c r="P15" s="242"/>
    </row>
    <row r="16" spans="1:17" s="145" customFormat="1" ht="15.75">
      <c r="A16" s="698">
        <v>2014</v>
      </c>
      <c r="B16" s="696">
        <v>69920892914.539993</v>
      </c>
      <c r="C16" s="696">
        <v>6839999499</v>
      </c>
      <c r="D16" s="696">
        <v>507180541.32000005</v>
      </c>
      <c r="E16" s="692">
        <v>0</v>
      </c>
      <c r="F16" s="696">
        <v>355808488.19</v>
      </c>
      <c r="G16" s="693">
        <f t="shared" si="2"/>
        <v>77623881443.050003</v>
      </c>
      <c r="H16" s="701">
        <v>70212118559.800003</v>
      </c>
      <c r="I16" s="694">
        <v>7378610518.96</v>
      </c>
      <c r="J16" s="694">
        <v>329249337.19999999</v>
      </c>
      <c r="K16" s="695">
        <f t="shared" si="3"/>
        <v>77919978415.960007</v>
      </c>
      <c r="L16" s="704">
        <f t="shared" si="0"/>
        <v>-291225645.26000977</v>
      </c>
      <c r="M16" s="695">
        <f t="shared" si="4"/>
        <v>-296096972.91000366</v>
      </c>
      <c r="N16" s="697">
        <f t="shared" si="1"/>
        <v>-538611019.96000004</v>
      </c>
      <c r="O16" s="683"/>
      <c r="P16" s="242"/>
    </row>
    <row r="17" spans="1:16" s="1468" customFormat="1" ht="15.75">
      <c r="A17" s="698" t="s">
        <v>632</v>
      </c>
      <c r="B17" s="696">
        <v>5917638034.8800001</v>
      </c>
      <c r="C17" s="696">
        <v>0</v>
      </c>
      <c r="D17" s="696">
        <v>34538683.149999999</v>
      </c>
      <c r="E17" s="692">
        <v>0</v>
      </c>
      <c r="F17" s="696">
        <v>23402596</v>
      </c>
      <c r="G17" s="693">
        <f t="shared" si="2"/>
        <v>5975579314.0299997</v>
      </c>
      <c r="H17" s="701">
        <v>6046426253.5699997</v>
      </c>
      <c r="I17" s="694">
        <v>0</v>
      </c>
      <c r="J17" s="694">
        <v>27894333.240000002</v>
      </c>
      <c r="K17" s="695">
        <f t="shared" si="3"/>
        <v>6074320586.8099995</v>
      </c>
      <c r="L17" s="704">
        <f t="shared" si="0"/>
        <v>-128788218.68999958</v>
      </c>
      <c r="M17" s="695">
        <f t="shared" si="4"/>
        <v>-98741272.779999733</v>
      </c>
      <c r="N17" s="697">
        <f t="shared" si="1"/>
        <v>0</v>
      </c>
      <c r="O17" s="1466"/>
      <c r="P17" s="1467"/>
    </row>
    <row r="18" spans="1:16" s="225" customFormat="1" ht="18" customHeight="1">
      <c r="A18" s="691" t="s">
        <v>143</v>
      </c>
      <c r="B18" s="699">
        <f>SUM(B5:B17)</f>
        <v>407545578220.76001</v>
      </c>
      <c r="C18" s="699">
        <f>SUM(C5:C17)</f>
        <v>33053776336</v>
      </c>
      <c r="D18" s="699">
        <f t="shared" ref="D18:N18" si="5">SUM(D5:D17)</f>
        <v>3893734320.9700003</v>
      </c>
      <c r="E18" s="699">
        <f t="shared" si="5"/>
        <v>400000000</v>
      </c>
      <c r="F18" s="699">
        <f>SUM(F5:F17)</f>
        <v>1685925139.45</v>
      </c>
      <c r="G18" s="699">
        <f>SUM(G5:G17)</f>
        <v>446579014017.17999</v>
      </c>
      <c r="H18" s="702">
        <f t="shared" si="5"/>
        <v>407364868306.18396</v>
      </c>
      <c r="I18" s="699">
        <f t="shared" si="5"/>
        <v>33177981920.489998</v>
      </c>
      <c r="J18" s="699">
        <f t="shared" si="5"/>
        <v>1430478445.52</v>
      </c>
      <c r="K18" s="700">
        <f t="shared" si="5"/>
        <v>441973328672.19397</v>
      </c>
      <c r="L18" s="702">
        <f t="shared" si="5"/>
        <v>180709914.57603264</v>
      </c>
      <c r="M18" s="699">
        <f t="shared" si="5"/>
        <v>4605685344.9860449</v>
      </c>
      <c r="N18" s="700">
        <f t="shared" si="5"/>
        <v>-124205584.48999882</v>
      </c>
      <c r="O18" s="684"/>
      <c r="P18" s="684"/>
    </row>
    <row r="19" spans="1:16">
      <c r="B19" s="9"/>
      <c r="C19" s="9"/>
      <c r="D19" s="9"/>
      <c r="E19" s="9"/>
      <c r="F19" s="9"/>
      <c r="G19" s="9"/>
      <c r="H19" s="9"/>
      <c r="I19" s="199"/>
      <c r="J19" s="199"/>
      <c r="K19" s="1"/>
      <c r="L19" s="1"/>
      <c r="M19" s="1"/>
      <c r="N19" s="7"/>
      <c r="O19" s="7"/>
      <c r="P19" s="7"/>
    </row>
    <row r="20" spans="1:16" s="100" customFormat="1">
      <c r="B20" s="1423"/>
      <c r="C20" s="1423"/>
      <c r="D20" s="1423"/>
      <c r="E20" s="1423"/>
      <c r="F20" s="1423"/>
      <c r="G20" s="1423"/>
      <c r="H20" s="1423"/>
      <c r="I20" s="1423"/>
      <c r="J20" s="1423"/>
      <c r="K20" s="1423"/>
      <c r="L20" s="6"/>
      <c r="M20" s="6"/>
      <c r="N20" s="6"/>
      <c r="O20" s="6"/>
      <c r="P20" s="6"/>
    </row>
    <row r="21" spans="1:16">
      <c r="B21" s="9"/>
      <c r="C21" s="9"/>
      <c r="D21" s="9"/>
      <c r="E21" s="9"/>
      <c r="F21" s="9"/>
      <c r="G21" s="9"/>
      <c r="H21" s="9"/>
      <c r="I21" s="9"/>
      <c r="J21" s="9"/>
      <c r="K21" s="9"/>
      <c r="L21" s="1"/>
      <c r="M21" s="1"/>
      <c r="N21" s="7"/>
      <c r="O21" s="7"/>
      <c r="P21" s="200"/>
    </row>
    <row r="22" spans="1:16" ht="15.75">
      <c r="B22" s="9"/>
      <c r="C22" s="696"/>
      <c r="D22" s="159"/>
      <c r="E22" s="9"/>
      <c r="F22" s="9"/>
      <c r="G22" s="9"/>
      <c r="H22" s="9"/>
      <c r="I22" s="199"/>
      <c r="J22" s="199"/>
      <c r="K22" s="1"/>
      <c r="L22" s="1"/>
      <c r="M22" s="1"/>
      <c r="N22" s="7"/>
      <c r="O22" s="7"/>
      <c r="P22" s="7"/>
    </row>
    <row r="23" spans="1:16">
      <c r="B23" s="9"/>
      <c r="C23" s="159"/>
      <c r="D23" s="9"/>
      <c r="E23" s="9"/>
      <c r="F23" s="9"/>
      <c r="G23" s="9"/>
      <c r="H23" s="9"/>
      <c r="I23" s="199"/>
      <c r="J23" s="199"/>
      <c r="K23" s="1"/>
      <c r="L23" s="1"/>
      <c r="M23" s="1"/>
      <c r="N23" s="7"/>
      <c r="O23" s="7"/>
      <c r="P23" s="7"/>
    </row>
    <row r="24" spans="1:16">
      <c r="B24" s="9"/>
      <c r="C24" s="9"/>
      <c r="D24" s="9"/>
      <c r="E24" s="9"/>
      <c r="F24" s="9"/>
      <c r="G24" s="9"/>
      <c r="H24" s="9"/>
      <c r="I24" s="199"/>
      <c r="J24" s="199"/>
      <c r="K24" s="1"/>
      <c r="L24" s="1"/>
      <c r="M24" s="1"/>
      <c r="N24" s="7"/>
      <c r="O24" s="7"/>
      <c r="P24" s="7"/>
    </row>
    <row r="25" spans="1:16">
      <c r="B25" s="9"/>
      <c r="C25" s="9"/>
      <c r="D25" s="9"/>
      <c r="E25" s="9"/>
      <c r="F25" s="9"/>
      <c r="G25" s="9"/>
      <c r="H25" s="9"/>
      <c r="I25" s="199"/>
      <c r="J25" s="199"/>
      <c r="K25" s="1"/>
      <c r="L25" s="1"/>
      <c r="M25" s="1"/>
      <c r="N25" s="7"/>
      <c r="O25" s="200"/>
      <c r="P25" s="7"/>
    </row>
    <row r="26" spans="1:16">
      <c r="B26" s="9"/>
      <c r="C26" s="9"/>
      <c r="D26" s="9"/>
      <c r="E26" s="9"/>
      <c r="F26" s="9"/>
      <c r="G26" s="9"/>
      <c r="H26" s="9"/>
      <c r="I26" s="199"/>
      <c r="J26" s="199"/>
      <c r="K26" s="1"/>
      <c r="L26" s="1"/>
      <c r="M26" s="1"/>
      <c r="N26" s="7"/>
      <c r="O26" s="7"/>
      <c r="P26" s="7"/>
    </row>
    <row r="27" spans="1:16">
      <c r="B27" s="9"/>
      <c r="C27" s="9"/>
      <c r="D27" s="9"/>
      <c r="E27" s="9"/>
      <c r="F27" s="9"/>
      <c r="G27" s="9"/>
      <c r="H27" s="9"/>
      <c r="I27" s="199"/>
      <c r="J27" s="199"/>
      <c r="K27" s="1"/>
      <c r="L27" s="1"/>
      <c r="M27" s="1"/>
      <c r="N27" s="7"/>
      <c r="O27" s="7"/>
      <c r="P27" s="7"/>
    </row>
    <row r="28" spans="1:16">
      <c r="B28" s="9"/>
      <c r="C28" s="9"/>
      <c r="D28" s="9"/>
      <c r="E28" s="9"/>
      <c r="F28" s="9"/>
      <c r="G28" s="9"/>
      <c r="H28" s="9"/>
      <c r="I28" s="199"/>
      <c r="J28" s="199"/>
      <c r="K28" s="1"/>
      <c r="L28" s="1"/>
      <c r="M28" s="1"/>
      <c r="N28" s="7"/>
      <c r="O28" s="7"/>
      <c r="P28" s="7"/>
    </row>
    <row r="29" spans="1:16">
      <c r="B29" s="9"/>
      <c r="C29" s="9"/>
      <c r="D29" s="9"/>
      <c r="E29" s="9"/>
      <c r="F29" s="9"/>
      <c r="G29" s="9"/>
      <c r="H29" s="9"/>
      <c r="I29" s="199"/>
      <c r="J29" s="199"/>
      <c r="K29" s="1"/>
      <c r="L29" s="1"/>
      <c r="M29" s="1"/>
      <c r="N29" s="7"/>
      <c r="O29" s="7"/>
      <c r="P29" s="7"/>
    </row>
    <row r="30" spans="1:16">
      <c r="B30" s="9"/>
      <c r="C30" s="9"/>
      <c r="D30" s="9"/>
      <c r="E30" s="9"/>
      <c r="F30" s="9"/>
      <c r="G30" s="9"/>
      <c r="H30" s="9"/>
      <c r="I30" s="199"/>
      <c r="J30" s="199"/>
      <c r="K30" s="1"/>
      <c r="L30" s="1"/>
      <c r="M30" s="1"/>
      <c r="N30" s="7"/>
      <c r="O30" s="7"/>
      <c r="P30" s="7"/>
    </row>
    <row r="31" spans="1:16">
      <c r="B31" s="9"/>
      <c r="C31" s="9"/>
      <c r="D31" s="9"/>
      <c r="E31" s="9"/>
      <c r="F31" s="9"/>
      <c r="G31" s="9"/>
      <c r="H31" s="9"/>
      <c r="I31" s="199"/>
      <c r="J31" s="199"/>
      <c r="K31" s="1"/>
      <c r="L31" s="1"/>
      <c r="M31" s="1"/>
      <c r="N31" s="7"/>
      <c r="O31" s="7"/>
      <c r="P31" s="7"/>
    </row>
    <row r="32" spans="1:16">
      <c r="B32" s="9"/>
      <c r="C32" s="9"/>
      <c r="D32" s="9"/>
      <c r="E32" s="9"/>
      <c r="F32" s="9"/>
      <c r="G32" s="9"/>
      <c r="H32" s="9"/>
      <c r="I32" s="199"/>
      <c r="J32" s="199"/>
      <c r="K32" s="1"/>
      <c r="L32" s="1"/>
      <c r="M32" s="1"/>
      <c r="N32" s="7"/>
      <c r="O32" s="7"/>
      <c r="P32" s="7"/>
    </row>
    <row r="33" spans="2:16">
      <c r="B33" s="9"/>
      <c r="C33" s="9"/>
      <c r="D33" s="9"/>
      <c r="E33" s="9"/>
      <c r="F33" s="9"/>
      <c r="G33" s="9"/>
      <c r="H33" s="9"/>
      <c r="I33" s="199"/>
      <c r="J33" s="199"/>
      <c r="K33" s="1"/>
      <c r="L33" s="1"/>
      <c r="M33" s="1"/>
      <c r="N33" s="7"/>
      <c r="O33" s="7"/>
      <c r="P33" s="7"/>
    </row>
    <row r="34" spans="2:16">
      <c r="B34" s="9"/>
      <c r="C34" s="9"/>
      <c r="D34" s="9"/>
      <c r="E34" s="9"/>
      <c r="F34" s="9"/>
      <c r="G34" s="9"/>
      <c r="H34" s="9"/>
      <c r="I34" s="199"/>
      <c r="J34" s="199"/>
      <c r="K34" s="1"/>
      <c r="L34" s="1"/>
      <c r="M34" s="1"/>
      <c r="N34" s="7"/>
      <c r="O34" s="7"/>
      <c r="P34" s="7"/>
    </row>
    <row r="35" spans="2:16">
      <c r="B35" s="9"/>
      <c r="C35" s="9"/>
      <c r="D35" s="9"/>
      <c r="E35" s="9"/>
      <c r="F35" s="9"/>
      <c r="G35" s="9"/>
      <c r="H35" s="9"/>
      <c r="I35" s="199"/>
      <c r="J35" s="199"/>
      <c r="K35" s="1"/>
      <c r="L35" s="1"/>
      <c r="M35" s="1"/>
      <c r="N35" s="7"/>
      <c r="O35" s="7"/>
      <c r="P35" s="7"/>
    </row>
    <row r="36" spans="2:16">
      <c r="B36" s="9"/>
      <c r="C36" s="9"/>
      <c r="D36" s="9"/>
      <c r="E36" s="9"/>
      <c r="F36" s="9"/>
      <c r="G36" s="9"/>
      <c r="H36" s="9"/>
      <c r="I36" s="199"/>
      <c r="J36" s="199"/>
      <c r="K36" s="1"/>
      <c r="L36" s="1"/>
      <c r="M36" s="1"/>
      <c r="N36" s="7"/>
      <c r="O36" s="7"/>
      <c r="P36" s="7"/>
    </row>
    <row r="37" spans="2:16">
      <c r="B37" s="9"/>
      <c r="C37" s="9"/>
      <c r="D37" s="9"/>
      <c r="E37" s="9"/>
      <c r="F37" s="9"/>
      <c r="G37" s="9"/>
      <c r="H37" s="9"/>
      <c r="I37" s="199"/>
      <c r="J37" s="199"/>
      <c r="K37" s="1"/>
      <c r="L37" s="1"/>
      <c r="M37" s="1"/>
      <c r="N37" s="7"/>
      <c r="O37" s="7"/>
      <c r="P37" s="7"/>
    </row>
    <row r="38" spans="2:16">
      <c r="B38" s="9"/>
      <c r="C38" s="9"/>
      <c r="D38" s="9"/>
      <c r="E38" s="9"/>
      <c r="F38" s="9"/>
      <c r="G38" s="9"/>
      <c r="H38" s="9"/>
      <c r="I38" s="199"/>
      <c r="J38" s="199"/>
      <c r="K38" s="1"/>
      <c r="L38" s="1"/>
      <c r="M38" s="1"/>
      <c r="N38" s="7"/>
      <c r="O38" s="7"/>
      <c r="P38" s="7"/>
    </row>
    <row r="39" spans="2:16">
      <c r="B39" s="9"/>
      <c r="C39" s="9"/>
      <c r="D39" s="9"/>
      <c r="E39" s="9"/>
      <c r="F39" s="9"/>
      <c r="G39" s="9"/>
      <c r="H39" s="9"/>
      <c r="I39" s="199"/>
      <c r="J39" s="199"/>
      <c r="K39" s="1"/>
      <c r="L39" s="1"/>
      <c r="M39" s="1"/>
      <c r="N39" s="7"/>
      <c r="O39" s="7"/>
      <c r="P39" s="7"/>
    </row>
    <row r="40" spans="2:16">
      <c r="B40" s="9"/>
      <c r="C40" s="9"/>
      <c r="D40" s="9"/>
      <c r="E40" s="9"/>
      <c r="F40" s="9"/>
      <c r="G40" s="9"/>
      <c r="H40" s="9"/>
      <c r="I40" s="199"/>
      <c r="J40" s="199"/>
      <c r="K40" s="1"/>
      <c r="L40" s="1"/>
      <c r="M40" s="1"/>
      <c r="N40" s="7"/>
      <c r="O40" s="7"/>
      <c r="P40" s="7"/>
    </row>
    <row r="41" spans="2:16">
      <c r="B41" s="9"/>
      <c r="C41" s="9"/>
      <c r="D41" s="9"/>
      <c r="E41" s="9"/>
      <c r="F41" s="9"/>
      <c r="G41" s="9"/>
      <c r="H41" s="9"/>
      <c r="I41" s="199"/>
      <c r="J41" s="199"/>
      <c r="K41" s="1"/>
      <c r="L41" s="1"/>
      <c r="M41" s="1"/>
      <c r="N41" s="7"/>
      <c r="O41" s="7"/>
      <c r="P41" s="7"/>
    </row>
    <row r="42" spans="2:16">
      <c r="B42" s="9"/>
      <c r="C42" s="9"/>
      <c r="D42" s="9"/>
      <c r="E42" s="9"/>
      <c r="F42" s="9"/>
      <c r="G42" s="9"/>
      <c r="H42" s="9"/>
      <c r="I42" s="199"/>
      <c r="J42" s="199"/>
      <c r="K42" s="1"/>
      <c r="L42" s="1"/>
      <c r="M42" s="1"/>
      <c r="N42" s="7"/>
      <c r="O42" s="7"/>
      <c r="P42" s="7"/>
    </row>
    <row r="43" spans="2:16">
      <c r="B43" s="9"/>
      <c r="C43" s="9"/>
      <c r="D43" s="9"/>
      <c r="E43" s="9"/>
      <c r="F43" s="9"/>
      <c r="G43" s="9"/>
      <c r="H43" s="9"/>
      <c r="I43" s="199"/>
      <c r="J43" s="199"/>
      <c r="K43" s="1"/>
      <c r="L43" s="1"/>
      <c r="M43" s="1"/>
      <c r="N43" s="7"/>
      <c r="O43" s="7"/>
      <c r="P43" s="7"/>
    </row>
    <row r="44" spans="2:16">
      <c r="B44" s="9"/>
      <c r="C44" s="9"/>
      <c r="D44" s="9"/>
      <c r="E44" s="9"/>
      <c r="F44" s="9"/>
      <c r="G44" s="9"/>
      <c r="H44" s="9"/>
      <c r="I44" s="199"/>
      <c r="J44" s="199"/>
      <c r="K44" s="1"/>
      <c r="L44" s="1"/>
      <c r="M44" s="1"/>
      <c r="N44" s="7"/>
      <c r="O44" s="7"/>
      <c r="P44" s="7"/>
    </row>
    <row r="45" spans="2:16">
      <c r="B45" s="9"/>
      <c r="C45" s="9"/>
      <c r="D45" s="9"/>
      <c r="E45" s="9"/>
      <c r="F45" s="9"/>
      <c r="G45" s="9"/>
      <c r="H45" s="9"/>
      <c r="I45" s="199"/>
      <c r="J45" s="199"/>
      <c r="K45" s="1"/>
      <c r="L45" s="1"/>
      <c r="M45" s="1"/>
      <c r="N45" s="7"/>
      <c r="O45" s="7"/>
      <c r="P45" s="7"/>
    </row>
    <row r="46" spans="2:16">
      <c r="B46" s="9"/>
      <c r="C46" s="9"/>
      <c r="D46" s="9"/>
      <c r="E46" s="9"/>
      <c r="F46" s="9"/>
      <c r="G46" s="9"/>
      <c r="H46" s="9"/>
      <c r="I46" s="199"/>
      <c r="J46" s="199"/>
      <c r="K46" s="1"/>
      <c r="L46" s="1"/>
      <c r="M46" s="1"/>
      <c r="N46" s="7"/>
      <c r="O46" s="7"/>
      <c r="P46" s="7"/>
    </row>
    <row r="47" spans="2:16">
      <c r="B47" s="9"/>
      <c r="C47" s="9"/>
      <c r="D47" s="9"/>
      <c r="E47" s="9"/>
      <c r="F47" s="9"/>
      <c r="G47" s="9"/>
      <c r="H47" s="9"/>
      <c r="I47" s="199"/>
      <c r="J47" s="199"/>
      <c r="K47" s="1"/>
      <c r="L47" s="1"/>
      <c r="M47" s="1"/>
      <c r="N47" s="7"/>
      <c r="O47" s="7"/>
      <c r="P47" s="7"/>
    </row>
    <row r="48" spans="2:16">
      <c r="B48" s="9"/>
      <c r="C48" s="9"/>
      <c r="D48" s="9"/>
      <c r="E48" s="9"/>
      <c r="F48" s="9"/>
      <c r="G48" s="9"/>
      <c r="H48" s="9"/>
      <c r="I48" s="199"/>
      <c r="J48" s="199"/>
      <c r="K48" s="1"/>
      <c r="L48" s="1"/>
      <c r="M48" s="1"/>
      <c r="N48" s="7"/>
      <c r="O48" s="7"/>
      <c r="P48" s="7"/>
    </row>
    <row r="49" spans="2:16">
      <c r="B49" s="9"/>
      <c r="C49" s="9"/>
      <c r="D49" s="9"/>
      <c r="E49" s="9"/>
      <c r="F49" s="9"/>
      <c r="G49" s="9"/>
      <c r="H49" s="9"/>
      <c r="I49" s="199"/>
      <c r="J49" s="199"/>
      <c r="K49" s="1"/>
      <c r="L49" s="1"/>
      <c r="M49" s="1"/>
      <c r="N49" s="7"/>
      <c r="O49" s="7"/>
      <c r="P49" s="7"/>
    </row>
    <row r="50" spans="2:16">
      <c r="B50" s="9"/>
      <c r="C50" s="9"/>
      <c r="D50" s="9"/>
      <c r="E50" s="9"/>
      <c r="F50" s="9"/>
      <c r="G50" s="9"/>
      <c r="H50" s="9"/>
      <c r="I50" s="199"/>
      <c r="J50" s="199"/>
      <c r="K50" s="1"/>
      <c r="L50" s="1"/>
      <c r="M50" s="1"/>
      <c r="N50" s="7"/>
      <c r="O50" s="7"/>
      <c r="P50" s="7"/>
    </row>
    <row r="51" spans="2:16">
      <c r="B51" s="9"/>
      <c r="C51" s="9"/>
      <c r="D51" s="9"/>
      <c r="E51" s="9"/>
      <c r="F51" s="9"/>
      <c r="G51" s="9"/>
      <c r="H51" s="9"/>
      <c r="I51" s="199"/>
      <c r="J51" s="199"/>
      <c r="K51" s="1"/>
      <c r="L51" s="1"/>
      <c r="M51" s="1"/>
      <c r="N51" s="7"/>
      <c r="O51" s="7"/>
      <c r="P51" s="7"/>
    </row>
    <row r="52" spans="2:16">
      <c r="B52" s="9"/>
      <c r="C52" s="9"/>
      <c r="D52" s="9"/>
      <c r="E52" s="9"/>
      <c r="F52" s="9"/>
      <c r="G52" s="9"/>
      <c r="H52" s="9"/>
      <c r="I52" s="199"/>
      <c r="J52" s="199"/>
      <c r="K52" s="1"/>
      <c r="L52" s="1"/>
      <c r="M52" s="1"/>
      <c r="N52" s="7"/>
      <c r="O52" s="7"/>
      <c r="P52" s="7"/>
    </row>
    <row r="53" spans="2:16">
      <c r="B53" s="9"/>
      <c r="C53" s="9"/>
      <c r="D53" s="9"/>
      <c r="E53" s="9"/>
      <c r="F53" s="9"/>
      <c r="G53" s="9"/>
      <c r="H53" s="9"/>
      <c r="I53" s="199"/>
      <c r="J53" s="199"/>
      <c r="K53" s="1"/>
      <c r="L53" s="1"/>
      <c r="M53" s="1"/>
      <c r="N53" s="7"/>
      <c r="O53" s="7"/>
      <c r="P53" s="7"/>
    </row>
    <row r="54" spans="2:16">
      <c r="B54" s="9"/>
      <c r="C54" s="9"/>
      <c r="D54" s="9"/>
      <c r="E54" s="9"/>
      <c r="F54" s="9"/>
      <c r="G54" s="9"/>
      <c r="H54" s="9"/>
      <c r="I54" s="199"/>
      <c r="J54" s="199"/>
      <c r="K54" s="1"/>
      <c r="L54" s="1"/>
      <c r="M54" s="1"/>
      <c r="N54" s="7"/>
      <c r="O54" s="7"/>
      <c r="P54" s="7"/>
    </row>
    <row r="55" spans="2:16">
      <c r="B55" s="9"/>
      <c r="C55" s="9"/>
      <c r="D55" s="9"/>
      <c r="E55" s="9"/>
      <c r="F55" s="9"/>
      <c r="G55" s="9"/>
      <c r="H55" s="9"/>
      <c r="I55" s="199"/>
      <c r="J55" s="199"/>
      <c r="K55" s="1"/>
      <c r="L55" s="1"/>
      <c r="M55" s="1"/>
      <c r="N55" s="7"/>
      <c r="O55" s="7"/>
      <c r="P55" s="7"/>
    </row>
    <row r="56" spans="2:16">
      <c r="B56" s="9"/>
      <c r="C56" s="9"/>
      <c r="D56" s="9"/>
      <c r="E56" s="9"/>
      <c r="F56" s="9"/>
      <c r="G56" s="9"/>
      <c r="H56" s="9"/>
      <c r="I56" s="199"/>
      <c r="J56" s="199"/>
      <c r="K56" s="1"/>
      <c r="L56" s="1"/>
      <c r="M56" s="1"/>
      <c r="N56" s="7"/>
      <c r="O56" s="7"/>
      <c r="P56" s="7"/>
    </row>
  </sheetData>
  <mergeCells count="5">
    <mergeCell ref="A1:O1"/>
    <mergeCell ref="A2:O2"/>
    <mergeCell ref="A3:A4"/>
    <mergeCell ref="B3:G3"/>
    <mergeCell ref="H3:K3"/>
  </mergeCells>
  <printOptions horizontalCentered="1" verticalCentered="1"/>
  <pageMargins left="0.39370078740157483" right="0.39370078740157483" top="0.23622047244094491" bottom="0.23622047244094491" header="0.31496062992125984" footer="7.874015748031496E-2"/>
  <pageSetup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
  <sheetViews>
    <sheetView showGridLines="0" view="pageBreakPreview" zoomScale="85" zoomScaleNormal="100" zoomScaleSheetLayoutView="85" workbookViewId="0">
      <selection activeCell="J32" sqref="J32:J33"/>
    </sheetView>
  </sheetViews>
  <sheetFormatPr baseColWidth="10" defaultRowHeight="15"/>
  <cols>
    <col min="1" max="1" width="15.140625" style="1114" customWidth="1"/>
    <col min="2" max="3" width="19.5703125" style="1114" customWidth="1"/>
    <col min="4" max="4" width="23.28515625" style="1114" customWidth="1"/>
    <col min="5" max="5" width="17.5703125" style="1114" customWidth="1"/>
    <col min="6" max="6" width="18.5703125" style="1114" customWidth="1"/>
    <col min="7" max="7" width="23.140625" style="1114" customWidth="1"/>
    <col min="8" max="9" width="11.42578125" style="1114"/>
    <col min="10" max="10" width="23" style="1114" customWidth="1"/>
    <col min="11" max="11" width="23.28515625" style="1114" customWidth="1"/>
    <col min="12" max="16384" width="11.42578125" style="1114"/>
  </cols>
  <sheetData>
    <row r="1" spans="1:11" ht="62.25" customHeight="1">
      <c r="A1" s="1840"/>
      <c r="B1" s="1840"/>
      <c r="C1" s="1840"/>
      <c r="D1" s="1840"/>
      <c r="E1" s="1840"/>
      <c r="F1" s="1840"/>
      <c r="G1" s="1840"/>
      <c r="H1" s="1840"/>
      <c r="I1" s="1840"/>
    </row>
    <row r="2" spans="1:11" ht="3.75" customHeight="1"/>
    <row r="3" spans="1:11">
      <c r="A3" s="1142" t="s">
        <v>194</v>
      </c>
      <c r="B3" s="1143" t="s">
        <v>686</v>
      </c>
      <c r="C3" s="1143" t="s">
        <v>327</v>
      </c>
      <c r="D3" s="1144" t="s">
        <v>687</v>
      </c>
    </row>
    <row r="4" spans="1:11">
      <c r="A4" s="1566">
        <v>2003</v>
      </c>
      <c r="B4" s="1567">
        <v>211522228.03115001</v>
      </c>
      <c r="C4" s="1567">
        <v>1627801493.9788501</v>
      </c>
      <c r="D4" s="1568">
        <f t="shared" ref="D4:D16" si="0">+C4+B4</f>
        <v>1839323722.0100002</v>
      </c>
      <c r="E4" s="1115"/>
      <c r="F4" s="1228"/>
    </row>
    <row r="5" spans="1:11">
      <c r="A5" s="1140">
        <v>2004</v>
      </c>
      <c r="B5" s="1139">
        <v>2104921284.339</v>
      </c>
      <c r="C5" s="1139">
        <v>5315526427.3509998</v>
      </c>
      <c r="D5" s="1569">
        <f t="shared" si="0"/>
        <v>7420447711.6899996</v>
      </c>
      <c r="E5" s="1115"/>
      <c r="F5" s="1228"/>
    </row>
    <row r="6" spans="1:11">
      <c r="A6" s="1140">
        <v>2005</v>
      </c>
      <c r="B6" s="1139">
        <v>2740119047.3900003</v>
      </c>
      <c r="C6" s="1139">
        <v>6918059326.1500006</v>
      </c>
      <c r="D6" s="1141">
        <f t="shared" si="0"/>
        <v>9658178373.5400009</v>
      </c>
      <c r="E6" s="1115"/>
      <c r="F6" s="1228"/>
      <c r="G6" s="1115"/>
    </row>
    <row r="7" spans="1:11">
      <c r="A7" s="1140">
        <v>2006</v>
      </c>
      <c r="B7" s="1139">
        <v>2679574110.783494</v>
      </c>
      <c r="C7" s="1139">
        <v>8392526306.6965065</v>
      </c>
      <c r="D7" s="1141">
        <f t="shared" si="0"/>
        <v>11072100417.48</v>
      </c>
      <c r="E7" s="1115"/>
      <c r="F7" s="1228"/>
    </row>
    <row r="8" spans="1:11">
      <c r="A8" s="1140">
        <v>2007</v>
      </c>
      <c r="B8" s="1139">
        <v>7440643704.1800003</v>
      </c>
      <c r="C8" s="1139">
        <v>13755990830.42</v>
      </c>
      <c r="D8" s="1141">
        <f t="shared" si="0"/>
        <v>21196634534.599998</v>
      </c>
      <c r="E8" s="1115"/>
      <c r="F8" s="1228"/>
      <c r="J8" s="1229"/>
      <c r="K8" s="1229"/>
    </row>
    <row r="9" spans="1:11">
      <c r="A9" s="1140">
        <v>2008</v>
      </c>
      <c r="B9" s="1139">
        <v>10090935314.219999</v>
      </c>
      <c r="C9" s="1139">
        <v>22987229737.049999</v>
      </c>
      <c r="D9" s="1141">
        <f t="shared" si="0"/>
        <v>33078165051.269997</v>
      </c>
      <c r="E9" s="1115"/>
      <c r="F9" s="1228"/>
      <c r="J9" s="1229"/>
      <c r="K9" s="1229"/>
    </row>
    <row r="10" spans="1:11">
      <c r="A10" s="1140">
        <v>2009</v>
      </c>
      <c r="B10" s="1139">
        <v>12419428715.15</v>
      </c>
      <c r="C10" s="1139">
        <v>25453341929.369999</v>
      </c>
      <c r="D10" s="1141">
        <f t="shared" si="0"/>
        <v>37872770644.519997</v>
      </c>
      <c r="E10" s="1115"/>
      <c r="F10" s="1228"/>
    </row>
    <row r="11" spans="1:11">
      <c r="A11" s="1140">
        <v>2010</v>
      </c>
      <c r="B11" s="1139">
        <v>13982932933.34</v>
      </c>
      <c r="C11" s="1139">
        <v>29622073160.660004</v>
      </c>
      <c r="D11" s="1141">
        <f t="shared" si="0"/>
        <v>43605006094</v>
      </c>
      <c r="E11" s="1115"/>
      <c r="F11" s="1228"/>
      <c r="G11" s="179"/>
      <c r="J11" s="1228"/>
    </row>
    <row r="12" spans="1:11">
      <c r="A12" s="1140">
        <v>2011</v>
      </c>
      <c r="B12" s="1139">
        <v>15631836986.009998</v>
      </c>
      <c r="C12" s="1139">
        <v>33784047829.830002</v>
      </c>
      <c r="D12" s="1141">
        <f t="shared" si="0"/>
        <v>49415884815.839996</v>
      </c>
      <c r="E12" s="1115"/>
      <c r="F12" s="1228"/>
      <c r="J12" s="1228"/>
    </row>
    <row r="13" spans="1:11">
      <c r="A13" s="1140">
        <v>2012</v>
      </c>
      <c r="B13" s="1139">
        <v>17595724643.350403</v>
      </c>
      <c r="C13" s="1139">
        <v>37469807664.639603</v>
      </c>
      <c r="D13" s="1141">
        <f t="shared" si="0"/>
        <v>55065532307.990005</v>
      </c>
      <c r="E13" s="1115"/>
      <c r="F13" s="1228"/>
    </row>
    <row r="14" spans="1:11">
      <c r="A14" s="1140">
        <v>2013</v>
      </c>
      <c r="B14" s="1139">
        <v>20873289030.960003</v>
      </c>
      <c r="C14" s="1139">
        <v>40609714567.439995</v>
      </c>
      <c r="D14" s="1141">
        <f t="shared" si="0"/>
        <v>61483003598.399994</v>
      </c>
      <c r="E14" s="1115"/>
      <c r="F14" s="1228"/>
    </row>
    <row r="15" spans="1:11">
      <c r="A15" s="1140">
        <v>2014</v>
      </c>
      <c r="B15" s="1139">
        <v>24657599719.139999</v>
      </c>
      <c r="C15" s="1139">
        <v>45263293195.400002</v>
      </c>
      <c r="D15" s="1141">
        <f t="shared" si="0"/>
        <v>69920892914.540009</v>
      </c>
      <c r="E15" s="1115"/>
      <c r="F15" s="1228"/>
      <c r="K15" s="1424"/>
    </row>
    <row r="16" spans="1:11">
      <c r="A16" s="1570" t="s">
        <v>632</v>
      </c>
      <c r="B16" s="1571">
        <v>2193578968</v>
      </c>
      <c r="C16" s="1571">
        <v>3724059066.8800001</v>
      </c>
      <c r="D16" s="1572">
        <f t="shared" si="0"/>
        <v>5917638034.8800001</v>
      </c>
      <c r="E16" s="1115"/>
      <c r="F16" s="1228"/>
    </row>
    <row r="17" spans="1:4">
      <c r="A17" s="1142" t="s">
        <v>100</v>
      </c>
      <c r="B17" s="1145">
        <f>SUM(B4:B16)</f>
        <v>132622106684.89404</v>
      </c>
      <c r="C17" s="1145">
        <f>SUM(C4:C16)</f>
        <v>274923471535.86591</v>
      </c>
      <c r="D17" s="1146">
        <f>SUM(D4:D16)</f>
        <v>407545578220.76001</v>
      </c>
    </row>
    <row r="19" spans="1:4">
      <c r="B19" s="1493">
        <f>+B17/C17</f>
        <v>0.48239644997932618</v>
      </c>
      <c r="C19" s="1493">
        <f>+C17/D17</f>
        <v>0.67458337478745722</v>
      </c>
    </row>
  </sheetData>
  <mergeCells count="1">
    <mergeCell ref="A1:I1"/>
  </mergeCells>
  <pageMargins left="0.7" right="0.7" top="0.75" bottom="0.75" header="0.3" footer="0.3"/>
  <pageSetup scale="7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N17"/>
  <sheetViews>
    <sheetView showGridLines="0"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activeCell="H16" sqref="H16"/>
    </sheetView>
  </sheetViews>
  <sheetFormatPr baseColWidth="10" defaultRowHeight="15"/>
  <cols>
    <col min="1" max="1" width="15.42578125" style="1116" customWidth="1"/>
    <col min="2" max="2" width="20.5703125" style="1116" customWidth="1"/>
    <col min="3" max="3" width="19.140625" style="1116" customWidth="1"/>
    <col min="4" max="4" width="19.85546875" style="1116" customWidth="1"/>
    <col min="5" max="5" width="21.42578125" style="1116" customWidth="1"/>
    <col min="6" max="6" width="22" style="1116" customWidth="1"/>
    <col min="7" max="7" width="11.42578125" style="1116"/>
    <col min="8" max="8" width="18.5703125" style="1116" bestFit="1" customWidth="1"/>
    <col min="9" max="10" width="11.42578125" style="1116"/>
    <col min="11" max="11" width="17" style="1116" customWidth="1"/>
    <col min="12" max="12" width="16.85546875" style="1116" bestFit="1" customWidth="1"/>
    <col min="13" max="16384" width="11.42578125" style="1116"/>
  </cols>
  <sheetData>
    <row r="1" spans="1:14" ht="54.75" customHeight="1">
      <c r="A1" s="1841" t="s">
        <v>695</v>
      </c>
      <c r="B1" s="1842"/>
      <c r="C1" s="1842"/>
      <c r="D1" s="1842"/>
      <c r="E1" s="1842"/>
      <c r="F1" s="1842"/>
      <c r="G1" s="1842"/>
    </row>
    <row r="2" spans="1:14" ht="8.25" customHeight="1">
      <c r="A2" s="1117"/>
      <c r="B2" s="1117"/>
      <c r="C2" s="1117"/>
      <c r="D2" s="1117"/>
      <c r="E2" s="1117"/>
      <c r="F2" s="1117"/>
    </row>
    <row r="3" spans="1:14" ht="30">
      <c r="A3" s="1148" t="s">
        <v>194</v>
      </c>
      <c r="B3" s="1147" t="s">
        <v>688</v>
      </c>
      <c r="C3" s="1147" t="s">
        <v>689</v>
      </c>
      <c r="D3" s="1147" t="s">
        <v>690</v>
      </c>
      <c r="E3" s="1147" t="s">
        <v>691</v>
      </c>
      <c r="F3" s="1232" t="s">
        <v>692</v>
      </c>
    </row>
    <row r="4" spans="1:14">
      <c r="A4" s="1149">
        <v>2003</v>
      </c>
      <c r="B4" s="757">
        <v>63456668.409345008</v>
      </c>
      <c r="C4" s="757">
        <v>488340448.19365501</v>
      </c>
      <c r="D4" s="757">
        <v>148065559.62180501</v>
      </c>
      <c r="E4" s="757">
        <v>1139461045.7851951</v>
      </c>
      <c r="F4" s="1233">
        <f t="shared" ref="F4:F16" si="0">SUM(B4:E4)</f>
        <v>1839323722.0100002</v>
      </c>
      <c r="H4" s="1229"/>
    </row>
    <row r="5" spans="1:14">
      <c r="A5" s="1149">
        <v>2004</v>
      </c>
      <c r="B5" s="757">
        <v>547279533.92999995</v>
      </c>
      <c r="C5" s="757">
        <v>1382036871.1099999</v>
      </c>
      <c r="D5" s="757">
        <v>1557641750.4100001</v>
      </c>
      <c r="E5" s="757">
        <v>3933489556.2399998</v>
      </c>
      <c r="F5" s="1233">
        <f t="shared" si="0"/>
        <v>7420447711.6899996</v>
      </c>
      <c r="H5" s="1229"/>
      <c r="K5" s="1229"/>
      <c r="L5" s="1229"/>
    </row>
    <row r="6" spans="1:14">
      <c r="A6" s="1149">
        <v>2005</v>
      </c>
      <c r="B6" s="757">
        <v>712430952.32140017</v>
      </c>
      <c r="C6" s="757">
        <v>1798695424.7990003</v>
      </c>
      <c r="D6" s="757">
        <v>2027688095.0686002</v>
      </c>
      <c r="E6" s="757">
        <v>5119363901.3510008</v>
      </c>
      <c r="F6" s="1233">
        <f t="shared" si="0"/>
        <v>9658178373.5400009</v>
      </c>
      <c r="H6" s="1229"/>
      <c r="K6" s="1229"/>
      <c r="L6" s="1229"/>
    </row>
    <row r="7" spans="1:14">
      <c r="A7" s="1149">
        <v>2006</v>
      </c>
      <c r="B7" s="757">
        <v>696689268.80370843</v>
      </c>
      <c r="C7" s="757">
        <v>2182056839.7410917</v>
      </c>
      <c r="D7" s="757">
        <v>1982884841.9797854</v>
      </c>
      <c r="E7" s="757">
        <v>6210469466.9554148</v>
      </c>
      <c r="F7" s="1233">
        <f t="shared" si="0"/>
        <v>11072100417.48</v>
      </c>
      <c r="H7" s="1229"/>
      <c r="K7" s="1230"/>
      <c r="L7" s="1230"/>
      <c r="M7" s="1230"/>
      <c r="N7" s="1230"/>
    </row>
    <row r="8" spans="1:14">
      <c r="A8" s="1149">
        <v>2007</v>
      </c>
      <c r="B8" s="757">
        <v>2008973800.1286001</v>
      </c>
      <c r="C8" s="757">
        <v>3714117524.2134004</v>
      </c>
      <c r="D8" s="757">
        <v>5431669904.0514002</v>
      </c>
      <c r="E8" s="757">
        <v>10041873306.2066</v>
      </c>
      <c r="F8" s="1233">
        <f t="shared" si="0"/>
        <v>21196634534.600002</v>
      </c>
      <c r="H8" s="1229"/>
    </row>
    <row r="9" spans="1:14">
      <c r="A9" s="1149">
        <v>2008</v>
      </c>
      <c r="B9" s="757">
        <v>2875916564.5526996</v>
      </c>
      <c r="C9" s="757">
        <v>6551360475.0592489</v>
      </c>
      <c r="D9" s="757">
        <v>7215018749.6672993</v>
      </c>
      <c r="E9" s="757">
        <v>16435869261.990749</v>
      </c>
      <c r="F9" s="1233">
        <f t="shared" si="0"/>
        <v>33078165051.269997</v>
      </c>
      <c r="H9" s="1229"/>
    </row>
    <row r="10" spans="1:14">
      <c r="A10" s="1149">
        <v>2009</v>
      </c>
      <c r="B10" s="757">
        <v>3539537183.8177495</v>
      </c>
      <c r="C10" s="757">
        <v>7254202449.8704491</v>
      </c>
      <c r="D10" s="757">
        <v>8879891531.3322487</v>
      </c>
      <c r="E10" s="757">
        <v>18199139479.49955</v>
      </c>
      <c r="F10" s="1233">
        <f t="shared" si="0"/>
        <v>37872770644.519997</v>
      </c>
      <c r="H10" s="1229"/>
    </row>
    <row r="11" spans="1:14">
      <c r="A11" s="1149">
        <v>2010</v>
      </c>
      <c r="B11" s="757">
        <v>3985135886.0018997</v>
      </c>
      <c r="C11" s="757">
        <v>8442290850.7881002</v>
      </c>
      <c r="D11" s="757">
        <v>9997797047.3381004</v>
      </c>
      <c r="E11" s="757">
        <v>21179782309.871902</v>
      </c>
      <c r="F11" s="1233">
        <f t="shared" si="0"/>
        <v>43605006094</v>
      </c>
      <c r="H11" s="1229"/>
    </row>
    <row r="12" spans="1:14">
      <c r="A12" s="1149">
        <v>2011</v>
      </c>
      <c r="B12" s="757">
        <v>4455073541.0128489</v>
      </c>
      <c r="C12" s="757">
        <v>9628453631.5015488</v>
      </c>
      <c r="D12" s="757">
        <v>11176763444.997149</v>
      </c>
      <c r="E12" s="757">
        <v>24155594198.328449</v>
      </c>
      <c r="F12" s="1233">
        <f t="shared" si="0"/>
        <v>49415884815.839996</v>
      </c>
      <c r="H12" s="1229"/>
    </row>
    <row r="13" spans="1:14">
      <c r="A13" s="1149">
        <v>2012</v>
      </c>
      <c r="B13" s="757">
        <v>5014781523.3548641</v>
      </c>
      <c r="C13" s="757">
        <v>10678895184.422285</v>
      </c>
      <c r="D13" s="757">
        <v>12580943119.995537</v>
      </c>
      <c r="E13" s="757">
        <v>26790912480.217316</v>
      </c>
      <c r="F13" s="1233">
        <f t="shared" si="0"/>
        <v>55065532307.990005</v>
      </c>
      <c r="H13" s="1229"/>
    </row>
    <row r="14" spans="1:14">
      <c r="A14" s="1149">
        <v>2013</v>
      </c>
      <c r="B14" s="757">
        <v>5948887373.8236008</v>
      </c>
      <c r="C14" s="757">
        <v>11573768651.720398</v>
      </c>
      <c r="D14" s="757">
        <v>14924401657.136402</v>
      </c>
      <c r="E14" s="757">
        <v>29035945915.719597</v>
      </c>
      <c r="F14" s="1233">
        <f t="shared" si="0"/>
        <v>61483003598.399994</v>
      </c>
      <c r="H14" s="1229"/>
    </row>
    <row r="15" spans="1:14">
      <c r="A15" s="1149">
        <v>2014</v>
      </c>
      <c r="B15" s="757">
        <v>7027415919.9548988</v>
      </c>
      <c r="C15" s="757">
        <v>12900038560.688999</v>
      </c>
      <c r="D15" s="757">
        <v>17630183799.185101</v>
      </c>
      <c r="E15" s="757">
        <v>32363254634.710999</v>
      </c>
      <c r="F15" s="1233">
        <f t="shared" si="0"/>
        <v>69920892914.539993</v>
      </c>
      <c r="H15" s="1229"/>
    </row>
    <row r="16" spans="1:14">
      <c r="A16" s="1149" t="s">
        <v>632</v>
      </c>
      <c r="B16" s="757">
        <v>625170005.88</v>
      </c>
      <c r="C16" s="757">
        <v>1061356834.0608</v>
      </c>
      <c r="D16" s="757">
        <v>1568408962.1199999</v>
      </c>
      <c r="E16" s="757">
        <v>2662702232.8192</v>
      </c>
      <c r="F16" s="1233">
        <f t="shared" si="0"/>
        <v>5917638034.8799992</v>
      </c>
      <c r="H16" s="1229"/>
      <c r="L16" s="1229"/>
    </row>
    <row r="17" spans="1:6">
      <c r="A17" s="1150" t="s">
        <v>100</v>
      </c>
      <c r="B17" s="1231">
        <f>SUM(B4:B16)</f>
        <v>37500748221.991615</v>
      </c>
      <c r="C17" s="1151">
        <f>SUM(C4:C16)</f>
        <v>77655613746.168991</v>
      </c>
      <c r="D17" s="1151">
        <f>SUM(D4:D16)</f>
        <v>95121358462.903427</v>
      </c>
      <c r="E17" s="1151">
        <f>SUM(E4:E16)</f>
        <v>197267857789.69598</v>
      </c>
      <c r="F17" s="1234">
        <f>SUM(F4:F16)</f>
        <v>407545578220.75995</v>
      </c>
    </row>
  </sheetData>
  <mergeCells count="1">
    <mergeCell ref="A1:G1"/>
  </mergeCells>
  <pageMargins left="0.7" right="0.7" top="0.75" bottom="0.75" header="0.3" footer="0.3"/>
  <pageSetup scale="7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16"/>
  <sheetViews>
    <sheetView showGridLines="0" view="pageBreakPreview" zoomScale="85" zoomScaleNormal="100" zoomScaleSheetLayoutView="85" workbookViewId="0">
      <selection activeCell="D5" sqref="D5:D14"/>
    </sheetView>
  </sheetViews>
  <sheetFormatPr baseColWidth="10" defaultRowHeight="15"/>
  <cols>
    <col min="1" max="1" width="14" style="1513" customWidth="1"/>
    <col min="2" max="2" width="17.5703125" style="1513" customWidth="1"/>
    <col min="3" max="3" width="16" style="1513" customWidth="1"/>
    <col min="4" max="4" width="19.7109375" style="1513" customWidth="1"/>
    <col min="5" max="5" width="19.28515625" style="1513" customWidth="1"/>
    <col min="6" max="6" width="18.85546875" style="1513" bestFit="1" customWidth="1"/>
    <col min="7" max="7" width="22" style="1513" customWidth="1"/>
    <col min="8" max="8" width="8.85546875" style="1513" customWidth="1"/>
    <col min="9" max="9" width="21" style="1513" customWidth="1"/>
    <col min="10" max="16384" width="11.42578125" style="1513"/>
  </cols>
  <sheetData>
    <row r="1" spans="1:9" s="1716" customFormat="1" ht="15.75" customHeight="1">
      <c r="A1" s="1843" t="s">
        <v>876</v>
      </c>
      <c r="B1" s="1843"/>
      <c r="C1" s="1843"/>
      <c r="D1" s="1843"/>
      <c r="E1" s="1843"/>
      <c r="F1" s="1843"/>
      <c r="G1" s="1843"/>
      <c r="H1" s="1843"/>
      <c r="I1" s="1715"/>
    </row>
    <row r="2" spans="1:9" s="1716" customFormat="1" ht="34.5" customHeight="1">
      <c r="A2" s="1843"/>
      <c r="B2" s="1843"/>
      <c r="C2" s="1843"/>
      <c r="D2" s="1843"/>
      <c r="E2" s="1843"/>
      <c r="F2" s="1843"/>
      <c r="G2" s="1843"/>
      <c r="H2" s="1843"/>
      <c r="I2" s="1715"/>
    </row>
    <row r="3" spans="1:9" ht="6" customHeight="1">
      <c r="A3" s="1514"/>
      <c r="B3" s="1514"/>
      <c r="C3" s="1514"/>
      <c r="D3" s="1514"/>
      <c r="E3" s="1514"/>
      <c r="F3" s="1514"/>
    </row>
    <row r="4" spans="1:9" s="1515" customFormat="1" ht="35.25" customHeight="1">
      <c r="A4" s="1516" t="s">
        <v>47</v>
      </c>
      <c r="B4" s="1521" t="s">
        <v>871</v>
      </c>
      <c r="C4" s="1521" t="s">
        <v>872</v>
      </c>
      <c r="D4" s="1521" t="s">
        <v>873</v>
      </c>
      <c r="E4" s="1521" t="s">
        <v>874</v>
      </c>
      <c r="F4" s="1517" t="s">
        <v>23</v>
      </c>
      <c r="G4" s="1521" t="s">
        <v>875</v>
      </c>
      <c r="H4" s="1522" t="s">
        <v>44</v>
      </c>
    </row>
    <row r="5" spans="1:9">
      <c r="A5" s="1523">
        <v>2005</v>
      </c>
      <c r="B5" s="1520"/>
      <c r="C5" s="1520">
        <v>0</v>
      </c>
      <c r="D5" s="1520">
        <f>+' Ingr y egr SDSS'!C7</f>
        <v>604604920.63</v>
      </c>
      <c r="E5" s="1520">
        <f>+'Rec. x origen'!D6</f>
        <v>2027688095.0686002</v>
      </c>
      <c r="F5" s="1526">
        <f>SUM(B5:E5)</f>
        <v>2632293015.6986003</v>
      </c>
      <c r="G5" s="1520">
        <v>1020002000000</v>
      </c>
      <c r="H5" s="1527">
        <f>+F5/G5</f>
        <v>2.5806743670096729E-3</v>
      </c>
    </row>
    <row r="6" spans="1:9">
      <c r="A6" s="1523">
        <v>2006</v>
      </c>
      <c r="B6" s="1520"/>
      <c r="C6" s="1520">
        <v>0</v>
      </c>
      <c r="D6" s="1520">
        <f>+' Ingr y egr SDSS'!C8</f>
        <v>724509996.65999997</v>
      </c>
      <c r="E6" s="1520">
        <f>+'Rec. x origen'!D7</f>
        <v>1982884841.9797854</v>
      </c>
      <c r="F6" s="1526">
        <f t="shared" ref="F6:F15" si="0">SUM(B6:E6)</f>
        <v>2707394838.6397853</v>
      </c>
      <c r="G6" s="1520">
        <v>1189801900000</v>
      </c>
      <c r="H6" s="1527">
        <f t="shared" ref="H6:H14" si="1">+F6/G6</f>
        <v>2.2755005170522801E-3</v>
      </c>
    </row>
    <row r="7" spans="1:9">
      <c r="A7" s="1523">
        <v>2007</v>
      </c>
      <c r="B7" s="1520"/>
      <c r="C7" s="1520">
        <v>125000000</v>
      </c>
      <c r="D7" s="1520">
        <f>+' Ingr y egr SDSS'!C9</f>
        <v>1566425499.9599998</v>
      </c>
      <c r="E7" s="1520">
        <f>+'Rec. x origen'!D8</f>
        <v>5431669904.0514002</v>
      </c>
      <c r="F7" s="1526">
        <f t="shared" si="0"/>
        <v>7123095404.0114002</v>
      </c>
      <c r="G7" s="1520">
        <v>1364210300000</v>
      </c>
      <c r="H7" s="1527">
        <f t="shared" si="1"/>
        <v>5.2214056762446377E-3</v>
      </c>
    </row>
    <row r="8" spans="1:9">
      <c r="A8" s="1523">
        <v>2008</v>
      </c>
      <c r="B8" s="1520"/>
      <c r="C8" s="1520">
        <v>256250000</v>
      </c>
      <c r="D8" s="1520">
        <f>+' Ingr y egr SDSS'!C10</f>
        <v>2203585531</v>
      </c>
      <c r="E8" s="1520">
        <f>+'Rec. x origen'!D9</f>
        <v>7215018749.6672993</v>
      </c>
      <c r="F8" s="1526">
        <f t="shared" si="0"/>
        <v>9674854280.6672993</v>
      </c>
      <c r="G8" s="1520">
        <v>1576162800000</v>
      </c>
      <c r="H8" s="1527">
        <f t="shared" si="1"/>
        <v>6.1382328530195608E-3</v>
      </c>
    </row>
    <row r="9" spans="1:9">
      <c r="A9" s="1523">
        <v>2009</v>
      </c>
      <c r="B9" s="1520">
        <f>+' Ingr y egr SDSS'!F11</f>
        <v>178872817.62</v>
      </c>
      <c r="C9" s="1520">
        <v>18750000</v>
      </c>
      <c r="D9" s="1520">
        <f>+' Ingr y egr SDSS'!C11</f>
        <v>3190675855.0100002</v>
      </c>
      <c r="E9" s="1520">
        <f>+'Rec. x origen'!D10</f>
        <v>8879891531.3322487</v>
      </c>
      <c r="F9" s="1526">
        <f t="shared" si="0"/>
        <v>12268190203.96225</v>
      </c>
      <c r="G9" s="1520">
        <v>1678762600000</v>
      </c>
      <c r="H9" s="1527">
        <f t="shared" si="1"/>
        <v>7.3078767682591035E-3</v>
      </c>
    </row>
    <row r="10" spans="1:9">
      <c r="A10" s="1523">
        <v>2010</v>
      </c>
      <c r="B10" s="1520">
        <f>+' Ingr y egr SDSS'!F12</f>
        <v>95767339.469999999</v>
      </c>
      <c r="C10" s="1520">
        <v>0</v>
      </c>
      <c r="D10" s="1520">
        <f>+' Ingr y egr SDSS'!C12</f>
        <v>3736675849.46</v>
      </c>
      <c r="E10" s="1520">
        <f>+'Rec. x origen'!D11</f>
        <v>9997797047.3381004</v>
      </c>
      <c r="F10" s="1526">
        <f t="shared" si="0"/>
        <v>13830240236.268101</v>
      </c>
      <c r="G10" s="1520">
        <v>1901896700000</v>
      </c>
      <c r="H10" s="1527">
        <f t="shared" si="1"/>
        <v>7.2718146239320464E-3</v>
      </c>
    </row>
    <row r="11" spans="1:9">
      <c r="A11" s="1523">
        <v>2011</v>
      </c>
      <c r="B11" s="1520">
        <f>+' Ingr y egr SDSS'!F13</f>
        <v>320281085.42000002</v>
      </c>
      <c r="C11" s="1520">
        <v>0</v>
      </c>
      <c r="D11" s="1520">
        <f>+' Ingr y egr SDSS'!C13</f>
        <v>4134675852</v>
      </c>
      <c r="E11" s="1520">
        <f>+'Rec. x origen'!D12</f>
        <v>11176763444.997149</v>
      </c>
      <c r="F11" s="1526">
        <f t="shared" si="0"/>
        <v>15631720382.417149</v>
      </c>
      <c r="G11" s="1520">
        <v>2119301799999.9998</v>
      </c>
      <c r="H11" s="1527">
        <f t="shared" si="1"/>
        <v>7.3758821808282094E-3</v>
      </c>
    </row>
    <row r="12" spans="1:9">
      <c r="A12" s="1523">
        <v>2012</v>
      </c>
      <c r="B12" s="1520">
        <f>+' Ingr y egr SDSS'!F14</f>
        <v>349151178.95999998</v>
      </c>
      <c r="C12" s="1520">
        <v>0</v>
      </c>
      <c r="D12" s="1520">
        <f>+' Ingr y egr SDSS'!C14</f>
        <v>4599999999.96</v>
      </c>
      <c r="E12" s="1520">
        <f>+'Rec. x origen'!D13</f>
        <v>12580943119.995537</v>
      </c>
      <c r="F12" s="1526">
        <f t="shared" si="0"/>
        <v>17530094298.915535</v>
      </c>
      <c r="G12" s="1520">
        <v>2316783700000</v>
      </c>
      <c r="H12" s="1527">
        <f t="shared" si="1"/>
        <v>7.5665649317696489E-3</v>
      </c>
    </row>
    <row r="13" spans="1:9">
      <c r="A13" s="1523">
        <v>2013</v>
      </c>
      <c r="B13" s="1520">
        <f>+' Ingr y egr SDSS'!F15</f>
        <v>362641633.79000002</v>
      </c>
      <c r="C13" s="1520">
        <v>0</v>
      </c>
      <c r="D13" s="1520">
        <f>+' Ingr y egr SDSS'!C15</f>
        <v>5302610000</v>
      </c>
      <c r="E13" s="1520">
        <f>+'Rec. x origen'!D14</f>
        <v>14924401657.136402</v>
      </c>
      <c r="F13" s="1526">
        <f t="shared" si="0"/>
        <v>20589653290.926403</v>
      </c>
      <c r="G13" s="1520">
        <v>2534067800000</v>
      </c>
      <c r="H13" s="1527">
        <f t="shared" si="1"/>
        <v>8.1251390712302179E-3</v>
      </c>
    </row>
    <row r="14" spans="1:9">
      <c r="A14" s="1523">
        <v>2014</v>
      </c>
      <c r="B14" s="1520">
        <f>+' Ingr y egr SDSS'!F16</f>
        <v>355808488.19</v>
      </c>
      <c r="C14" s="1520">
        <v>0</v>
      </c>
      <c r="D14" s="1520">
        <f>+' Ingr y egr SDSS'!C16</f>
        <v>6839999499</v>
      </c>
      <c r="E14" s="1520">
        <f>+'Rec. x origen'!D15</f>
        <v>17630183799.185101</v>
      </c>
      <c r="F14" s="1526">
        <f t="shared" si="0"/>
        <v>24825991786.375099</v>
      </c>
      <c r="G14" s="1520">
        <v>2786229703801.9404</v>
      </c>
      <c r="H14" s="1527">
        <f t="shared" si="1"/>
        <v>8.9102458969907879E-3</v>
      </c>
    </row>
    <row r="15" spans="1:9">
      <c r="A15" s="1523" t="s">
        <v>649</v>
      </c>
      <c r="B15" s="1520">
        <f>+' Ingr y egr SDSS'!F17</f>
        <v>23402596</v>
      </c>
      <c r="C15" s="1520">
        <v>0</v>
      </c>
      <c r="D15" s="1520">
        <f>+' Ingr y egr SDSS'!C17</f>
        <v>0</v>
      </c>
      <c r="E15" s="1520">
        <f>+'Rec. x origen'!D16</f>
        <v>1568408962.1199999</v>
      </c>
      <c r="F15" s="1526">
        <f t="shared" si="0"/>
        <v>1591811558.1199999</v>
      </c>
      <c r="G15" s="1520">
        <v>2786229703801.9404</v>
      </c>
      <c r="H15" s="1527">
        <f>+F15/G15</f>
        <v>5.7131382812691236E-4</v>
      </c>
    </row>
    <row r="16" spans="1:9">
      <c r="A16" s="1518" t="s">
        <v>23</v>
      </c>
      <c r="B16" s="1524">
        <f>SUM(B5:B15)</f>
        <v>1685925139.45</v>
      </c>
      <c r="C16" s="1524">
        <f t="shared" ref="C16:F16" si="2">SUM(C5:C15)</f>
        <v>400000000</v>
      </c>
      <c r="D16" s="1524">
        <f t="shared" si="2"/>
        <v>32903763003.68</v>
      </c>
      <c r="E16" s="1524">
        <f t="shared" si="2"/>
        <v>93415651152.871628</v>
      </c>
      <c r="F16" s="1519">
        <f t="shared" si="2"/>
        <v>128405339296.00162</v>
      </c>
      <c r="G16" s="1524"/>
      <c r="H16" s="1525"/>
    </row>
  </sheetData>
  <mergeCells count="1">
    <mergeCell ref="A1:H2"/>
  </mergeCells>
  <pageMargins left="0.7" right="0.7" top="0.75" bottom="0.75" header="0.3" footer="0.3"/>
  <pageSetup scale="7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51"/>
  <sheetViews>
    <sheetView showGridLines="0" view="pageBreakPreview" zoomScale="85" zoomScaleNormal="100" zoomScaleSheetLayoutView="85" workbookViewId="0">
      <selection activeCell="E52" sqref="E52"/>
    </sheetView>
  </sheetViews>
  <sheetFormatPr baseColWidth="10" defaultRowHeight="15"/>
  <cols>
    <col min="4" max="5" width="17.85546875" bestFit="1" customWidth="1"/>
    <col min="7" max="7" width="14.28515625" bestFit="1" customWidth="1"/>
    <col min="8" max="8" width="17" bestFit="1" customWidth="1"/>
    <col min="15" max="15" width="25" customWidth="1"/>
  </cols>
  <sheetData>
    <row r="1" spans="1:16" ht="21">
      <c r="A1" s="1487" t="s">
        <v>851</v>
      </c>
    </row>
    <row r="2" spans="1:16" ht="21">
      <c r="A2" s="1487" t="s">
        <v>852</v>
      </c>
    </row>
    <row r="3" spans="1:16" ht="21">
      <c r="A3" s="1487" t="s">
        <v>853</v>
      </c>
    </row>
    <row r="9" spans="1:16">
      <c r="P9" s="168"/>
    </row>
    <row r="11" spans="1:16">
      <c r="O11" s="293"/>
    </row>
    <row r="13" spans="1:16">
      <c r="O13" s="185"/>
    </row>
    <row r="14" spans="1:16">
      <c r="O14" s="185"/>
    </row>
    <row r="15" spans="1:16">
      <c r="O15" s="185"/>
    </row>
    <row r="16" spans="1:16">
      <c r="O16" s="185"/>
    </row>
    <row r="17" spans="15:16">
      <c r="O17" s="185"/>
    </row>
    <row r="22" spans="15:16">
      <c r="P22" s="185"/>
    </row>
    <row r="50" spans="4:4">
      <c r="D50" s="293"/>
    </row>
    <row r="51" spans="4:4">
      <c r="D51" s="293"/>
    </row>
  </sheetData>
  <pageMargins left="0.7" right="0.7" top="0.75" bottom="0.75" header="0.3" footer="0.3"/>
  <pageSetup scale="7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9"/>
  <sheetViews>
    <sheetView showGridLines="0" view="pageBreakPreview" zoomScale="55" zoomScaleNormal="66" zoomScaleSheetLayoutView="55" workbookViewId="0">
      <selection activeCell="N1" sqref="N1:Y1048576"/>
    </sheetView>
  </sheetViews>
  <sheetFormatPr baseColWidth="10" defaultColWidth="11.5703125" defaultRowHeight="15"/>
  <cols>
    <col min="1" max="1" width="39.5703125" style="50" bestFit="1" customWidth="1"/>
    <col min="2" max="2" width="26.5703125" style="50" bestFit="1" customWidth="1"/>
    <col min="3" max="9" width="28" style="50" bestFit="1" customWidth="1"/>
    <col min="10" max="10" width="26.5703125" style="50" bestFit="1" customWidth="1"/>
    <col min="11" max="11" width="36.85546875" style="50" bestFit="1" customWidth="1"/>
    <col min="12" max="12" width="7.42578125" style="50" customWidth="1"/>
    <col min="13" max="13" width="8.7109375" style="50" customWidth="1"/>
    <col min="14" max="16384" width="11.5703125" style="50"/>
  </cols>
  <sheetData>
    <row r="1" spans="1:13" ht="104.25" customHeight="1">
      <c r="A1" s="1766"/>
      <c r="B1" s="1766"/>
      <c r="C1" s="1766"/>
      <c r="D1" s="1766"/>
      <c r="E1" s="1766"/>
      <c r="F1" s="1766"/>
      <c r="G1" s="1766"/>
      <c r="H1" s="1766"/>
      <c r="I1" s="1766"/>
      <c r="J1" s="1766"/>
      <c r="K1" s="1766"/>
      <c r="L1" s="1766"/>
      <c r="M1" s="1766"/>
    </row>
    <row r="2" spans="1:13" ht="15" customHeight="1">
      <c r="A2" s="1844"/>
      <c r="B2" s="1845"/>
      <c r="C2" s="1845"/>
      <c r="D2" s="1845"/>
      <c r="E2" s="1845"/>
      <c r="F2" s="1845"/>
      <c r="G2" s="1845"/>
      <c r="H2" s="1845"/>
      <c r="I2" s="1845"/>
      <c r="J2" s="1845"/>
      <c r="K2" s="1845"/>
      <c r="L2" s="1845"/>
      <c r="M2" s="1845"/>
    </row>
    <row r="3" spans="1:13" ht="18.75">
      <c r="A3" s="707" t="s">
        <v>183</v>
      </c>
      <c r="B3" s="689">
        <v>2007</v>
      </c>
      <c r="C3" s="689">
        <v>2008</v>
      </c>
      <c r="D3" s="689">
        <v>2009</v>
      </c>
      <c r="E3" s="689">
        <v>2010</v>
      </c>
      <c r="F3" s="689">
        <v>2011</v>
      </c>
      <c r="G3" s="689" t="s">
        <v>506</v>
      </c>
      <c r="H3" s="689" t="s">
        <v>664</v>
      </c>
      <c r="I3" s="689" t="s">
        <v>665</v>
      </c>
      <c r="J3" s="689" t="s">
        <v>632</v>
      </c>
      <c r="K3" s="1098" t="s">
        <v>667</v>
      </c>
      <c r="L3" s="181"/>
    </row>
    <row r="4" spans="1:13" ht="19.5" customHeight="1">
      <c r="A4" s="708" t="s">
        <v>219</v>
      </c>
      <c r="B4" s="687">
        <v>2756085890.3800001</v>
      </c>
      <c r="C4" s="687">
        <v>12262043622.240002</v>
      </c>
      <c r="D4" s="688">
        <v>14997271060.829998</v>
      </c>
      <c r="E4" s="688">
        <v>20037998054.760002</v>
      </c>
      <c r="F4" s="688">
        <v>22215656750.489998</v>
      </c>
      <c r="G4" s="688">
        <v>25323798457.93</v>
      </c>
      <c r="H4" s="688">
        <v>27866096681.57</v>
      </c>
      <c r="I4" s="688">
        <v>31167111771.200001</v>
      </c>
      <c r="J4" s="688">
        <f>2569916565.94+136173530.91</f>
        <v>2706090096.8499999</v>
      </c>
      <c r="K4" s="1099">
        <f>SUM(B4:J4)</f>
        <v>159332152386.25003</v>
      </c>
      <c r="L4" s="181"/>
    </row>
    <row r="5" spans="1:13" ht="17.25">
      <c r="A5" s="708" t="s">
        <v>104</v>
      </c>
      <c r="B5" s="687">
        <v>71139452</v>
      </c>
      <c r="C5" s="687">
        <v>245511975</v>
      </c>
      <c r="D5" s="688">
        <v>83348568.400000006</v>
      </c>
      <c r="E5" s="688">
        <v>0</v>
      </c>
      <c r="F5" s="688">
        <v>149163844</v>
      </c>
      <c r="G5" s="688">
        <v>182825831.59999999</v>
      </c>
      <c r="H5" s="688">
        <v>213705747.60000002</v>
      </c>
      <c r="I5" s="688">
        <v>260908691.69999999</v>
      </c>
      <c r="J5" s="688">
        <v>26935035</v>
      </c>
      <c r="K5" s="1099">
        <f>SUM(B5:J5)</f>
        <v>1233539145.3</v>
      </c>
      <c r="L5" s="88"/>
      <c r="M5" s="52"/>
    </row>
    <row r="6" spans="1:13" ht="17.25">
      <c r="A6" s="708" t="s">
        <v>105</v>
      </c>
      <c r="B6" s="687">
        <v>0</v>
      </c>
      <c r="C6" s="687">
        <v>283848938.23000002</v>
      </c>
      <c r="D6" s="688">
        <v>717406862.31000018</v>
      </c>
      <c r="E6" s="688">
        <v>958993042.63</v>
      </c>
      <c r="F6" s="688">
        <v>1126433498.0599999</v>
      </c>
      <c r="G6" s="688">
        <v>1222112428.3699999</v>
      </c>
      <c r="H6" s="688">
        <v>1358265601.1399999</v>
      </c>
      <c r="I6" s="688">
        <v>1556233315.7999997</v>
      </c>
      <c r="J6" s="688">
        <v>128685947.84999999</v>
      </c>
      <c r="K6" s="1099">
        <f>SUM(B6:J6)</f>
        <v>7351979634.3899994</v>
      </c>
      <c r="L6" s="88"/>
      <c r="M6" s="52"/>
    </row>
    <row r="7" spans="1:13" ht="17.25">
      <c r="A7" s="708" t="s">
        <v>106</v>
      </c>
      <c r="B7" s="687">
        <v>0</v>
      </c>
      <c r="C7" s="687">
        <v>38720972.609999999</v>
      </c>
      <c r="D7" s="688">
        <v>121903634.47</v>
      </c>
      <c r="E7" s="688">
        <v>138388657.69999999</v>
      </c>
      <c r="F7" s="688">
        <v>155182686.03</v>
      </c>
      <c r="G7" s="688">
        <v>171240027.52000004</v>
      </c>
      <c r="H7" s="688">
        <v>190492244.19999999</v>
      </c>
      <c r="I7" s="688">
        <v>215918628.93000001</v>
      </c>
      <c r="J7" s="688">
        <v>18409106.789999999</v>
      </c>
      <c r="K7" s="1099">
        <f>SUM(B7:J7)</f>
        <v>1050255958.25</v>
      </c>
      <c r="L7" s="88"/>
      <c r="M7" s="52"/>
    </row>
    <row r="8" spans="1:13" ht="17.25">
      <c r="A8" s="708" t="s">
        <v>144</v>
      </c>
      <c r="B8" s="687">
        <v>0</v>
      </c>
      <c r="C8" s="687">
        <v>0</v>
      </c>
      <c r="D8" s="688">
        <v>16656000</v>
      </c>
      <c r="E8" s="688">
        <v>68030000</v>
      </c>
      <c r="F8" s="688">
        <v>168385579.84999999</v>
      </c>
      <c r="G8" s="688">
        <v>182376500</v>
      </c>
      <c r="H8" s="688">
        <v>215786255.86000001</v>
      </c>
      <c r="I8" s="688">
        <v>262429320</v>
      </c>
      <c r="J8" s="688">
        <v>14816000</v>
      </c>
      <c r="K8" s="1099">
        <f>SUM(B8:J8)</f>
        <v>928479655.71000004</v>
      </c>
      <c r="L8" s="88"/>
      <c r="M8" s="52"/>
    </row>
    <row r="9" spans="1:13" s="1096" customFormat="1" ht="18" customHeight="1">
      <c r="A9" s="709" t="s">
        <v>43</v>
      </c>
      <c r="B9" s="690">
        <f t="shared" ref="B9:H9" si="0">SUM(B4:B8)</f>
        <v>2827225342.3800001</v>
      </c>
      <c r="C9" s="690">
        <f t="shared" si="0"/>
        <v>12830125508.080002</v>
      </c>
      <c r="D9" s="690">
        <f t="shared" si="0"/>
        <v>15936586126.009996</v>
      </c>
      <c r="E9" s="690">
        <f t="shared" si="0"/>
        <v>21203409755.090004</v>
      </c>
      <c r="F9" s="690">
        <f t="shared" si="0"/>
        <v>23814822358.429996</v>
      </c>
      <c r="G9" s="690">
        <f t="shared" si="0"/>
        <v>27082353245.419998</v>
      </c>
      <c r="H9" s="690">
        <f t="shared" si="0"/>
        <v>29844346530.369999</v>
      </c>
      <c r="I9" s="690">
        <f>SUM(I4:I8)</f>
        <v>33462601727.630001</v>
      </c>
      <c r="J9" s="690">
        <f>SUM(J4:J8)</f>
        <v>2894936186.4899998</v>
      </c>
      <c r="K9" s="685">
        <f>SUM(K4:K8)</f>
        <v>169896406779.89999</v>
      </c>
      <c r="L9" s="686"/>
    </row>
    <row r="10" spans="1:13" ht="35.25" customHeight="1">
      <c r="A10" s="1846" t="s">
        <v>666</v>
      </c>
      <c r="B10" s="1846"/>
      <c r="C10" s="1846"/>
      <c r="D10" s="1846"/>
      <c r="E10" s="1846"/>
      <c r="F10" s="1846"/>
      <c r="G10" s="1846"/>
      <c r="H10" s="1846"/>
      <c r="I10" s="1846"/>
      <c r="J10" s="1846"/>
      <c r="K10" s="1846"/>
    </row>
    <row r="11" spans="1:13">
      <c r="B11" s="116"/>
      <c r="C11" s="116"/>
      <c r="D11" s="116"/>
      <c r="E11" s="116"/>
      <c r="F11" s="116"/>
      <c r="G11" s="116"/>
      <c r="H11" s="116"/>
      <c r="I11" s="116"/>
      <c r="J11" s="116"/>
      <c r="K11" s="116"/>
      <c r="L11" s="116"/>
      <c r="M11" s="116"/>
    </row>
    <row r="12" spans="1:13">
      <c r="B12" s="116"/>
      <c r="C12" s="116"/>
      <c r="D12" s="116"/>
      <c r="E12" s="116"/>
      <c r="F12" s="116"/>
      <c r="G12" s="116"/>
      <c r="H12" s="116"/>
      <c r="I12" s="116"/>
      <c r="J12" s="116"/>
      <c r="K12" s="116"/>
      <c r="L12" s="116"/>
      <c r="M12" s="116"/>
    </row>
    <row r="13" spans="1:13">
      <c r="B13" s="116"/>
      <c r="C13" s="116"/>
      <c r="D13" s="116"/>
      <c r="E13" s="116"/>
      <c r="F13" s="116"/>
      <c r="G13" s="116"/>
      <c r="H13" s="116"/>
      <c r="I13" s="116"/>
      <c r="J13" s="116"/>
      <c r="K13" s="116"/>
      <c r="L13" s="116"/>
      <c r="M13" s="116"/>
    </row>
    <row r="14" spans="1:13">
      <c r="B14" s="31"/>
      <c r="C14" s="31"/>
      <c r="D14" s="31"/>
      <c r="E14" s="116"/>
      <c r="F14" s="116"/>
      <c r="G14" s="116"/>
      <c r="H14" s="116"/>
      <c r="I14" s="116"/>
      <c r="J14" s="116"/>
      <c r="K14" s="116"/>
      <c r="L14" s="116"/>
      <c r="M14" s="116"/>
    </row>
    <row r="15" spans="1:13">
      <c r="B15" s="31"/>
      <c r="C15" s="31"/>
      <c r="D15" s="31"/>
      <c r="E15" s="31"/>
      <c r="F15" s="31"/>
      <c r="G15" s="31"/>
      <c r="H15" s="31"/>
      <c r="I15" s="31"/>
      <c r="J15" s="31"/>
      <c r="K15" s="31"/>
      <c r="L15" s="31"/>
      <c r="M15" s="31"/>
    </row>
    <row r="16" spans="1:13">
      <c r="B16" s="31"/>
      <c r="C16" s="31"/>
      <c r="D16" s="31"/>
      <c r="E16" s="31"/>
      <c r="F16" s="31"/>
      <c r="G16" s="31"/>
      <c r="H16" s="31"/>
      <c r="I16" s="31"/>
      <c r="J16" s="31"/>
      <c r="K16" s="31"/>
      <c r="L16" s="31"/>
      <c r="M16" s="31"/>
    </row>
    <row r="17" spans="2:19">
      <c r="B17" s="31"/>
      <c r="C17" s="31"/>
      <c r="D17" s="31"/>
      <c r="E17" s="31"/>
      <c r="F17" s="31"/>
      <c r="G17" s="31"/>
      <c r="H17" s="31"/>
      <c r="I17" s="31"/>
      <c r="J17" s="31"/>
      <c r="K17" s="31"/>
      <c r="L17" s="31"/>
      <c r="M17" s="31"/>
    </row>
    <row r="18" spans="2:19">
      <c r="B18" s="31"/>
      <c r="C18" s="31"/>
      <c r="D18" s="31"/>
      <c r="E18" s="31"/>
      <c r="F18" s="31"/>
      <c r="G18" s="31"/>
      <c r="H18" s="31"/>
      <c r="I18" s="31"/>
      <c r="J18" s="31"/>
      <c r="K18" s="31"/>
      <c r="L18" s="31"/>
      <c r="M18" s="31"/>
    </row>
    <row r="19" spans="2:19">
      <c r="B19" s="31"/>
      <c r="C19" s="31"/>
      <c r="D19" s="31"/>
      <c r="E19" s="31"/>
      <c r="F19" s="31"/>
      <c r="G19" s="31"/>
      <c r="H19" s="31"/>
      <c r="I19" s="31"/>
      <c r="J19" s="31"/>
      <c r="K19" s="31"/>
      <c r="L19" s="31"/>
      <c r="M19" s="31"/>
    </row>
    <row r="20" spans="2:19">
      <c r="B20" s="31"/>
      <c r="C20" s="31"/>
      <c r="D20" s="31"/>
      <c r="E20" s="31"/>
      <c r="F20" s="31"/>
      <c r="G20" s="31"/>
      <c r="H20" s="31"/>
      <c r="I20" s="31"/>
      <c r="J20" s="31"/>
      <c r="K20" s="31"/>
      <c r="L20" s="31"/>
      <c r="M20" s="31"/>
    </row>
    <row r="21" spans="2:19">
      <c r="B21" s="31"/>
      <c r="C21" s="31"/>
      <c r="D21" s="31"/>
      <c r="E21" s="31"/>
      <c r="F21" s="31"/>
      <c r="G21" s="31"/>
      <c r="H21" s="31"/>
      <c r="I21" s="31"/>
      <c r="J21" s="31"/>
      <c r="K21" s="31"/>
      <c r="L21" s="31"/>
      <c r="M21" s="31"/>
    </row>
    <row r="22" spans="2:19">
      <c r="B22" s="31"/>
      <c r="C22" s="31"/>
      <c r="D22" s="31"/>
      <c r="E22" s="31"/>
      <c r="F22" s="31"/>
      <c r="G22" s="31"/>
      <c r="H22" s="31"/>
      <c r="I22" s="31"/>
      <c r="J22" s="31"/>
      <c r="K22" s="31"/>
      <c r="L22" s="31"/>
      <c r="M22" s="31"/>
      <c r="N22" s="1097"/>
      <c r="O22" s="1097"/>
      <c r="P22" s="1097"/>
      <c r="Q22" s="1097"/>
      <c r="R22" s="1097"/>
      <c r="S22" s="1097"/>
    </row>
    <row r="23" spans="2:19">
      <c r="B23" s="31"/>
      <c r="C23" s="31"/>
      <c r="D23" s="31"/>
      <c r="E23" s="31"/>
      <c r="F23" s="31"/>
      <c r="G23" s="31"/>
      <c r="H23" s="31"/>
      <c r="I23" s="31"/>
      <c r="J23" s="31"/>
      <c r="K23" s="31"/>
      <c r="L23" s="31"/>
      <c r="M23" s="31"/>
      <c r="N23" s="1097"/>
      <c r="O23" s="1097"/>
      <c r="P23" s="1097"/>
      <c r="Q23" s="1097"/>
      <c r="R23" s="1097"/>
      <c r="S23" s="1097"/>
    </row>
    <row r="24" spans="2:19">
      <c r="B24" s="31"/>
      <c r="C24" s="31"/>
      <c r="D24" s="31"/>
      <c r="E24" s="31"/>
      <c r="F24" s="31"/>
      <c r="G24" s="31"/>
      <c r="H24" s="31"/>
      <c r="I24" s="31"/>
      <c r="J24" s="31"/>
      <c r="K24" s="31"/>
      <c r="L24" s="31"/>
      <c r="M24" s="31"/>
      <c r="N24" s="1097"/>
      <c r="O24" s="1097"/>
      <c r="P24" s="1097"/>
      <c r="Q24" s="1097"/>
      <c r="R24" s="1097"/>
      <c r="S24" s="1097"/>
    </row>
    <row r="25" spans="2:19">
      <c r="B25" s="31"/>
      <c r="C25" s="31"/>
      <c r="D25" s="31"/>
      <c r="E25" s="31"/>
      <c r="F25" s="31"/>
      <c r="G25" s="31"/>
      <c r="H25" s="31"/>
      <c r="I25" s="31"/>
      <c r="J25" s="31"/>
      <c r="K25" s="31"/>
      <c r="L25" s="31"/>
      <c r="M25" s="31"/>
      <c r="N25" s="1097"/>
      <c r="O25" s="1097"/>
      <c r="P25" s="1097"/>
      <c r="Q25" s="1097"/>
      <c r="R25" s="1097"/>
      <c r="S25" s="1097"/>
    </row>
    <row r="26" spans="2:19">
      <c r="B26" s="31"/>
      <c r="C26" s="31"/>
      <c r="D26" s="31"/>
      <c r="E26" s="31"/>
      <c r="F26" s="31"/>
      <c r="G26" s="31"/>
      <c r="H26" s="31"/>
      <c r="I26" s="31"/>
      <c r="J26" s="31"/>
      <c r="K26" s="31"/>
      <c r="L26" s="31"/>
      <c r="M26" s="31"/>
      <c r="N26" s="1097"/>
      <c r="O26" s="1097"/>
      <c r="P26" s="1097"/>
      <c r="Q26" s="1097"/>
      <c r="R26" s="1097"/>
      <c r="S26" s="1097"/>
    </row>
    <row r="27" spans="2:19">
      <c r="B27" s="31"/>
      <c r="C27" s="31"/>
      <c r="D27" s="31"/>
      <c r="E27" s="31"/>
      <c r="F27" s="31"/>
      <c r="G27" s="31"/>
      <c r="H27" s="31"/>
      <c r="I27" s="31"/>
      <c r="J27" s="31"/>
      <c r="K27" s="31"/>
      <c r="L27" s="31"/>
      <c r="M27" s="31"/>
      <c r="N27" s="1097"/>
      <c r="O27" s="1097"/>
      <c r="P27" s="1097"/>
      <c r="Q27" s="1097"/>
      <c r="R27" s="1097"/>
      <c r="S27" s="1097"/>
    </row>
    <row r="28" spans="2:19">
      <c r="B28" s="116"/>
      <c r="C28" s="116"/>
      <c r="D28" s="116"/>
      <c r="E28" s="116"/>
      <c r="F28" s="116"/>
      <c r="G28" s="116"/>
      <c r="H28" s="116"/>
      <c r="I28" s="116"/>
      <c r="J28" s="116"/>
      <c r="K28" s="116"/>
      <c r="L28" s="116"/>
      <c r="M28" s="116"/>
    </row>
    <row r="29" spans="2:19">
      <c r="B29" s="116"/>
      <c r="C29" s="116"/>
      <c r="D29" s="116"/>
      <c r="E29" s="116"/>
      <c r="F29" s="116"/>
      <c r="G29" s="116"/>
      <c r="H29" s="116"/>
      <c r="I29" s="116"/>
      <c r="J29" s="116"/>
      <c r="K29" s="116"/>
      <c r="L29" s="116"/>
      <c r="M29" s="116"/>
    </row>
    <row r="30" spans="2:19">
      <c r="B30" s="116"/>
      <c r="C30" s="116"/>
      <c r="D30" s="116"/>
      <c r="E30" s="116"/>
      <c r="F30" s="116"/>
      <c r="G30" s="116"/>
      <c r="H30" s="116"/>
      <c r="I30" s="116"/>
      <c r="J30" s="116"/>
      <c r="K30" s="116"/>
      <c r="L30" s="116"/>
      <c r="M30" s="116"/>
    </row>
    <row r="31" spans="2:19">
      <c r="B31" s="116"/>
      <c r="C31" s="116"/>
      <c r="D31" s="116"/>
      <c r="E31" s="116"/>
      <c r="F31" s="116"/>
      <c r="G31" s="116"/>
      <c r="H31" s="116"/>
      <c r="I31" s="116"/>
      <c r="J31" s="116"/>
      <c r="K31" s="116"/>
      <c r="L31" s="116"/>
      <c r="M31" s="116"/>
    </row>
    <row r="32" spans="2:19">
      <c r="B32" s="116"/>
      <c r="C32" s="116"/>
      <c r="D32" s="116"/>
      <c r="E32" s="116"/>
      <c r="F32" s="116"/>
      <c r="G32" s="116"/>
      <c r="H32" s="116"/>
      <c r="I32" s="116"/>
      <c r="J32" s="116"/>
      <c r="K32" s="116"/>
      <c r="L32" s="116"/>
      <c r="M32" s="116"/>
    </row>
    <row r="33" spans="2:13">
      <c r="B33" s="116"/>
      <c r="C33" s="116"/>
      <c r="D33" s="116"/>
      <c r="E33" s="116"/>
      <c r="F33" s="116"/>
      <c r="G33" s="116"/>
      <c r="H33" s="116"/>
      <c r="I33" s="116"/>
      <c r="J33" s="116"/>
      <c r="K33" s="116"/>
      <c r="L33" s="116"/>
      <c r="M33" s="116"/>
    </row>
    <row r="34" spans="2:13">
      <c r="B34" s="116"/>
      <c r="C34" s="116"/>
      <c r="D34" s="116"/>
      <c r="E34" s="116"/>
      <c r="F34" s="116"/>
      <c r="G34" s="116"/>
      <c r="H34" s="116"/>
      <c r="I34" s="116"/>
      <c r="J34" s="116"/>
      <c r="K34" s="116"/>
      <c r="L34" s="116"/>
      <c r="M34" s="116"/>
    </row>
    <row r="35" spans="2:13">
      <c r="B35" s="116"/>
      <c r="C35" s="116"/>
      <c r="D35" s="116"/>
      <c r="E35" s="116"/>
      <c r="F35" s="116"/>
      <c r="G35" s="116"/>
      <c r="H35" s="116"/>
      <c r="I35" s="116"/>
      <c r="J35" s="116"/>
      <c r="K35" s="116"/>
      <c r="L35" s="116"/>
      <c r="M35" s="116"/>
    </row>
    <row r="36" spans="2:13">
      <c r="B36" s="116"/>
      <c r="C36" s="116"/>
      <c r="D36" s="116"/>
      <c r="E36" s="116"/>
      <c r="F36" s="116"/>
      <c r="G36" s="116"/>
      <c r="H36" s="116"/>
      <c r="I36" s="116"/>
      <c r="J36" s="116"/>
      <c r="K36" s="116"/>
      <c r="L36" s="116"/>
      <c r="M36" s="116"/>
    </row>
    <row r="37" spans="2:13">
      <c r="B37" s="116"/>
      <c r="C37" s="116"/>
      <c r="D37" s="116"/>
      <c r="E37" s="116"/>
      <c r="F37" s="116"/>
      <c r="G37" s="116"/>
      <c r="H37" s="116"/>
      <c r="I37" s="116"/>
      <c r="J37" s="116"/>
      <c r="K37" s="116"/>
      <c r="L37" s="116"/>
      <c r="M37" s="116"/>
    </row>
    <row r="38" spans="2:13">
      <c r="B38" s="116"/>
      <c r="C38" s="116"/>
      <c r="D38" s="116"/>
      <c r="E38" s="116"/>
      <c r="F38" s="116"/>
      <c r="G38" s="116"/>
      <c r="H38" s="116"/>
      <c r="I38" s="116"/>
      <c r="J38" s="116"/>
      <c r="K38" s="116"/>
      <c r="L38" s="116"/>
      <c r="M38" s="116"/>
    </row>
    <row r="39" spans="2:13">
      <c r="B39" s="116"/>
      <c r="C39" s="116"/>
      <c r="D39" s="116"/>
      <c r="E39" s="116"/>
      <c r="F39" s="116"/>
      <c r="G39" s="116"/>
      <c r="H39" s="116"/>
      <c r="I39" s="116"/>
      <c r="J39" s="116"/>
      <c r="K39" s="116"/>
      <c r="L39" s="116"/>
      <c r="M39" s="116"/>
    </row>
  </sheetData>
  <mergeCells count="3">
    <mergeCell ref="A1:M1"/>
    <mergeCell ref="A2:M2"/>
    <mergeCell ref="A10:K10"/>
  </mergeCells>
  <printOptions horizontalCentered="1" verticalCentered="1"/>
  <pageMargins left="0.4" right="0.4" top="0.25" bottom="0.25" header="0.31496062992126" footer="0.31496062992126"/>
  <pageSetup scale="37"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X356"/>
  <sheetViews>
    <sheetView showGridLines="0" view="pageBreakPreview" zoomScale="70" zoomScaleNormal="55" zoomScaleSheetLayoutView="70" workbookViewId="0">
      <selection activeCell="I9" sqref="I9"/>
    </sheetView>
  </sheetViews>
  <sheetFormatPr baseColWidth="10" defaultColWidth="11.5703125" defaultRowHeight="18"/>
  <cols>
    <col min="1" max="1" width="14.85546875" customWidth="1"/>
    <col min="2" max="2" width="21.42578125" customWidth="1"/>
    <col min="3" max="3" width="20" style="84" customWidth="1"/>
    <col min="4" max="4" width="20.7109375" customWidth="1"/>
    <col min="5" max="5" width="20.5703125" customWidth="1"/>
    <col min="6" max="6" width="20.7109375" customWidth="1"/>
    <col min="7" max="7" width="21.85546875" customWidth="1"/>
    <col min="8" max="9" width="21.28515625" style="84" customWidth="1"/>
    <col min="10" max="10" width="26.28515625" customWidth="1"/>
    <col min="11" max="11" width="20.7109375" customWidth="1"/>
    <col min="13" max="13" width="20.140625" customWidth="1"/>
    <col min="14" max="14" width="25.7109375" style="46" bestFit="1" customWidth="1"/>
    <col min="15" max="15" width="21.28515625" style="46" bestFit="1" customWidth="1"/>
    <col min="16" max="17" width="29.28515625" style="46" bestFit="1" customWidth="1"/>
    <col min="18" max="18" width="21.140625" style="46" customWidth="1"/>
    <col min="19" max="19" width="22" style="46" customWidth="1"/>
    <col min="20" max="20" width="22.7109375" style="46" bestFit="1" customWidth="1"/>
    <col min="21" max="21" width="21.28515625" style="45" bestFit="1" customWidth="1"/>
    <col min="22" max="22" width="22.140625" style="45" bestFit="1" customWidth="1"/>
    <col min="23" max="23" width="22.85546875" style="45" bestFit="1" customWidth="1"/>
  </cols>
  <sheetData>
    <row r="1" spans="1:24" ht="94.5" customHeight="1">
      <c r="A1" s="1847"/>
      <c r="B1" s="1847"/>
      <c r="C1" s="1847"/>
      <c r="D1" s="1847"/>
      <c r="E1" s="1847"/>
      <c r="F1" s="1847"/>
      <c r="G1" s="1847"/>
      <c r="H1" s="1847"/>
      <c r="I1" s="1847"/>
      <c r="J1" s="1847"/>
      <c r="K1" s="1847"/>
    </row>
    <row r="2" spans="1:24" s="44" customFormat="1" ht="6" customHeight="1">
      <c r="A2" s="191"/>
      <c r="B2" s="191"/>
      <c r="C2" s="191"/>
      <c r="D2" s="191"/>
      <c r="E2" s="191"/>
      <c r="F2" s="191"/>
      <c r="G2" s="191"/>
      <c r="H2" s="191"/>
      <c r="I2" s="191"/>
      <c r="J2" s="191"/>
      <c r="K2" s="191"/>
      <c r="N2" s="204"/>
      <c r="O2" s="204"/>
      <c r="P2" s="204"/>
      <c r="Q2" s="204"/>
      <c r="R2" s="204"/>
      <c r="S2" s="204"/>
      <c r="T2" s="204"/>
      <c r="U2" s="205"/>
      <c r="V2" s="205"/>
      <c r="W2" s="205"/>
    </row>
    <row r="3" spans="1:24" ht="26.25" customHeight="1">
      <c r="A3" s="717" t="s">
        <v>47</v>
      </c>
      <c r="B3" s="721" t="s">
        <v>45</v>
      </c>
      <c r="C3" s="721" t="s">
        <v>212</v>
      </c>
      <c r="D3" s="721" t="s">
        <v>105</v>
      </c>
      <c r="E3" s="721" t="s">
        <v>106</v>
      </c>
      <c r="F3" s="721" t="s">
        <v>107</v>
      </c>
      <c r="G3" s="717" t="s">
        <v>156</v>
      </c>
      <c r="H3" s="718"/>
      <c r="I3" s="718"/>
      <c r="J3" s="24"/>
      <c r="K3" s="24"/>
      <c r="L3" s="24"/>
      <c r="N3"/>
      <c r="O3" s="45"/>
      <c r="P3" s="45"/>
      <c r="Q3" s="45"/>
      <c r="R3" s="45"/>
      <c r="S3" s="45"/>
      <c r="T3" s="45"/>
      <c r="X3" s="45"/>
    </row>
    <row r="4" spans="1:24" s="84" customFormat="1">
      <c r="A4" s="723" t="s">
        <v>600</v>
      </c>
      <c r="B4" s="719">
        <v>2481123851.8899999</v>
      </c>
      <c r="C4" s="719">
        <v>20979055.5</v>
      </c>
      <c r="D4" s="719">
        <v>117579749.40000001</v>
      </c>
      <c r="E4" s="719">
        <v>16737868.779999999</v>
      </c>
      <c r="F4" s="719">
        <v>13096000</v>
      </c>
      <c r="G4" s="724">
        <f>+F4+E4+D4+C4+B4</f>
        <v>2649516525.5699997</v>
      </c>
      <c r="H4" s="720"/>
      <c r="I4" s="720"/>
      <c r="J4" s="102"/>
      <c r="K4" s="102"/>
      <c r="L4" s="102"/>
      <c r="O4" s="45"/>
      <c r="P4" s="45"/>
      <c r="Q4" s="45"/>
      <c r="R4" s="45"/>
      <c r="S4" s="45"/>
      <c r="T4" s="45"/>
      <c r="U4" s="45"/>
      <c r="V4" s="45"/>
      <c r="W4" s="45"/>
      <c r="X4" s="45"/>
    </row>
    <row r="5" spans="1:24" s="84" customFormat="1">
      <c r="A5" s="723" t="s">
        <v>601</v>
      </c>
      <c r="B5" s="719">
        <v>2521735402.48</v>
      </c>
      <c r="C5" s="719">
        <v>21008001</v>
      </c>
      <c r="D5" s="719">
        <v>120115331.20999999</v>
      </c>
      <c r="E5" s="719">
        <v>16897600.02</v>
      </c>
      <c r="F5" s="719">
        <v>12830000</v>
      </c>
      <c r="G5" s="724">
        <f t="shared" ref="G5:G16" si="0">+F5+E5+D5+C5+B5</f>
        <v>2692586334.71</v>
      </c>
      <c r="H5" s="720"/>
      <c r="I5" s="720"/>
      <c r="J5" s="102"/>
      <c r="K5" s="102"/>
      <c r="L5" s="102"/>
      <c r="O5" s="45"/>
      <c r="P5" s="45"/>
      <c r="Q5" s="45"/>
      <c r="R5" s="45"/>
      <c r="S5" s="45"/>
      <c r="T5" s="45"/>
      <c r="U5" s="45"/>
      <c r="V5" s="45"/>
      <c r="W5" s="45"/>
      <c r="X5" s="45"/>
    </row>
    <row r="6" spans="1:24" s="84" customFormat="1">
      <c r="A6" s="723" t="s">
        <v>602</v>
      </c>
      <c r="B6" s="719">
        <v>2521262075.8699999</v>
      </c>
      <c r="C6" s="719">
        <v>21071451</v>
      </c>
      <c r="D6" s="719">
        <v>128948107.11</v>
      </c>
      <c r="E6" s="719">
        <v>17473435.41</v>
      </c>
      <c r="F6" s="719">
        <v>13236000</v>
      </c>
      <c r="G6" s="724">
        <f t="shared" si="0"/>
        <v>2701991069.3899999</v>
      </c>
      <c r="H6" s="720"/>
      <c r="I6" s="720"/>
      <c r="J6" s="102"/>
      <c r="K6" s="102"/>
      <c r="L6" s="102"/>
      <c r="O6" s="45"/>
      <c r="P6" s="45"/>
      <c r="Q6" s="45"/>
      <c r="R6" s="45"/>
      <c r="S6" s="45"/>
      <c r="T6" s="45"/>
      <c r="U6" s="45"/>
      <c r="V6" s="45"/>
      <c r="W6" s="45"/>
      <c r="X6" s="45"/>
    </row>
    <row r="7" spans="1:24" s="84" customFormat="1">
      <c r="A7" s="723" t="s">
        <v>603</v>
      </c>
      <c r="B7" s="719">
        <v>2571038494.48</v>
      </c>
      <c r="C7" s="719">
        <v>21381019.199999999</v>
      </c>
      <c r="D7" s="719">
        <v>126664709.78</v>
      </c>
      <c r="E7" s="719">
        <v>17588136.32</v>
      </c>
      <c r="F7" s="719">
        <v>108461320</v>
      </c>
      <c r="G7" s="724">
        <f t="shared" si="0"/>
        <v>2845133679.7800002</v>
      </c>
      <c r="H7" s="720"/>
      <c r="I7" s="720"/>
      <c r="J7" s="102"/>
      <c r="K7" s="102"/>
      <c r="L7" s="102"/>
      <c r="O7" s="45"/>
      <c r="P7" s="45"/>
      <c r="Q7" s="45"/>
      <c r="R7" s="45"/>
      <c r="S7" s="45"/>
      <c r="T7" s="45"/>
      <c r="U7" s="45"/>
      <c r="V7" s="45"/>
      <c r="W7" s="45"/>
      <c r="X7" s="45"/>
    </row>
    <row r="8" spans="1:24" s="84" customFormat="1">
      <c r="A8" s="723" t="s">
        <v>604</v>
      </c>
      <c r="B8" s="719">
        <v>2492547024.3400002</v>
      </c>
      <c r="C8" s="719">
        <v>0</v>
      </c>
      <c r="D8" s="719">
        <v>128425724.31999999</v>
      </c>
      <c r="E8" s="719">
        <v>17684785.719999999</v>
      </c>
      <c r="F8" s="719">
        <v>13130000</v>
      </c>
      <c r="G8" s="724">
        <f t="shared" si="0"/>
        <v>2651787534.3800001</v>
      </c>
      <c r="H8" s="720"/>
      <c r="I8" s="720"/>
      <c r="J8" s="102"/>
      <c r="K8" s="102"/>
      <c r="L8" s="102"/>
      <c r="O8" s="45"/>
      <c r="P8" s="45"/>
      <c r="Q8" s="45"/>
      <c r="R8" s="45"/>
      <c r="S8" s="45"/>
      <c r="T8" s="45"/>
      <c r="U8" s="45"/>
      <c r="V8" s="45"/>
      <c r="W8" s="45"/>
      <c r="X8" s="45"/>
    </row>
    <row r="9" spans="1:24" s="84" customFormat="1">
      <c r="A9" s="723" t="s">
        <v>605</v>
      </c>
      <c r="B9" s="719">
        <v>2683967635.4099998</v>
      </c>
      <c r="C9" s="719">
        <v>43392624</v>
      </c>
      <c r="D9" s="719">
        <v>137309264.62</v>
      </c>
      <c r="E9" s="719">
        <v>18317103.920000002</v>
      </c>
      <c r="F9" s="719">
        <v>13402000</v>
      </c>
      <c r="G9" s="724">
        <f t="shared" si="0"/>
        <v>2896388627.9499998</v>
      </c>
      <c r="H9" s="720"/>
      <c r="I9" s="720"/>
      <c r="J9" s="102"/>
      <c r="K9" s="102"/>
      <c r="L9" s="102"/>
      <c r="O9" s="45"/>
      <c r="P9" s="45"/>
      <c r="Q9" s="45"/>
      <c r="R9" s="45"/>
      <c r="S9" s="45"/>
      <c r="T9" s="45"/>
      <c r="U9" s="45"/>
      <c r="V9" s="45"/>
      <c r="W9" s="45"/>
      <c r="X9" s="45"/>
    </row>
    <row r="10" spans="1:24" s="84" customFormat="1">
      <c r="A10" s="723" t="s">
        <v>606</v>
      </c>
      <c r="B10" s="719">
        <v>2594192728.46</v>
      </c>
      <c r="C10" s="719">
        <v>21695539.5</v>
      </c>
      <c r="D10" s="719">
        <v>133174993.88</v>
      </c>
      <c r="E10" s="719">
        <v>18106572.739999998</v>
      </c>
      <c r="F10" s="719">
        <v>13136000</v>
      </c>
      <c r="G10" s="724">
        <f t="shared" si="0"/>
        <v>2780305834.5799999</v>
      </c>
      <c r="H10" s="720"/>
      <c r="I10" s="720"/>
      <c r="J10" s="102"/>
      <c r="K10" s="102"/>
      <c r="L10" s="102"/>
      <c r="O10" s="45"/>
      <c r="P10" s="45"/>
      <c r="Q10" s="45"/>
      <c r="R10" s="45"/>
      <c r="S10" s="45"/>
      <c r="T10" s="45"/>
      <c r="U10" s="45"/>
      <c r="V10" s="45"/>
      <c r="W10" s="45"/>
      <c r="X10" s="45"/>
    </row>
    <row r="11" spans="1:24" s="84" customFormat="1">
      <c r="A11" s="723" t="s">
        <v>607</v>
      </c>
      <c r="B11" s="719">
        <v>2641820988.0099998</v>
      </c>
      <c r="C11" s="719">
        <v>22127010</v>
      </c>
      <c r="D11" s="719">
        <v>131852721.61</v>
      </c>
      <c r="E11" s="719">
        <v>18117489.039999999</v>
      </c>
      <c r="F11" s="719">
        <v>14004000</v>
      </c>
      <c r="G11" s="724">
        <f t="shared" si="0"/>
        <v>2827922208.6599998</v>
      </c>
      <c r="H11" s="720"/>
      <c r="I11" s="720"/>
      <c r="J11" s="102"/>
      <c r="K11" s="102"/>
      <c r="L11" s="102"/>
      <c r="O11" s="45"/>
      <c r="P11" s="45"/>
      <c r="Q11" s="45"/>
      <c r="R11" s="45"/>
      <c r="S11" s="45"/>
      <c r="T11" s="45"/>
      <c r="U11" s="45"/>
      <c r="V11" s="45"/>
      <c r="W11" s="45"/>
      <c r="X11" s="45"/>
    </row>
    <row r="12" spans="1:24" s="84" customFormat="1">
      <c r="A12" s="723" t="s">
        <v>608</v>
      </c>
      <c r="B12" s="719">
        <v>2631187836.6500001</v>
      </c>
      <c r="C12" s="719">
        <v>21933249</v>
      </c>
      <c r="D12" s="719">
        <v>134291668.47999999</v>
      </c>
      <c r="E12" s="719">
        <v>18358494.530000001</v>
      </c>
      <c r="F12" s="719">
        <v>15014000</v>
      </c>
      <c r="G12" s="724">
        <f t="shared" si="0"/>
        <v>2820785248.6599998</v>
      </c>
      <c r="H12" s="720"/>
      <c r="I12" s="720"/>
      <c r="J12" s="102"/>
      <c r="K12" s="102"/>
      <c r="L12" s="102"/>
      <c r="O12" s="45"/>
      <c r="P12" s="45"/>
      <c r="Q12" s="45"/>
      <c r="R12" s="45"/>
      <c r="S12" s="45"/>
      <c r="T12" s="45"/>
      <c r="U12" s="45"/>
      <c r="V12" s="45"/>
      <c r="W12" s="45"/>
      <c r="X12" s="45"/>
    </row>
    <row r="13" spans="1:24" s="84" customFormat="1">
      <c r="A13" s="723" t="s">
        <v>571</v>
      </c>
      <c r="B13" s="719">
        <v>2657402335.5600004</v>
      </c>
      <c r="C13" s="719">
        <v>22144288.5</v>
      </c>
      <c r="D13" s="719">
        <v>134502961.25999999</v>
      </c>
      <c r="E13" s="719">
        <v>18689133.52</v>
      </c>
      <c r="F13" s="719">
        <v>15616000</v>
      </c>
      <c r="G13" s="724">
        <f t="shared" si="0"/>
        <v>2848354718.8400002</v>
      </c>
      <c r="H13" s="720"/>
      <c r="I13" s="720"/>
      <c r="J13" s="102"/>
      <c r="K13" s="102"/>
      <c r="L13" s="102"/>
      <c r="O13" s="45"/>
      <c r="P13" s="45"/>
      <c r="Q13" s="45"/>
      <c r="R13" s="45"/>
      <c r="S13" s="45"/>
      <c r="T13" s="45"/>
      <c r="U13" s="45"/>
      <c r="V13" s="45"/>
      <c r="W13" s="45"/>
      <c r="X13" s="45"/>
    </row>
    <row r="14" spans="1:24" s="84" customFormat="1">
      <c r="A14" s="723" t="s">
        <v>637</v>
      </c>
      <c r="B14" s="719">
        <v>2675404983.6300001</v>
      </c>
      <c r="C14" s="719">
        <v>22622574</v>
      </c>
      <c r="D14" s="719">
        <v>129397014.25</v>
      </c>
      <c r="E14" s="719">
        <v>18490936.91</v>
      </c>
      <c r="F14" s="719">
        <v>15756000</v>
      </c>
      <c r="G14" s="724">
        <f t="shared" si="0"/>
        <v>2861671508.79</v>
      </c>
      <c r="H14" s="720"/>
      <c r="I14" s="720"/>
      <c r="J14" s="102"/>
      <c r="K14" s="102"/>
      <c r="L14" s="102"/>
      <c r="O14" s="45"/>
      <c r="P14" s="45"/>
      <c r="Q14" s="45"/>
      <c r="R14" s="45"/>
      <c r="S14" s="45"/>
      <c r="T14" s="45"/>
      <c r="U14" s="45"/>
      <c r="V14" s="45"/>
      <c r="W14" s="45"/>
      <c r="X14" s="45"/>
    </row>
    <row r="15" spans="1:24" s="84" customFormat="1">
      <c r="A15" s="723" t="s">
        <v>635</v>
      </c>
      <c r="B15" s="719">
        <v>2695428414.4199996</v>
      </c>
      <c r="C15" s="719">
        <v>22553880</v>
      </c>
      <c r="D15" s="719">
        <v>133971069.88</v>
      </c>
      <c r="E15" s="719">
        <v>19457072.02</v>
      </c>
      <c r="F15" s="719">
        <v>14748000</v>
      </c>
      <c r="G15" s="724">
        <f t="shared" si="0"/>
        <v>2886158436.3199997</v>
      </c>
      <c r="H15" s="720"/>
      <c r="I15" s="720"/>
      <c r="J15" s="102"/>
      <c r="K15" s="102"/>
      <c r="L15" s="102"/>
      <c r="O15" s="45"/>
      <c r="P15" s="45"/>
      <c r="Q15" s="45"/>
      <c r="R15" s="45"/>
      <c r="S15" s="45"/>
      <c r="T15" s="45"/>
      <c r="U15" s="45"/>
      <c r="V15" s="45"/>
      <c r="W15" s="45"/>
      <c r="X15" s="45"/>
    </row>
    <row r="16" spans="1:24" s="84" customFormat="1">
      <c r="A16" s="723" t="s">
        <v>636</v>
      </c>
      <c r="B16" s="719">
        <f>2569916565.94+136173530.91</f>
        <v>2706090096.8499999</v>
      </c>
      <c r="C16" s="719">
        <v>26935035</v>
      </c>
      <c r="D16" s="719">
        <v>128685947.84999999</v>
      </c>
      <c r="E16" s="719">
        <v>18409106.789999999</v>
      </c>
      <c r="F16" s="719">
        <v>14816000</v>
      </c>
      <c r="G16" s="724">
        <f t="shared" si="0"/>
        <v>2894936186.4899998</v>
      </c>
      <c r="H16" s="720"/>
      <c r="I16" s="720"/>
      <c r="J16" s="102"/>
      <c r="K16" s="102"/>
      <c r="L16" s="102"/>
      <c r="O16" s="45"/>
      <c r="P16" s="45"/>
      <c r="Q16" s="45"/>
      <c r="R16" s="45"/>
      <c r="S16" s="45"/>
      <c r="T16" s="45"/>
      <c r="U16" s="45"/>
      <c r="V16" s="45"/>
      <c r="W16" s="45"/>
      <c r="X16" s="45"/>
    </row>
    <row r="17" spans="1:24">
      <c r="A17" s="1095" t="s">
        <v>143</v>
      </c>
      <c r="B17" s="1075">
        <f t="shared" ref="B17:G17" si="1">SUM(B4:B16)</f>
        <v>33873201868.049999</v>
      </c>
      <c r="C17" s="722">
        <f t="shared" si="1"/>
        <v>287843726.69999999</v>
      </c>
      <c r="D17" s="722">
        <f t="shared" si="1"/>
        <v>1684919263.6499996</v>
      </c>
      <c r="E17" s="722">
        <f t="shared" si="1"/>
        <v>234327735.72</v>
      </c>
      <c r="F17" s="722">
        <f t="shared" si="1"/>
        <v>277245320</v>
      </c>
      <c r="G17" s="1469">
        <f t="shared" si="1"/>
        <v>36357537914.120003</v>
      </c>
      <c r="H17" s="720"/>
      <c r="I17" s="720"/>
      <c r="J17" s="24"/>
      <c r="K17" s="24"/>
      <c r="L17" s="24"/>
      <c r="N17"/>
      <c r="O17" s="45"/>
      <c r="P17" s="45"/>
      <c r="Q17" s="45"/>
      <c r="R17" s="45"/>
      <c r="S17" s="45"/>
      <c r="T17" s="45"/>
      <c r="X17" s="45"/>
    </row>
    <row r="18" spans="1:24" s="24" customFormat="1" ht="26.25" customHeight="1">
      <c r="A18" s="1848" t="s">
        <v>554</v>
      </c>
      <c r="B18" s="1849"/>
      <c r="C18" s="1849"/>
      <c r="D18" s="1849"/>
      <c r="E18" s="1849"/>
      <c r="F18" s="1849"/>
      <c r="G18" s="1849"/>
      <c r="H18" s="1849"/>
      <c r="I18" s="1849"/>
      <c r="J18" s="1849"/>
      <c r="K18" s="1849"/>
      <c r="N18" s="87"/>
      <c r="O18" s="87"/>
      <c r="P18" s="87"/>
      <c r="Q18" s="87"/>
      <c r="R18" s="87"/>
      <c r="S18" s="87"/>
      <c r="T18" s="87"/>
      <c r="U18" s="87"/>
      <c r="V18" s="87"/>
      <c r="W18" s="87"/>
    </row>
    <row r="19" spans="1:24" ht="18.75" customHeight="1">
      <c r="A19" s="1849"/>
      <c r="B19" s="1849"/>
      <c r="C19" s="1849"/>
      <c r="D19" s="1849"/>
      <c r="E19" s="1849"/>
      <c r="F19" s="1849"/>
      <c r="G19" s="1849"/>
      <c r="H19" s="1849"/>
      <c r="I19" s="1849"/>
      <c r="J19" s="1849"/>
      <c r="K19" s="1849"/>
      <c r="N19" s="45"/>
      <c r="O19" s="45"/>
      <c r="P19" s="45"/>
      <c r="Q19" s="45"/>
      <c r="R19" s="45"/>
      <c r="S19" s="45"/>
      <c r="T19" s="45"/>
    </row>
    <row r="20" spans="1:24">
      <c r="N20" s="45"/>
      <c r="O20" s="45"/>
      <c r="P20" s="45"/>
      <c r="Q20" s="45"/>
      <c r="R20" s="45"/>
      <c r="S20" s="45"/>
      <c r="T20" s="45"/>
    </row>
    <row r="21" spans="1:24">
      <c r="N21" s="45"/>
      <c r="O21" s="45"/>
      <c r="P21" s="45"/>
      <c r="Q21" s="45"/>
      <c r="R21" s="45"/>
      <c r="S21" s="45"/>
      <c r="T21" s="45"/>
    </row>
    <row r="22" spans="1:24">
      <c r="N22" s="45"/>
      <c r="O22" s="45"/>
      <c r="P22" s="45"/>
      <c r="Q22" s="45"/>
      <c r="R22" s="45"/>
      <c r="S22" s="45"/>
      <c r="T22" s="45"/>
    </row>
    <row r="23" spans="1:24">
      <c r="N23" s="45"/>
      <c r="O23" s="45"/>
      <c r="P23" s="45"/>
      <c r="Q23" s="45"/>
      <c r="R23" s="45"/>
      <c r="S23" s="45"/>
      <c r="T23" s="45"/>
    </row>
    <row r="24" spans="1:24">
      <c r="N24" s="45"/>
      <c r="O24" s="45"/>
      <c r="P24" s="45"/>
      <c r="Q24" s="45"/>
      <c r="R24" s="45"/>
      <c r="S24" s="45"/>
      <c r="T24" s="45"/>
    </row>
    <row r="25" spans="1:24">
      <c r="N25" s="45"/>
      <c r="O25" s="45"/>
      <c r="P25" s="45"/>
      <c r="Q25" s="45"/>
      <c r="R25" s="45"/>
      <c r="S25" s="45"/>
      <c r="T25" s="45"/>
    </row>
    <row r="26" spans="1:24">
      <c r="N26" s="45"/>
      <c r="O26" s="45"/>
      <c r="P26" s="45"/>
      <c r="Q26" s="45"/>
      <c r="R26" s="45"/>
      <c r="S26" s="45"/>
      <c r="T26" s="45"/>
    </row>
    <row r="27" spans="1:24">
      <c r="N27" s="45"/>
      <c r="O27" s="45"/>
      <c r="P27" s="45"/>
      <c r="Q27" s="45"/>
      <c r="R27" s="45"/>
      <c r="S27" s="45"/>
      <c r="T27" s="45"/>
    </row>
    <row r="28" spans="1:24">
      <c r="N28" s="45"/>
      <c r="O28" s="45"/>
      <c r="P28" s="45"/>
      <c r="Q28" s="45"/>
      <c r="R28" s="45"/>
      <c r="S28" s="45"/>
      <c r="T28" s="45"/>
    </row>
    <row r="29" spans="1:24">
      <c r="N29" s="45"/>
      <c r="O29" s="45"/>
      <c r="P29" s="45"/>
      <c r="Q29" s="45"/>
      <c r="R29" s="45"/>
      <c r="S29" s="45"/>
      <c r="T29" s="45"/>
    </row>
    <row r="30" spans="1:24">
      <c r="N30" s="45"/>
      <c r="O30" s="45"/>
      <c r="P30" s="45"/>
      <c r="Q30" s="45"/>
      <c r="R30" s="45"/>
      <c r="S30" s="45"/>
      <c r="T30" s="45"/>
    </row>
    <row r="31" spans="1:24">
      <c r="N31" s="45"/>
      <c r="O31" s="45"/>
      <c r="P31" s="45"/>
      <c r="Q31" s="45"/>
      <c r="R31" s="45"/>
      <c r="S31" s="45"/>
      <c r="T31" s="45"/>
    </row>
    <row r="32" spans="1:24">
      <c r="N32" s="45"/>
      <c r="O32" s="45"/>
      <c r="P32" s="45"/>
      <c r="Q32" s="45"/>
      <c r="R32" s="45"/>
      <c r="S32" s="45"/>
      <c r="T32" s="45"/>
    </row>
    <row r="33" spans="14:20">
      <c r="N33" s="45"/>
      <c r="O33" s="45"/>
      <c r="P33" s="45"/>
      <c r="Q33" s="45"/>
      <c r="R33" s="45"/>
      <c r="S33" s="45"/>
      <c r="T33" s="45"/>
    </row>
    <row r="34" spans="14:20">
      <c r="N34" s="45"/>
      <c r="O34" s="45"/>
      <c r="P34" s="45"/>
      <c r="Q34" s="45"/>
      <c r="R34" s="45"/>
      <c r="S34" s="45"/>
      <c r="T34" s="45"/>
    </row>
    <row r="35" spans="14:20">
      <c r="N35" s="45"/>
      <c r="O35" s="45"/>
      <c r="P35" s="45"/>
      <c r="Q35" s="45"/>
      <c r="R35" s="45"/>
      <c r="S35" s="45"/>
      <c r="T35" s="45"/>
    </row>
    <row r="36" spans="14:20">
      <c r="N36" s="45"/>
      <c r="O36" s="45"/>
      <c r="P36" s="45"/>
      <c r="Q36" s="45"/>
      <c r="R36" s="45"/>
      <c r="S36" s="45"/>
      <c r="T36" s="45"/>
    </row>
    <row r="37" spans="14:20">
      <c r="N37" s="45"/>
      <c r="O37" s="45"/>
      <c r="P37" s="45"/>
      <c r="Q37" s="45"/>
      <c r="R37" s="45"/>
      <c r="S37" s="45"/>
      <c r="T37" s="45"/>
    </row>
    <row r="38" spans="14:20">
      <c r="N38" s="45"/>
      <c r="O38" s="45"/>
      <c r="P38" s="45"/>
      <c r="Q38" s="45"/>
      <c r="R38" s="45"/>
      <c r="S38" s="45"/>
      <c r="T38" s="45"/>
    </row>
    <row r="39" spans="14:20">
      <c r="N39" s="45"/>
      <c r="O39" s="45"/>
      <c r="P39" s="45"/>
      <c r="Q39" s="45"/>
      <c r="R39" s="45"/>
      <c r="S39" s="45"/>
      <c r="T39" s="45"/>
    </row>
    <row r="40" spans="14:20">
      <c r="N40" s="45"/>
      <c r="O40" s="45"/>
      <c r="P40" s="45"/>
      <c r="Q40" s="45"/>
      <c r="R40" s="45"/>
      <c r="S40" s="45"/>
      <c r="T40" s="45"/>
    </row>
    <row r="41" spans="14:20">
      <c r="N41" s="45"/>
      <c r="O41" s="45"/>
      <c r="P41" s="45"/>
      <c r="Q41" s="45"/>
      <c r="R41" s="45"/>
      <c r="S41" s="45"/>
      <c r="T41" s="45"/>
    </row>
    <row r="42" spans="14:20">
      <c r="N42" s="45"/>
      <c r="O42" s="45"/>
      <c r="P42" s="45"/>
      <c r="Q42" s="45"/>
      <c r="R42" s="45"/>
      <c r="S42" s="45"/>
      <c r="T42" s="45"/>
    </row>
    <row r="43" spans="14:20">
      <c r="N43" s="45"/>
      <c r="O43" s="45"/>
      <c r="P43" s="45"/>
      <c r="Q43" s="45"/>
      <c r="R43" s="45"/>
      <c r="S43" s="45"/>
      <c r="T43" s="45"/>
    </row>
    <row r="44" spans="14:20">
      <c r="N44" s="45"/>
      <c r="O44" s="45"/>
      <c r="P44" s="45"/>
      <c r="Q44" s="45"/>
      <c r="R44" s="45"/>
      <c r="S44" s="45"/>
      <c r="T44" s="45"/>
    </row>
    <row r="45" spans="14:20">
      <c r="N45" s="45"/>
      <c r="O45" s="45"/>
      <c r="P45" s="45"/>
      <c r="Q45" s="45"/>
      <c r="R45" s="45"/>
      <c r="S45" s="45"/>
      <c r="T45" s="45"/>
    </row>
    <row r="46" spans="14:20">
      <c r="N46" s="45"/>
      <c r="O46" s="45"/>
      <c r="P46" s="45"/>
      <c r="Q46" s="45"/>
      <c r="R46" s="45"/>
      <c r="S46" s="45"/>
      <c r="T46" s="45"/>
    </row>
    <row r="47" spans="14:20" ht="16.5" customHeight="1">
      <c r="N47" s="45"/>
      <c r="O47" s="45"/>
      <c r="P47" s="45"/>
      <c r="Q47" s="45"/>
      <c r="R47" s="45"/>
      <c r="S47" s="45"/>
      <c r="T47" s="45"/>
    </row>
    <row r="48" spans="14:20" hidden="1">
      <c r="N48" s="45"/>
      <c r="O48" s="45"/>
      <c r="P48" s="45"/>
      <c r="Q48" s="45"/>
      <c r="R48" s="45"/>
      <c r="S48" s="45"/>
      <c r="T48" s="45"/>
    </row>
    <row r="49" spans="12:20" hidden="1">
      <c r="N49" s="45"/>
      <c r="O49" s="45"/>
      <c r="P49" s="45"/>
      <c r="Q49" s="45"/>
      <c r="R49" s="45"/>
      <c r="S49" s="45"/>
      <c r="T49" s="45"/>
    </row>
    <row r="50" spans="12:20">
      <c r="N50" s="45"/>
      <c r="O50" s="45"/>
      <c r="P50" s="45"/>
      <c r="Q50" s="45"/>
      <c r="R50" s="45"/>
      <c r="S50" s="45"/>
      <c r="T50" s="45"/>
    </row>
    <row r="51" spans="12:20">
      <c r="L51" s="84" t="s">
        <v>182</v>
      </c>
      <c r="N51" s="45"/>
      <c r="O51" s="45"/>
      <c r="P51" s="45"/>
      <c r="Q51" s="45"/>
      <c r="R51" s="45"/>
      <c r="S51" s="45"/>
      <c r="T51" s="45"/>
    </row>
    <row r="52" spans="12:20">
      <c r="N52" s="45"/>
      <c r="O52" s="45"/>
      <c r="P52" s="45"/>
      <c r="Q52" s="45"/>
      <c r="R52" s="45"/>
      <c r="S52" s="45"/>
      <c r="T52" s="45"/>
    </row>
    <row r="53" spans="12:20">
      <c r="N53" s="45"/>
      <c r="O53" s="45"/>
      <c r="P53" s="45"/>
      <c r="Q53" s="45"/>
      <c r="R53" s="45"/>
      <c r="S53" s="45"/>
      <c r="T53" s="45"/>
    </row>
    <row r="54" spans="12:20">
      <c r="N54" s="45"/>
      <c r="O54" s="45"/>
      <c r="P54" s="45"/>
      <c r="Q54" s="45"/>
      <c r="R54" s="45"/>
      <c r="S54" s="45"/>
      <c r="T54" s="45"/>
    </row>
    <row r="55" spans="12:20">
      <c r="N55" s="45"/>
      <c r="O55" s="45"/>
      <c r="P55" s="45"/>
      <c r="Q55" s="45"/>
      <c r="R55" s="45"/>
      <c r="S55" s="45"/>
      <c r="T55" s="45"/>
    </row>
    <row r="56" spans="12:20">
      <c r="N56" s="45"/>
      <c r="O56" s="45"/>
      <c r="P56" s="45"/>
      <c r="Q56" s="45"/>
      <c r="R56" s="45"/>
      <c r="S56" s="45"/>
      <c r="T56" s="45"/>
    </row>
    <row r="57" spans="12:20">
      <c r="N57" s="45"/>
      <c r="O57" s="45"/>
      <c r="P57" s="45"/>
      <c r="Q57" s="45"/>
      <c r="R57" s="45"/>
      <c r="S57" s="45"/>
      <c r="T57" s="45"/>
    </row>
    <row r="58" spans="12:20">
      <c r="N58" s="45"/>
      <c r="O58" s="45"/>
      <c r="P58" s="45"/>
      <c r="Q58" s="45"/>
      <c r="R58" s="45"/>
      <c r="S58" s="45"/>
      <c r="T58" s="45"/>
    </row>
    <row r="59" spans="12:20">
      <c r="N59" s="45"/>
      <c r="O59" s="45"/>
      <c r="P59" s="45"/>
      <c r="Q59" s="45"/>
      <c r="R59" s="45"/>
      <c r="S59" s="45"/>
      <c r="T59" s="45"/>
    </row>
    <row r="60" spans="12:20">
      <c r="N60" s="45"/>
      <c r="O60" s="45"/>
      <c r="P60" s="45"/>
      <c r="Q60" s="45"/>
      <c r="R60" s="45"/>
      <c r="S60" s="45"/>
      <c r="T60" s="45"/>
    </row>
    <row r="61" spans="12:20">
      <c r="N61" s="45"/>
      <c r="O61" s="45"/>
      <c r="P61" s="45"/>
      <c r="Q61" s="45"/>
      <c r="R61" s="45"/>
      <c r="S61" s="45"/>
      <c r="T61" s="45"/>
    </row>
    <row r="62" spans="12:20">
      <c r="N62" s="45"/>
      <c r="O62" s="45"/>
      <c r="P62" s="45"/>
      <c r="Q62" s="45"/>
      <c r="R62" s="45"/>
      <c r="S62" s="45"/>
      <c r="T62" s="45"/>
    </row>
    <row r="63" spans="12:20">
      <c r="N63" s="45"/>
      <c r="O63" s="45"/>
      <c r="P63" s="45"/>
      <c r="Q63" s="45"/>
      <c r="R63" s="45"/>
      <c r="S63" s="45"/>
      <c r="T63" s="45"/>
    </row>
    <row r="64" spans="12:20">
      <c r="N64" s="45"/>
      <c r="O64" s="45"/>
      <c r="P64" s="45"/>
      <c r="Q64" s="45"/>
      <c r="R64" s="45"/>
      <c r="S64" s="45"/>
      <c r="T64" s="45"/>
    </row>
    <row r="65" spans="14:20">
      <c r="N65" s="45"/>
      <c r="O65" s="45"/>
      <c r="P65" s="45"/>
      <c r="Q65" s="45"/>
      <c r="R65" s="45"/>
      <c r="S65" s="45"/>
      <c r="T65" s="45"/>
    </row>
    <row r="66" spans="14:20">
      <c r="N66" s="45"/>
      <c r="O66" s="45"/>
      <c r="P66" s="45"/>
      <c r="Q66" s="45"/>
      <c r="R66" s="45"/>
      <c r="S66" s="45"/>
      <c r="T66" s="45"/>
    </row>
    <row r="67" spans="14:20">
      <c r="N67" s="45"/>
      <c r="O67" s="45"/>
      <c r="P67" s="45"/>
      <c r="Q67" s="45"/>
      <c r="R67" s="45"/>
      <c r="S67" s="45"/>
      <c r="T67" s="45"/>
    </row>
    <row r="68" spans="14:20">
      <c r="N68" s="45"/>
      <c r="O68" s="45"/>
      <c r="P68" s="45"/>
      <c r="Q68" s="45"/>
      <c r="R68" s="45"/>
      <c r="S68" s="45"/>
      <c r="T68" s="45"/>
    </row>
    <row r="69" spans="14:20">
      <c r="N69" s="45"/>
      <c r="O69" s="45"/>
      <c r="P69" s="45"/>
      <c r="Q69" s="45"/>
      <c r="R69" s="45"/>
      <c r="S69" s="45"/>
      <c r="T69" s="45"/>
    </row>
    <row r="70" spans="14:20">
      <c r="N70" s="45"/>
      <c r="O70" s="45"/>
      <c r="P70" s="45"/>
      <c r="Q70" s="45"/>
      <c r="R70" s="45"/>
      <c r="S70" s="45"/>
      <c r="T70" s="45"/>
    </row>
    <row r="71" spans="14:20">
      <c r="N71" s="45"/>
      <c r="O71" s="45"/>
      <c r="P71" s="45"/>
      <c r="Q71" s="45"/>
      <c r="R71" s="45"/>
      <c r="S71" s="45"/>
      <c r="T71" s="45"/>
    </row>
    <row r="72" spans="14:20">
      <c r="N72" s="45"/>
      <c r="O72" s="45"/>
      <c r="P72" s="45"/>
      <c r="Q72" s="45"/>
      <c r="R72" s="45"/>
      <c r="S72" s="45"/>
      <c r="T72" s="45"/>
    </row>
    <row r="73" spans="14:20">
      <c r="N73" s="45"/>
      <c r="O73" s="45"/>
      <c r="P73" s="45"/>
      <c r="Q73" s="45"/>
      <c r="R73" s="45"/>
      <c r="S73" s="45"/>
      <c r="T73" s="45"/>
    </row>
    <row r="74" spans="14:20">
      <c r="N74" s="45"/>
      <c r="O74" s="45"/>
      <c r="P74" s="45"/>
      <c r="Q74" s="45"/>
      <c r="R74" s="45"/>
      <c r="S74" s="45"/>
      <c r="T74" s="45"/>
    </row>
    <row r="75" spans="14:20">
      <c r="N75" s="45"/>
      <c r="O75" s="45"/>
      <c r="P75" s="45"/>
      <c r="Q75" s="45"/>
      <c r="R75" s="45"/>
      <c r="S75" s="45"/>
      <c r="T75" s="45"/>
    </row>
    <row r="76" spans="14:20">
      <c r="N76" s="45"/>
      <c r="O76" s="45"/>
      <c r="P76" s="45"/>
      <c r="Q76" s="45"/>
      <c r="R76" s="45"/>
      <c r="S76" s="45"/>
      <c r="T76" s="45"/>
    </row>
    <row r="77" spans="14:20">
      <c r="N77" s="45"/>
      <c r="O77" s="45"/>
      <c r="P77" s="45"/>
      <c r="Q77" s="45"/>
      <c r="R77" s="45"/>
      <c r="S77" s="45"/>
      <c r="T77" s="45"/>
    </row>
    <row r="78" spans="14:20">
      <c r="N78" s="45"/>
      <c r="O78" s="45"/>
      <c r="P78" s="45"/>
      <c r="Q78" s="45"/>
      <c r="R78" s="45"/>
      <c r="S78" s="45"/>
      <c r="T78" s="45"/>
    </row>
    <row r="79" spans="14:20">
      <c r="N79" s="45"/>
      <c r="O79" s="45"/>
      <c r="P79" s="45"/>
      <c r="Q79" s="45"/>
      <c r="R79" s="45"/>
      <c r="S79" s="45"/>
      <c r="T79" s="45"/>
    </row>
    <row r="80" spans="14:20">
      <c r="N80" s="45"/>
      <c r="O80" s="45"/>
      <c r="P80" s="45"/>
      <c r="Q80" s="45"/>
      <c r="R80" s="45"/>
      <c r="S80" s="45"/>
      <c r="T80" s="45"/>
    </row>
    <row r="81" spans="14:20">
      <c r="N81" s="45"/>
      <c r="O81" s="45"/>
      <c r="P81" s="45"/>
      <c r="Q81" s="45"/>
      <c r="R81" s="45"/>
      <c r="S81" s="45"/>
      <c r="T81" s="45"/>
    </row>
    <row r="82" spans="14:20">
      <c r="N82" s="45"/>
      <c r="O82" s="45"/>
      <c r="P82" s="45"/>
      <c r="Q82" s="45"/>
      <c r="R82" s="45"/>
      <c r="S82" s="45"/>
      <c r="T82" s="45"/>
    </row>
    <row r="83" spans="14:20">
      <c r="N83" s="45"/>
      <c r="O83" s="45"/>
      <c r="P83" s="45"/>
      <c r="Q83" s="45"/>
      <c r="R83" s="45"/>
      <c r="S83" s="45"/>
      <c r="T83" s="45"/>
    </row>
    <row r="84" spans="14:20">
      <c r="N84" s="45"/>
      <c r="O84" s="45"/>
      <c r="P84" s="45"/>
      <c r="Q84" s="45"/>
      <c r="R84" s="45"/>
      <c r="S84" s="45"/>
      <c r="T84" s="45"/>
    </row>
    <row r="85" spans="14:20">
      <c r="N85" s="45"/>
      <c r="O85" s="45"/>
      <c r="P85" s="45"/>
      <c r="Q85" s="45"/>
      <c r="R85" s="45"/>
      <c r="S85" s="45"/>
      <c r="T85" s="45"/>
    </row>
    <row r="86" spans="14:20">
      <c r="N86" s="45"/>
      <c r="O86" s="45"/>
      <c r="P86" s="45"/>
      <c r="Q86" s="45"/>
      <c r="R86" s="45"/>
      <c r="S86" s="45"/>
      <c r="T86" s="45"/>
    </row>
    <row r="87" spans="14:20">
      <c r="N87" s="45"/>
      <c r="O87" s="45"/>
      <c r="P87" s="45"/>
      <c r="Q87" s="45"/>
      <c r="R87" s="45"/>
      <c r="S87" s="45"/>
      <c r="T87" s="45"/>
    </row>
    <row r="88" spans="14:20">
      <c r="N88" s="45"/>
      <c r="O88" s="45"/>
      <c r="P88" s="45"/>
      <c r="Q88" s="45"/>
      <c r="R88" s="45"/>
      <c r="S88" s="45"/>
      <c r="T88" s="45"/>
    </row>
    <row r="89" spans="14:20">
      <c r="N89" s="45"/>
      <c r="O89" s="45"/>
      <c r="P89" s="45"/>
      <c r="Q89" s="45"/>
      <c r="R89" s="45"/>
      <c r="S89" s="45"/>
      <c r="T89" s="45"/>
    </row>
    <row r="90" spans="14:20">
      <c r="N90" s="45"/>
      <c r="O90" s="45"/>
      <c r="P90" s="45"/>
      <c r="Q90" s="45"/>
      <c r="R90" s="45"/>
      <c r="S90" s="45"/>
      <c r="T90" s="45"/>
    </row>
    <row r="91" spans="14:20">
      <c r="N91" s="45"/>
      <c r="O91" s="45"/>
      <c r="P91" s="45"/>
      <c r="Q91" s="45"/>
      <c r="R91" s="45"/>
      <c r="S91" s="45"/>
      <c r="T91" s="45"/>
    </row>
    <row r="92" spans="14:20">
      <c r="N92" s="45"/>
      <c r="O92" s="45"/>
      <c r="P92" s="45"/>
      <c r="Q92" s="45"/>
      <c r="R92" s="45"/>
      <c r="S92" s="45"/>
      <c r="T92" s="45"/>
    </row>
    <row r="93" spans="14:20">
      <c r="N93" s="45"/>
      <c r="O93" s="45"/>
      <c r="P93" s="45"/>
      <c r="Q93" s="45"/>
      <c r="R93" s="45"/>
      <c r="S93" s="45"/>
      <c r="T93" s="45"/>
    </row>
    <row r="94" spans="14:20">
      <c r="N94" s="45"/>
      <c r="O94" s="45"/>
      <c r="P94" s="45"/>
      <c r="Q94" s="45"/>
      <c r="R94" s="45"/>
      <c r="S94" s="45"/>
      <c r="T94" s="45"/>
    </row>
    <row r="95" spans="14:20">
      <c r="N95" s="45"/>
      <c r="O95" s="45"/>
      <c r="P95" s="45"/>
      <c r="Q95" s="45"/>
      <c r="R95" s="45"/>
      <c r="S95" s="45"/>
      <c r="T95" s="45"/>
    </row>
    <row r="96" spans="14:20">
      <c r="N96" s="45"/>
      <c r="O96" s="45"/>
      <c r="P96" s="45"/>
      <c r="Q96" s="45"/>
      <c r="R96" s="45"/>
      <c r="S96" s="45"/>
      <c r="T96" s="45"/>
    </row>
    <row r="97" spans="14:20">
      <c r="N97" s="45"/>
      <c r="O97" s="45"/>
      <c r="P97" s="45"/>
      <c r="Q97" s="45"/>
      <c r="R97" s="45"/>
      <c r="S97" s="45"/>
      <c r="T97" s="45"/>
    </row>
    <row r="98" spans="14:20">
      <c r="N98" s="45"/>
      <c r="O98" s="45"/>
      <c r="P98" s="45"/>
      <c r="Q98" s="45"/>
      <c r="R98" s="45"/>
      <c r="S98" s="45"/>
      <c r="T98" s="45"/>
    </row>
    <row r="99" spans="14:20">
      <c r="N99" s="45"/>
      <c r="O99" s="45"/>
      <c r="P99" s="45"/>
      <c r="Q99" s="45"/>
      <c r="R99" s="45"/>
      <c r="S99" s="45"/>
      <c r="T99" s="45"/>
    </row>
    <row r="100" spans="14:20">
      <c r="N100" s="45"/>
      <c r="O100" s="45"/>
      <c r="P100" s="45"/>
      <c r="Q100" s="45"/>
      <c r="R100" s="45"/>
      <c r="S100" s="45"/>
      <c r="T100" s="45"/>
    </row>
    <row r="101" spans="14:20">
      <c r="N101" s="45"/>
      <c r="O101" s="45"/>
      <c r="P101" s="45"/>
      <c r="Q101" s="45"/>
      <c r="R101" s="45"/>
      <c r="S101" s="45"/>
      <c r="T101" s="45"/>
    </row>
    <row r="102" spans="14:20">
      <c r="N102" s="45"/>
      <c r="O102" s="45"/>
      <c r="P102" s="45"/>
      <c r="Q102" s="45"/>
      <c r="R102" s="45"/>
      <c r="S102" s="45"/>
      <c r="T102" s="45"/>
    </row>
    <row r="103" spans="14:20">
      <c r="N103" s="45"/>
      <c r="O103" s="45"/>
      <c r="P103" s="45"/>
      <c r="Q103" s="45"/>
      <c r="R103" s="45"/>
      <c r="S103" s="45"/>
      <c r="T103" s="45"/>
    </row>
    <row r="104" spans="14:20">
      <c r="N104" s="45"/>
      <c r="O104" s="45"/>
      <c r="P104" s="45"/>
      <c r="Q104" s="45"/>
      <c r="R104" s="45"/>
      <c r="S104" s="45"/>
      <c r="T104" s="45"/>
    </row>
    <row r="105" spans="14:20">
      <c r="N105" s="45"/>
      <c r="O105" s="45"/>
      <c r="P105" s="45"/>
      <c r="Q105" s="45"/>
      <c r="R105" s="45"/>
      <c r="S105" s="45"/>
      <c r="T105" s="45"/>
    </row>
    <row r="106" spans="14:20">
      <c r="N106" s="45"/>
      <c r="O106" s="45"/>
      <c r="P106" s="45"/>
      <c r="Q106" s="45"/>
      <c r="R106" s="45"/>
      <c r="S106" s="45"/>
      <c r="T106" s="45"/>
    </row>
    <row r="107" spans="14:20">
      <c r="N107" s="45"/>
      <c r="O107" s="45"/>
      <c r="P107" s="45"/>
      <c r="Q107" s="45"/>
      <c r="R107" s="45"/>
      <c r="S107" s="45"/>
      <c r="T107" s="45"/>
    </row>
    <row r="108" spans="14:20">
      <c r="N108" s="45"/>
      <c r="O108" s="45"/>
      <c r="P108" s="45"/>
      <c r="Q108" s="45"/>
      <c r="R108" s="45"/>
      <c r="S108" s="45"/>
      <c r="T108" s="45"/>
    </row>
    <row r="109" spans="14:20">
      <c r="N109" s="45"/>
      <c r="O109" s="45"/>
      <c r="P109" s="45"/>
      <c r="Q109" s="45"/>
      <c r="R109" s="45"/>
      <c r="S109" s="45"/>
      <c r="T109" s="45"/>
    </row>
    <row r="110" spans="14:20">
      <c r="N110" s="45"/>
      <c r="O110" s="45"/>
      <c r="P110" s="45"/>
      <c r="Q110" s="45"/>
      <c r="R110" s="45"/>
      <c r="S110" s="45"/>
      <c r="T110" s="45"/>
    </row>
    <row r="111" spans="14:20">
      <c r="N111" s="45"/>
      <c r="O111" s="45"/>
      <c r="P111" s="45"/>
      <c r="Q111" s="45"/>
      <c r="R111" s="45"/>
      <c r="S111" s="45"/>
      <c r="T111" s="45"/>
    </row>
    <row r="112" spans="14:20">
      <c r="N112" s="45"/>
      <c r="O112" s="45"/>
      <c r="P112" s="45"/>
      <c r="Q112" s="45"/>
      <c r="R112" s="45"/>
      <c r="S112" s="45"/>
      <c r="T112" s="45"/>
    </row>
    <row r="113" spans="14:20">
      <c r="N113" s="45"/>
      <c r="O113" s="45"/>
      <c r="P113" s="45"/>
      <c r="Q113" s="45"/>
      <c r="R113" s="45"/>
      <c r="S113" s="45"/>
      <c r="T113" s="45"/>
    </row>
    <row r="114" spans="14:20">
      <c r="N114" s="45"/>
      <c r="O114" s="45"/>
      <c r="P114" s="45"/>
      <c r="Q114" s="45"/>
      <c r="R114" s="45"/>
      <c r="S114" s="45"/>
      <c r="T114" s="45"/>
    </row>
    <row r="115" spans="14:20">
      <c r="N115" s="45"/>
      <c r="O115" s="45"/>
      <c r="P115" s="45"/>
      <c r="Q115" s="45"/>
      <c r="R115" s="45"/>
      <c r="S115" s="45"/>
      <c r="T115" s="45"/>
    </row>
    <row r="116" spans="14:20">
      <c r="N116" s="45"/>
      <c r="O116" s="45"/>
      <c r="P116" s="45"/>
      <c r="Q116" s="45"/>
      <c r="R116" s="45"/>
      <c r="S116" s="45"/>
      <c r="T116" s="45"/>
    </row>
    <row r="117" spans="14:20">
      <c r="N117" s="45"/>
      <c r="O117" s="45"/>
      <c r="P117" s="45"/>
      <c r="Q117" s="45"/>
      <c r="R117" s="45"/>
      <c r="S117" s="45"/>
      <c r="T117" s="45"/>
    </row>
    <row r="118" spans="14:20">
      <c r="N118" s="45"/>
      <c r="O118" s="45"/>
      <c r="P118" s="45"/>
      <c r="Q118" s="45"/>
      <c r="R118" s="45"/>
      <c r="S118" s="45"/>
      <c r="T118" s="45"/>
    </row>
    <row r="119" spans="14:20">
      <c r="N119" s="45"/>
      <c r="O119" s="45"/>
      <c r="P119" s="45"/>
      <c r="Q119" s="45"/>
      <c r="R119" s="45"/>
      <c r="S119" s="45"/>
      <c r="T119" s="45"/>
    </row>
    <row r="120" spans="14:20">
      <c r="N120" s="45"/>
      <c r="O120" s="45"/>
      <c r="P120" s="45"/>
      <c r="Q120" s="45"/>
      <c r="R120" s="45"/>
      <c r="S120" s="45"/>
      <c r="T120" s="45"/>
    </row>
    <row r="121" spans="14:20">
      <c r="N121" s="45"/>
      <c r="O121" s="45"/>
      <c r="P121" s="45"/>
      <c r="Q121" s="45"/>
      <c r="R121" s="45"/>
      <c r="S121" s="45"/>
      <c r="T121" s="45"/>
    </row>
    <row r="122" spans="14:20">
      <c r="N122" s="45"/>
      <c r="O122" s="45"/>
      <c r="P122" s="45"/>
      <c r="Q122" s="45"/>
      <c r="R122" s="45"/>
      <c r="S122" s="45"/>
      <c r="T122" s="45"/>
    </row>
    <row r="123" spans="14:20">
      <c r="N123" s="45"/>
      <c r="O123" s="45"/>
      <c r="P123" s="45"/>
      <c r="Q123" s="45"/>
      <c r="R123" s="45"/>
      <c r="S123" s="45"/>
      <c r="T123" s="45"/>
    </row>
    <row r="124" spans="14:20">
      <c r="N124" s="45"/>
      <c r="O124" s="45"/>
      <c r="P124" s="45"/>
      <c r="Q124" s="45"/>
      <c r="R124" s="45"/>
      <c r="S124" s="45"/>
      <c r="T124" s="45"/>
    </row>
    <row r="125" spans="14:20">
      <c r="N125" s="45"/>
      <c r="O125" s="45"/>
      <c r="P125" s="45"/>
      <c r="Q125" s="45"/>
      <c r="R125" s="45"/>
      <c r="S125" s="45"/>
      <c r="T125" s="45"/>
    </row>
    <row r="126" spans="14:20">
      <c r="N126" s="45"/>
      <c r="O126" s="45"/>
      <c r="P126" s="45"/>
      <c r="Q126" s="45"/>
      <c r="R126" s="45"/>
      <c r="S126" s="45"/>
      <c r="T126" s="45"/>
    </row>
    <row r="127" spans="14:20">
      <c r="N127" s="45"/>
      <c r="O127" s="45"/>
      <c r="P127" s="45"/>
      <c r="Q127" s="45"/>
      <c r="R127" s="45"/>
      <c r="S127" s="45"/>
      <c r="T127" s="45"/>
    </row>
    <row r="128" spans="14:20">
      <c r="N128" s="45"/>
      <c r="O128" s="45"/>
      <c r="P128" s="45"/>
      <c r="Q128" s="45"/>
      <c r="R128" s="45"/>
      <c r="S128" s="45"/>
      <c r="T128" s="45"/>
    </row>
    <row r="129" spans="14:20">
      <c r="N129" s="45"/>
      <c r="O129" s="45"/>
      <c r="P129" s="45"/>
      <c r="Q129" s="45"/>
      <c r="R129" s="45"/>
      <c r="S129" s="45"/>
      <c r="T129" s="45"/>
    </row>
    <row r="130" spans="14:20">
      <c r="N130" s="45"/>
      <c r="O130" s="45"/>
      <c r="P130" s="45"/>
      <c r="Q130" s="45"/>
      <c r="R130" s="45"/>
      <c r="S130" s="45"/>
      <c r="T130" s="45"/>
    </row>
    <row r="131" spans="14:20">
      <c r="N131" s="45"/>
      <c r="O131" s="45"/>
      <c r="P131" s="45"/>
      <c r="Q131" s="45"/>
      <c r="R131" s="45"/>
      <c r="S131" s="45"/>
      <c r="T131" s="45"/>
    </row>
    <row r="132" spans="14:20">
      <c r="N132" s="45"/>
      <c r="O132" s="45"/>
      <c r="P132" s="45"/>
      <c r="Q132" s="45"/>
      <c r="R132" s="45"/>
      <c r="S132" s="45"/>
      <c r="T132" s="45"/>
    </row>
    <row r="133" spans="14:20">
      <c r="N133" s="45"/>
      <c r="O133" s="45"/>
      <c r="P133" s="45"/>
      <c r="Q133" s="45"/>
      <c r="R133" s="45"/>
      <c r="S133" s="45"/>
      <c r="T133" s="45"/>
    </row>
    <row r="134" spans="14:20">
      <c r="N134" s="45"/>
      <c r="O134" s="45"/>
      <c r="P134" s="45"/>
      <c r="Q134" s="45"/>
      <c r="R134" s="45"/>
      <c r="S134" s="45"/>
      <c r="T134" s="45"/>
    </row>
    <row r="135" spans="14:20">
      <c r="N135" s="45"/>
      <c r="O135" s="45"/>
      <c r="P135" s="45"/>
      <c r="Q135" s="45"/>
      <c r="R135" s="45"/>
      <c r="S135" s="45"/>
      <c r="T135" s="45"/>
    </row>
    <row r="136" spans="14:20">
      <c r="N136" s="45"/>
      <c r="O136" s="45"/>
      <c r="P136" s="45"/>
      <c r="Q136" s="45"/>
      <c r="R136" s="45"/>
      <c r="S136" s="45"/>
      <c r="T136" s="45"/>
    </row>
    <row r="137" spans="14:20">
      <c r="N137" s="45"/>
      <c r="O137" s="45"/>
      <c r="P137" s="45"/>
      <c r="Q137" s="45"/>
      <c r="R137" s="45"/>
      <c r="S137" s="45"/>
      <c r="T137" s="45"/>
    </row>
    <row r="138" spans="14:20">
      <c r="N138" s="45"/>
      <c r="O138" s="45"/>
      <c r="P138" s="45"/>
      <c r="Q138" s="45"/>
      <c r="R138" s="45"/>
      <c r="S138" s="45"/>
      <c r="T138" s="45"/>
    </row>
    <row r="139" spans="14:20">
      <c r="N139" s="45"/>
      <c r="O139" s="45"/>
      <c r="P139" s="45"/>
      <c r="Q139" s="45"/>
      <c r="R139" s="45"/>
      <c r="S139" s="45"/>
      <c r="T139" s="45"/>
    </row>
    <row r="140" spans="14:20">
      <c r="N140" s="45"/>
      <c r="O140" s="45"/>
      <c r="P140" s="45"/>
      <c r="Q140" s="45"/>
      <c r="R140" s="45"/>
      <c r="S140" s="45"/>
      <c r="T140" s="45"/>
    </row>
    <row r="141" spans="14:20">
      <c r="N141" s="45"/>
      <c r="O141" s="45"/>
      <c r="P141" s="45"/>
      <c r="Q141" s="45"/>
      <c r="R141" s="45"/>
      <c r="S141" s="45"/>
      <c r="T141" s="45"/>
    </row>
    <row r="142" spans="14:20">
      <c r="N142" s="45"/>
      <c r="O142" s="45"/>
      <c r="P142" s="45"/>
      <c r="Q142" s="45"/>
      <c r="R142" s="45"/>
      <c r="S142" s="45"/>
      <c r="T142" s="45"/>
    </row>
    <row r="143" spans="14:20">
      <c r="N143" s="45"/>
      <c r="O143" s="45"/>
      <c r="P143" s="45"/>
      <c r="Q143" s="45"/>
      <c r="R143" s="45"/>
      <c r="S143" s="45"/>
      <c r="T143" s="45"/>
    </row>
    <row r="144" spans="14:20">
      <c r="N144" s="45"/>
      <c r="O144" s="45"/>
      <c r="P144" s="45"/>
      <c r="Q144" s="45"/>
      <c r="R144" s="45"/>
      <c r="S144" s="45"/>
      <c r="T144" s="45"/>
    </row>
    <row r="145" spans="14:20">
      <c r="N145" s="45"/>
      <c r="O145" s="45"/>
      <c r="P145" s="45"/>
      <c r="Q145" s="45"/>
      <c r="R145" s="45"/>
      <c r="S145" s="45"/>
      <c r="T145" s="45"/>
    </row>
    <row r="146" spans="14:20">
      <c r="N146" s="45"/>
      <c r="O146" s="45"/>
      <c r="P146" s="45"/>
      <c r="Q146" s="45"/>
      <c r="R146" s="45"/>
      <c r="S146" s="45"/>
      <c r="T146" s="45"/>
    </row>
    <row r="147" spans="14:20">
      <c r="N147" s="45"/>
      <c r="O147" s="45"/>
      <c r="P147" s="45"/>
      <c r="Q147" s="45"/>
      <c r="R147" s="45"/>
      <c r="S147" s="45"/>
      <c r="T147" s="45"/>
    </row>
    <row r="148" spans="14:20">
      <c r="N148" s="45"/>
      <c r="O148" s="45"/>
      <c r="P148" s="45"/>
      <c r="Q148" s="45"/>
      <c r="R148" s="45"/>
      <c r="S148" s="45"/>
      <c r="T148" s="45"/>
    </row>
    <row r="149" spans="14:20">
      <c r="N149" s="45"/>
      <c r="O149" s="45"/>
      <c r="P149" s="45"/>
      <c r="Q149" s="45"/>
      <c r="R149" s="45"/>
      <c r="S149" s="45"/>
      <c r="T149" s="45"/>
    </row>
    <row r="150" spans="14:20">
      <c r="N150" s="45"/>
      <c r="O150" s="45"/>
      <c r="P150" s="45"/>
      <c r="Q150" s="45"/>
      <c r="R150" s="45"/>
      <c r="S150" s="45"/>
      <c r="T150" s="45"/>
    </row>
    <row r="151" spans="14:20">
      <c r="N151" s="45"/>
      <c r="O151" s="45"/>
      <c r="P151" s="45"/>
      <c r="Q151" s="45"/>
      <c r="R151" s="45"/>
      <c r="S151" s="45"/>
      <c r="T151" s="45"/>
    </row>
    <row r="152" spans="14:20">
      <c r="N152" s="45"/>
      <c r="O152" s="45"/>
      <c r="P152" s="45"/>
      <c r="Q152" s="45"/>
      <c r="R152" s="45"/>
      <c r="S152" s="45"/>
      <c r="T152" s="45"/>
    </row>
    <row r="153" spans="14:20">
      <c r="N153" s="45"/>
      <c r="O153" s="45"/>
      <c r="P153" s="45"/>
      <c r="Q153" s="45"/>
      <c r="R153" s="45"/>
      <c r="S153" s="45"/>
      <c r="T153" s="45"/>
    </row>
    <row r="154" spans="14:20">
      <c r="N154" s="45"/>
      <c r="O154" s="45"/>
      <c r="P154" s="45"/>
      <c r="Q154" s="45"/>
      <c r="R154" s="45"/>
      <c r="S154" s="45"/>
      <c r="T154" s="45"/>
    </row>
    <row r="155" spans="14:20">
      <c r="N155" s="45"/>
      <c r="O155" s="45"/>
      <c r="P155" s="45"/>
      <c r="Q155" s="45"/>
      <c r="R155" s="45"/>
      <c r="S155" s="45"/>
      <c r="T155" s="45"/>
    </row>
    <row r="156" spans="14:20">
      <c r="N156" s="45"/>
      <c r="O156" s="45"/>
      <c r="P156" s="45"/>
      <c r="Q156" s="45"/>
      <c r="R156" s="45"/>
      <c r="S156" s="45"/>
      <c r="T156" s="45"/>
    </row>
    <row r="157" spans="14:20">
      <c r="N157" s="45"/>
      <c r="O157" s="45"/>
      <c r="P157" s="45"/>
      <c r="Q157" s="45"/>
      <c r="R157" s="45"/>
      <c r="S157" s="45"/>
      <c r="T157" s="45"/>
    </row>
    <row r="158" spans="14:20">
      <c r="N158" s="45"/>
      <c r="O158" s="45"/>
      <c r="P158" s="45"/>
      <c r="Q158" s="45"/>
      <c r="R158" s="45"/>
      <c r="S158" s="45"/>
      <c r="T158" s="45"/>
    </row>
    <row r="159" spans="14:20">
      <c r="N159" s="45"/>
      <c r="O159" s="45"/>
      <c r="P159" s="45"/>
      <c r="Q159" s="45"/>
      <c r="R159" s="45"/>
      <c r="S159" s="45"/>
      <c r="T159" s="45"/>
    </row>
    <row r="160" spans="14:20">
      <c r="N160" s="45"/>
      <c r="O160" s="45"/>
      <c r="P160" s="45"/>
      <c r="Q160" s="45"/>
      <c r="R160" s="45"/>
      <c r="S160" s="45"/>
      <c r="T160" s="45"/>
    </row>
    <row r="161" spans="14:20">
      <c r="N161" s="45"/>
      <c r="O161" s="45"/>
      <c r="P161" s="45"/>
      <c r="Q161" s="45"/>
      <c r="R161" s="45"/>
      <c r="S161" s="45"/>
      <c r="T161" s="45"/>
    </row>
    <row r="162" spans="14:20">
      <c r="N162" s="45"/>
      <c r="O162" s="45"/>
      <c r="P162" s="45"/>
      <c r="Q162" s="45"/>
      <c r="R162" s="45"/>
      <c r="S162" s="45"/>
      <c r="T162" s="45"/>
    </row>
    <row r="163" spans="14:20">
      <c r="N163" s="45"/>
      <c r="O163" s="45"/>
      <c r="P163" s="45"/>
      <c r="Q163" s="45"/>
      <c r="R163" s="45"/>
      <c r="S163" s="45"/>
      <c r="T163" s="45"/>
    </row>
    <row r="164" spans="14:20">
      <c r="N164" s="45"/>
      <c r="O164" s="45"/>
      <c r="P164" s="45"/>
      <c r="Q164" s="45"/>
      <c r="R164" s="45"/>
      <c r="S164" s="45"/>
      <c r="T164" s="45"/>
    </row>
    <row r="165" spans="14:20">
      <c r="N165" s="45"/>
      <c r="O165" s="45"/>
      <c r="P165" s="45"/>
      <c r="Q165" s="45"/>
      <c r="R165" s="45"/>
      <c r="S165" s="45"/>
      <c r="T165" s="45"/>
    </row>
    <row r="166" spans="14:20">
      <c r="N166" s="45"/>
      <c r="O166" s="45"/>
      <c r="P166" s="45"/>
      <c r="Q166" s="45"/>
      <c r="R166" s="45"/>
      <c r="S166" s="45"/>
      <c r="T166" s="45"/>
    </row>
    <row r="167" spans="14:20">
      <c r="N167" s="45"/>
      <c r="O167" s="45"/>
      <c r="P167" s="45"/>
      <c r="Q167" s="45"/>
      <c r="R167" s="45"/>
      <c r="S167" s="45"/>
      <c r="T167" s="45"/>
    </row>
    <row r="168" spans="14:20">
      <c r="N168" s="45"/>
      <c r="O168" s="45"/>
      <c r="P168" s="45"/>
      <c r="Q168" s="45"/>
      <c r="R168" s="45"/>
      <c r="S168" s="45"/>
      <c r="T168" s="45"/>
    </row>
    <row r="169" spans="14:20">
      <c r="N169" s="45"/>
      <c r="O169" s="45"/>
      <c r="P169" s="45"/>
      <c r="Q169" s="45"/>
      <c r="R169" s="45"/>
      <c r="S169" s="45"/>
      <c r="T169" s="45"/>
    </row>
    <row r="170" spans="14:20">
      <c r="N170" s="45"/>
      <c r="O170" s="45"/>
      <c r="P170" s="45"/>
      <c r="Q170" s="45"/>
      <c r="R170" s="45"/>
      <c r="S170" s="45"/>
      <c r="T170" s="45"/>
    </row>
    <row r="171" spans="14:20">
      <c r="N171" s="45"/>
      <c r="O171" s="45"/>
      <c r="P171" s="45"/>
      <c r="Q171" s="45"/>
      <c r="R171" s="45"/>
      <c r="S171" s="45"/>
      <c r="T171" s="45"/>
    </row>
    <row r="172" spans="14:20">
      <c r="N172" s="45"/>
      <c r="O172" s="45"/>
      <c r="P172" s="45"/>
      <c r="Q172" s="45"/>
      <c r="R172" s="45"/>
      <c r="S172" s="45"/>
      <c r="T172" s="45"/>
    </row>
    <row r="173" spans="14:20">
      <c r="N173" s="45"/>
      <c r="O173" s="45"/>
      <c r="P173" s="45"/>
      <c r="Q173" s="45"/>
      <c r="R173" s="45"/>
      <c r="S173" s="45"/>
      <c r="T173" s="45"/>
    </row>
    <row r="174" spans="14:20">
      <c r="N174" s="45"/>
      <c r="O174" s="45"/>
      <c r="P174" s="45"/>
      <c r="Q174" s="45"/>
      <c r="R174" s="45"/>
      <c r="S174" s="45"/>
      <c r="T174" s="45"/>
    </row>
    <row r="175" spans="14:20">
      <c r="N175" s="45"/>
      <c r="O175" s="45"/>
      <c r="P175" s="45"/>
      <c r="Q175" s="45"/>
      <c r="R175" s="45"/>
      <c r="S175" s="45"/>
      <c r="T175" s="45"/>
    </row>
    <row r="176" spans="14:20">
      <c r="N176" s="45"/>
      <c r="O176" s="45"/>
      <c r="P176" s="45"/>
      <c r="Q176" s="45"/>
      <c r="R176" s="45"/>
      <c r="S176" s="45"/>
      <c r="T176" s="45"/>
    </row>
    <row r="177" spans="14:20">
      <c r="N177" s="45"/>
      <c r="O177" s="45"/>
      <c r="P177" s="45"/>
      <c r="Q177" s="45"/>
      <c r="R177" s="45"/>
      <c r="S177" s="45"/>
      <c r="T177" s="45"/>
    </row>
    <row r="178" spans="14:20">
      <c r="N178" s="45"/>
      <c r="O178" s="45"/>
      <c r="P178" s="45"/>
      <c r="Q178" s="45"/>
      <c r="R178" s="45"/>
      <c r="S178" s="45"/>
      <c r="T178" s="45"/>
    </row>
    <row r="179" spans="14:20">
      <c r="N179" s="45"/>
      <c r="O179" s="45"/>
      <c r="P179" s="45"/>
      <c r="Q179" s="45"/>
      <c r="R179" s="45"/>
      <c r="S179" s="45"/>
      <c r="T179" s="45"/>
    </row>
    <row r="180" spans="14:20">
      <c r="N180" s="45"/>
      <c r="O180" s="45"/>
      <c r="P180" s="45"/>
      <c r="Q180" s="45"/>
      <c r="R180" s="45"/>
      <c r="S180" s="45"/>
      <c r="T180" s="45"/>
    </row>
    <row r="181" spans="14:20">
      <c r="N181" s="45"/>
      <c r="O181" s="45"/>
      <c r="P181" s="45"/>
      <c r="Q181" s="45"/>
      <c r="R181" s="45"/>
      <c r="S181" s="45"/>
      <c r="T181" s="45"/>
    </row>
    <row r="182" spans="14:20">
      <c r="N182" s="45"/>
      <c r="O182" s="45"/>
      <c r="P182" s="45"/>
      <c r="Q182" s="45"/>
      <c r="R182" s="45"/>
      <c r="S182" s="45"/>
      <c r="T182" s="45"/>
    </row>
    <row r="183" spans="14:20">
      <c r="N183" s="45"/>
      <c r="O183" s="45"/>
      <c r="P183" s="45"/>
      <c r="Q183" s="45"/>
      <c r="R183" s="45"/>
      <c r="S183" s="45"/>
      <c r="T183" s="45"/>
    </row>
    <row r="184" spans="14:20">
      <c r="N184" s="45"/>
      <c r="O184" s="45"/>
      <c r="P184" s="45"/>
      <c r="Q184" s="45"/>
      <c r="R184" s="45"/>
      <c r="S184" s="45"/>
      <c r="T184" s="45"/>
    </row>
    <row r="185" spans="14:20">
      <c r="N185" s="45"/>
      <c r="O185" s="45"/>
      <c r="P185" s="45"/>
      <c r="Q185" s="45"/>
      <c r="R185" s="45"/>
      <c r="S185" s="45"/>
      <c r="T185" s="45"/>
    </row>
    <row r="186" spans="14:20">
      <c r="N186" s="45"/>
      <c r="O186" s="45"/>
      <c r="P186" s="45"/>
      <c r="Q186" s="45"/>
      <c r="R186" s="45"/>
      <c r="S186" s="45"/>
      <c r="T186" s="45"/>
    </row>
    <row r="187" spans="14:20">
      <c r="N187" s="45"/>
      <c r="O187" s="45"/>
      <c r="P187" s="45"/>
      <c r="Q187" s="45"/>
      <c r="R187" s="45"/>
      <c r="S187" s="45"/>
      <c r="T187" s="45"/>
    </row>
    <row r="188" spans="14:20">
      <c r="N188" s="45"/>
      <c r="O188" s="45"/>
      <c r="P188" s="45"/>
      <c r="Q188" s="45"/>
      <c r="R188" s="45"/>
      <c r="S188" s="45"/>
      <c r="T188" s="45"/>
    </row>
    <row r="189" spans="14:20">
      <c r="N189" s="45"/>
      <c r="O189" s="45"/>
      <c r="P189" s="45"/>
      <c r="Q189" s="45"/>
      <c r="R189" s="45"/>
      <c r="S189" s="45"/>
      <c r="T189" s="45"/>
    </row>
    <row r="190" spans="14:20">
      <c r="N190" s="45"/>
      <c r="O190" s="45"/>
      <c r="P190" s="45"/>
      <c r="Q190" s="45"/>
      <c r="R190" s="45"/>
      <c r="S190" s="45"/>
      <c r="T190" s="45"/>
    </row>
    <row r="191" spans="14:20">
      <c r="N191" s="45"/>
      <c r="O191" s="45"/>
      <c r="P191" s="45"/>
      <c r="Q191" s="45"/>
      <c r="R191" s="45"/>
      <c r="S191" s="45"/>
      <c r="T191" s="45"/>
    </row>
    <row r="192" spans="14:20">
      <c r="N192" s="45"/>
      <c r="O192" s="45"/>
      <c r="P192" s="45"/>
      <c r="Q192" s="45"/>
      <c r="R192" s="45"/>
      <c r="S192" s="45"/>
      <c r="T192" s="45"/>
    </row>
    <row r="193" spans="14:20">
      <c r="N193" s="45"/>
      <c r="O193" s="45"/>
      <c r="P193" s="45"/>
      <c r="Q193" s="45"/>
      <c r="R193" s="45"/>
      <c r="S193" s="45"/>
      <c r="T193" s="45"/>
    </row>
    <row r="194" spans="14:20">
      <c r="N194" s="45"/>
      <c r="O194" s="45"/>
      <c r="P194" s="45"/>
      <c r="Q194" s="45"/>
      <c r="R194" s="45"/>
      <c r="S194" s="45"/>
      <c r="T194" s="45"/>
    </row>
    <row r="195" spans="14:20">
      <c r="N195" s="45"/>
      <c r="O195" s="45"/>
      <c r="P195" s="45"/>
      <c r="Q195" s="45"/>
      <c r="R195" s="45"/>
      <c r="S195" s="45"/>
      <c r="T195" s="45"/>
    </row>
    <row r="196" spans="14:20">
      <c r="N196" s="45"/>
      <c r="O196" s="45"/>
      <c r="P196" s="45"/>
      <c r="Q196" s="45"/>
      <c r="R196" s="45"/>
      <c r="S196" s="45"/>
      <c r="T196" s="45"/>
    </row>
    <row r="197" spans="14:20">
      <c r="N197" s="45"/>
      <c r="O197" s="45"/>
      <c r="P197" s="45"/>
      <c r="Q197" s="45"/>
      <c r="R197" s="45"/>
      <c r="S197" s="45"/>
      <c r="T197" s="45"/>
    </row>
    <row r="198" spans="14:20">
      <c r="N198" s="45"/>
      <c r="O198" s="45"/>
      <c r="P198" s="45"/>
      <c r="Q198" s="45"/>
      <c r="R198" s="45"/>
      <c r="S198" s="45"/>
      <c r="T198" s="45"/>
    </row>
    <row r="199" spans="14:20">
      <c r="N199" s="45"/>
      <c r="O199" s="45"/>
      <c r="P199" s="45"/>
      <c r="Q199" s="45"/>
      <c r="R199" s="45"/>
      <c r="S199" s="45"/>
      <c r="T199" s="45"/>
    </row>
    <row r="200" spans="14:20">
      <c r="N200" s="45"/>
      <c r="O200" s="45"/>
      <c r="P200" s="45"/>
      <c r="Q200" s="45"/>
      <c r="R200" s="45"/>
      <c r="S200" s="45"/>
      <c r="T200" s="45"/>
    </row>
    <row r="201" spans="14:20">
      <c r="N201" s="45"/>
      <c r="O201" s="45"/>
      <c r="P201" s="45"/>
      <c r="Q201" s="45"/>
      <c r="R201" s="45"/>
      <c r="S201" s="45"/>
      <c r="T201" s="45"/>
    </row>
    <row r="202" spans="14:20">
      <c r="N202" s="45"/>
      <c r="O202" s="45"/>
      <c r="P202" s="45"/>
      <c r="Q202" s="45"/>
      <c r="R202" s="45"/>
      <c r="S202" s="45"/>
      <c r="T202" s="45"/>
    </row>
    <row r="203" spans="14:20">
      <c r="N203" s="45"/>
      <c r="O203" s="45"/>
      <c r="P203" s="45"/>
      <c r="Q203" s="45"/>
      <c r="R203" s="45"/>
      <c r="S203" s="45"/>
      <c r="T203" s="45"/>
    </row>
    <row r="204" spans="14:20">
      <c r="N204" s="45"/>
      <c r="O204" s="45"/>
      <c r="P204" s="45"/>
      <c r="Q204" s="45"/>
      <c r="R204" s="45"/>
      <c r="S204" s="45"/>
      <c r="T204" s="45"/>
    </row>
    <row r="205" spans="14:20">
      <c r="N205" s="45"/>
      <c r="O205" s="45"/>
      <c r="P205" s="45"/>
      <c r="Q205" s="45"/>
      <c r="R205" s="45"/>
      <c r="S205" s="45"/>
      <c r="T205" s="45"/>
    </row>
    <row r="206" spans="14:20">
      <c r="N206" s="45"/>
      <c r="O206" s="45"/>
      <c r="P206" s="45"/>
      <c r="Q206" s="45"/>
      <c r="R206" s="45"/>
      <c r="S206" s="45"/>
      <c r="T206" s="45"/>
    </row>
    <row r="207" spans="14:20">
      <c r="N207" s="45"/>
      <c r="O207" s="45"/>
      <c r="P207" s="45"/>
      <c r="Q207" s="45"/>
      <c r="R207" s="45"/>
      <c r="S207" s="45"/>
      <c r="T207" s="45"/>
    </row>
    <row r="208" spans="14:20">
      <c r="N208" s="45"/>
      <c r="O208" s="45"/>
      <c r="P208" s="45"/>
      <c r="Q208" s="45"/>
      <c r="R208" s="45"/>
      <c r="S208" s="45"/>
      <c r="T208" s="45"/>
    </row>
    <row r="209" spans="14:20">
      <c r="N209" s="45"/>
      <c r="O209" s="45"/>
      <c r="P209" s="45"/>
      <c r="Q209" s="45"/>
      <c r="R209" s="45"/>
      <c r="S209" s="45"/>
      <c r="T209" s="45"/>
    </row>
    <row r="210" spans="14:20">
      <c r="N210" s="45"/>
      <c r="O210" s="45"/>
      <c r="P210" s="45"/>
      <c r="Q210" s="45"/>
      <c r="R210" s="45"/>
      <c r="S210" s="45"/>
      <c r="T210" s="45"/>
    </row>
    <row r="211" spans="14:20">
      <c r="N211" s="45"/>
      <c r="O211" s="45"/>
      <c r="P211" s="45"/>
      <c r="Q211" s="45"/>
      <c r="R211" s="45"/>
      <c r="S211" s="45"/>
      <c r="T211" s="45"/>
    </row>
    <row r="212" spans="14:20">
      <c r="N212" s="45"/>
      <c r="O212" s="45"/>
      <c r="P212" s="45"/>
      <c r="Q212" s="45"/>
      <c r="R212" s="45"/>
      <c r="S212" s="45"/>
      <c r="T212" s="45"/>
    </row>
    <row r="213" spans="14:20">
      <c r="N213" s="45"/>
      <c r="O213" s="45"/>
      <c r="P213" s="45"/>
      <c r="Q213" s="45"/>
      <c r="R213" s="45"/>
      <c r="S213" s="45"/>
      <c r="T213" s="45"/>
    </row>
    <row r="214" spans="14:20">
      <c r="N214" s="45"/>
      <c r="O214" s="45"/>
      <c r="P214" s="45"/>
      <c r="Q214" s="45"/>
      <c r="R214" s="45"/>
      <c r="S214" s="45"/>
      <c r="T214" s="45"/>
    </row>
    <row r="215" spans="14:20">
      <c r="N215" s="45"/>
      <c r="O215" s="45"/>
      <c r="P215" s="45"/>
      <c r="Q215" s="45"/>
      <c r="R215" s="45"/>
      <c r="S215" s="45"/>
      <c r="T215" s="45"/>
    </row>
    <row r="216" spans="14:20">
      <c r="N216" s="45"/>
      <c r="O216" s="45"/>
      <c r="P216" s="45"/>
      <c r="Q216" s="45"/>
      <c r="R216" s="45"/>
      <c r="S216" s="45"/>
      <c r="T216" s="45"/>
    </row>
    <row r="217" spans="14:20">
      <c r="N217" s="45"/>
      <c r="O217" s="45"/>
      <c r="P217" s="45"/>
      <c r="Q217" s="45"/>
      <c r="R217" s="45"/>
      <c r="S217" s="45"/>
      <c r="T217" s="45"/>
    </row>
    <row r="218" spans="14:20">
      <c r="N218" s="45"/>
      <c r="O218" s="45"/>
      <c r="P218" s="45"/>
      <c r="Q218" s="45"/>
      <c r="R218" s="45"/>
      <c r="S218" s="45"/>
      <c r="T218" s="45"/>
    </row>
    <row r="219" spans="14:20">
      <c r="N219" s="45"/>
      <c r="O219" s="45"/>
      <c r="P219" s="45"/>
      <c r="Q219" s="45"/>
      <c r="R219" s="45"/>
      <c r="S219" s="45"/>
      <c r="T219" s="45"/>
    </row>
    <row r="220" spans="14:20">
      <c r="N220" s="45"/>
      <c r="O220" s="45"/>
      <c r="P220" s="45"/>
      <c r="Q220" s="45"/>
      <c r="R220" s="45"/>
      <c r="S220" s="45"/>
      <c r="T220" s="45"/>
    </row>
    <row r="221" spans="14:20">
      <c r="N221" s="45"/>
      <c r="O221" s="45"/>
      <c r="P221" s="45"/>
      <c r="Q221" s="45"/>
      <c r="R221" s="45"/>
      <c r="S221" s="45"/>
      <c r="T221" s="45"/>
    </row>
    <row r="222" spans="14:20">
      <c r="N222" s="45"/>
      <c r="O222" s="45"/>
      <c r="P222" s="45"/>
      <c r="Q222" s="45"/>
      <c r="R222" s="45"/>
      <c r="S222" s="45"/>
      <c r="T222" s="45"/>
    </row>
    <row r="223" spans="14:20">
      <c r="N223" s="45"/>
      <c r="O223" s="45"/>
      <c r="P223" s="45"/>
      <c r="Q223" s="45"/>
      <c r="R223" s="45"/>
      <c r="S223" s="45"/>
      <c r="T223" s="45"/>
    </row>
    <row r="224" spans="14:20">
      <c r="N224" s="45"/>
      <c r="O224" s="45"/>
      <c r="P224" s="45"/>
      <c r="Q224" s="45"/>
      <c r="R224" s="45"/>
      <c r="S224" s="45"/>
      <c r="T224" s="45"/>
    </row>
    <row r="225" spans="14:20">
      <c r="N225" s="45"/>
      <c r="O225" s="45"/>
      <c r="P225" s="45"/>
      <c r="Q225" s="45"/>
      <c r="R225" s="45"/>
      <c r="S225" s="45"/>
      <c r="T225" s="45"/>
    </row>
    <row r="226" spans="14:20">
      <c r="N226" s="45"/>
      <c r="O226" s="45"/>
      <c r="P226" s="45"/>
      <c r="Q226" s="45"/>
      <c r="R226" s="45"/>
      <c r="S226" s="45"/>
      <c r="T226" s="45"/>
    </row>
    <row r="227" spans="14:20">
      <c r="N227" s="45"/>
      <c r="O227" s="45"/>
      <c r="P227" s="45"/>
      <c r="Q227" s="45"/>
      <c r="R227" s="45"/>
      <c r="S227" s="45"/>
      <c r="T227" s="45"/>
    </row>
    <row r="228" spans="14:20">
      <c r="N228" s="45"/>
      <c r="O228" s="45"/>
      <c r="P228" s="45"/>
      <c r="Q228" s="45"/>
      <c r="R228" s="45"/>
      <c r="S228" s="45"/>
      <c r="T228" s="45"/>
    </row>
    <row r="229" spans="14:20">
      <c r="N229" s="45"/>
      <c r="O229" s="45"/>
      <c r="P229" s="45"/>
      <c r="Q229" s="45"/>
      <c r="R229" s="45"/>
      <c r="S229" s="45"/>
      <c r="T229" s="45"/>
    </row>
    <row r="230" spans="14:20">
      <c r="N230" s="45"/>
      <c r="O230" s="45"/>
      <c r="P230" s="45"/>
      <c r="Q230" s="45"/>
      <c r="R230" s="45"/>
      <c r="S230" s="45"/>
      <c r="T230" s="45"/>
    </row>
    <row r="231" spans="14:20">
      <c r="N231" s="45"/>
      <c r="O231" s="45"/>
      <c r="P231" s="45"/>
      <c r="Q231" s="45"/>
      <c r="R231" s="45"/>
      <c r="S231" s="45"/>
      <c r="T231" s="45"/>
    </row>
    <row r="232" spans="14:20">
      <c r="N232" s="45"/>
      <c r="O232" s="45"/>
      <c r="P232" s="45"/>
      <c r="Q232" s="45"/>
      <c r="R232" s="45"/>
      <c r="S232" s="45"/>
      <c r="T232" s="45"/>
    </row>
    <row r="233" spans="14:20">
      <c r="N233" s="45"/>
      <c r="O233" s="45"/>
      <c r="P233" s="45"/>
      <c r="Q233" s="45"/>
      <c r="R233" s="45"/>
      <c r="S233" s="45"/>
      <c r="T233" s="45"/>
    </row>
    <row r="234" spans="14:20">
      <c r="N234" s="45"/>
      <c r="O234" s="45"/>
      <c r="P234" s="45"/>
      <c r="Q234" s="45"/>
      <c r="R234" s="45"/>
      <c r="S234" s="45"/>
      <c r="T234" s="45"/>
    </row>
    <row r="235" spans="14:20">
      <c r="N235" s="45"/>
      <c r="O235" s="45"/>
      <c r="P235" s="45"/>
      <c r="Q235" s="45"/>
      <c r="R235" s="45"/>
      <c r="S235" s="45"/>
      <c r="T235" s="45"/>
    </row>
    <row r="236" spans="14:20">
      <c r="N236" s="45"/>
      <c r="O236" s="45"/>
      <c r="P236" s="45"/>
      <c r="Q236" s="45"/>
      <c r="R236" s="45"/>
      <c r="S236" s="45"/>
      <c r="T236" s="45"/>
    </row>
    <row r="237" spans="14:20">
      <c r="N237" s="45"/>
      <c r="O237" s="45"/>
      <c r="P237" s="45"/>
      <c r="Q237" s="45"/>
      <c r="R237" s="45"/>
      <c r="S237" s="45"/>
      <c r="T237" s="45"/>
    </row>
    <row r="238" spans="14:20">
      <c r="N238" s="45"/>
      <c r="O238" s="45"/>
      <c r="P238" s="45"/>
      <c r="Q238" s="45"/>
      <c r="R238" s="45"/>
      <c r="S238" s="45"/>
      <c r="T238" s="45"/>
    </row>
    <row r="239" spans="14:20">
      <c r="N239" s="45"/>
      <c r="O239" s="45"/>
      <c r="P239" s="45"/>
      <c r="Q239" s="45"/>
      <c r="R239" s="45"/>
      <c r="S239" s="45"/>
      <c r="T239" s="45"/>
    </row>
    <row r="240" spans="14:20">
      <c r="N240" s="45"/>
      <c r="O240" s="45"/>
      <c r="P240" s="45"/>
      <c r="Q240" s="45"/>
      <c r="R240" s="45"/>
      <c r="S240" s="45"/>
      <c r="T240" s="45"/>
    </row>
    <row r="241" spans="14:20">
      <c r="N241" s="45"/>
      <c r="O241" s="45"/>
      <c r="P241" s="45"/>
      <c r="Q241" s="45"/>
      <c r="R241" s="45"/>
      <c r="S241" s="45"/>
      <c r="T241" s="45"/>
    </row>
    <row r="242" spans="14:20">
      <c r="N242" s="45"/>
      <c r="O242" s="45"/>
      <c r="P242" s="45"/>
      <c r="Q242" s="45"/>
      <c r="R242" s="45"/>
      <c r="S242" s="45"/>
      <c r="T242" s="45"/>
    </row>
    <row r="243" spans="14:20">
      <c r="N243" s="45"/>
      <c r="O243" s="45"/>
      <c r="P243" s="45"/>
      <c r="Q243" s="45"/>
      <c r="R243" s="45"/>
      <c r="S243" s="45"/>
      <c r="T243" s="45"/>
    </row>
    <row r="244" spans="14:20">
      <c r="N244" s="45"/>
      <c r="O244" s="45"/>
      <c r="P244" s="45"/>
      <c r="Q244" s="45"/>
      <c r="R244" s="45"/>
      <c r="S244" s="45"/>
      <c r="T244" s="45"/>
    </row>
    <row r="245" spans="14:20">
      <c r="N245" s="45"/>
      <c r="O245" s="45"/>
      <c r="P245" s="45"/>
      <c r="Q245" s="45"/>
      <c r="R245" s="45"/>
      <c r="S245" s="45"/>
      <c r="T245" s="45"/>
    </row>
    <row r="246" spans="14:20">
      <c r="N246" s="45"/>
      <c r="O246" s="45"/>
      <c r="P246" s="45"/>
      <c r="Q246" s="45"/>
      <c r="R246" s="45"/>
      <c r="S246" s="45"/>
      <c r="T246" s="45"/>
    </row>
    <row r="247" spans="14:20">
      <c r="N247" s="45"/>
      <c r="O247" s="45"/>
      <c r="P247" s="45"/>
      <c r="Q247" s="45"/>
      <c r="R247" s="45"/>
      <c r="S247" s="45"/>
      <c r="T247" s="45"/>
    </row>
    <row r="248" spans="14:20">
      <c r="N248" s="45"/>
      <c r="O248" s="45"/>
      <c r="P248" s="45"/>
      <c r="Q248" s="45"/>
      <c r="R248" s="45"/>
      <c r="S248" s="45"/>
      <c r="T248" s="45"/>
    </row>
    <row r="249" spans="14:20">
      <c r="N249" s="45"/>
      <c r="O249" s="45"/>
      <c r="P249" s="45"/>
      <c r="Q249" s="45"/>
      <c r="R249" s="45"/>
      <c r="S249" s="45"/>
      <c r="T249" s="45"/>
    </row>
    <row r="250" spans="14:20">
      <c r="N250" s="45"/>
      <c r="O250" s="45"/>
      <c r="P250" s="45"/>
      <c r="Q250" s="45"/>
      <c r="R250" s="45"/>
      <c r="S250" s="45"/>
      <c r="T250" s="45"/>
    </row>
    <row r="251" spans="14:20">
      <c r="N251" s="45"/>
      <c r="O251" s="45"/>
      <c r="P251" s="45"/>
      <c r="Q251" s="45"/>
      <c r="R251" s="45"/>
      <c r="S251" s="45"/>
      <c r="T251" s="45"/>
    </row>
    <row r="252" spans="14:20">
      <c r="N252" s="45"/>
      <c r="O252" s="45"/>
      <c r="P252" s="45"/>
      <c r="Q252" s="45"/>
      <c r="R252" s="45"/>
      <c r="S252" s="45"/>
      <c r="T252" s="45"/>
    </row>
    <row r="253" spans="14:20">
      <c r="N253" s="45"/>
      <c r="O253" s="45"/>
      <c r="P253" s="45"/>
      <c r="Q253" s="45"/>
      <c r="R253" s="45"/>
      <c r="S253" s="45"/>
      <c r="T253" s="45"/>
    </row>
    <row r="254" spans="14:20">
      <c r="N254" s="45"/>
      <c r="O254" s="45"/>
      <c r="P254" s="45"/>
      <c r="Q254" s="45"/>
      <c r="R254" s="45"/>
      <c r="S254" s="45"/>
      <c r="T254" s="45"/>
    </row>
    <row r="255" spans="14:20">
      <c r="N255" s="45"/>
      <c r="O255" s="45"/>
      <c r="P255" s="45"/>
      <c r="Q255" s="45"/>
      <c r="R255" s="45"/>
      <c r="S255" s="45"/>
      <c r="T255" s="45"/>
    </row>
    <row r="256" spans="14:20">
      <c r="N256" s="45"/>
      <c r="O256" s="45"/>
      <c r="P256" s="45"/>
      <c r="Q256" s="45"/>
      <c r="R256" s="45"/>
      <c r="S256" s="45"/>
      <c r="T256" s="45"/>
    </row>
    <row r="257" spans="14:20">
      <c r="N257" s="45"/>
      <c r="O257" s="45"/>
      <c r="P257" s="45"/>
      <c r="Q257" s="45"/>
      <c r="R257" s="45"/>
      <c r="S257" s="45"/>
      <c r="T257" s="45"/>
    </row>
    <row r="258" spans="14:20">
      <c r="N258" s="45"/>
      <c r="O258" s="45"/>
      <c r="P258" s="45"/>
      <c r="Q258" s="45"/>
      <c r="R258" s="45"/>
      <c r="S258" s="45"/>
      <c r="T258" s="45"/>
    </row>
    <row r="259" spans="14:20">
      <c r="N259" s="45"/>
      <c r="O259" s="45"/>
      <c r="P259" s="45"/>
      <c r="Q259" s="45"/>
      <c r="R259" s="45"/>
      <c r="S259" s="45"/>
      <c r="T259" s="45"/>
    </row>
    <row r="260" spans="14:20">
      <c r="N260" s="45"/>
      <c r="O260" s="45"/>
      <c r="P260" s="45"/>
      <c r="Q260" s="45"/>
      <c r="R260" s="45"/>
      <c r="S260" s="45"/>
      <c r="T260" s="45"/>
    </row>
    <row r="261" spans="14:20">
      <c r="N261" s="45"/>
      <c r="O261" s="45"/>
      <c r="P261" s="45"/>
      <c r="Q261" s="45"/>
      <c r="R261" s="45"/>
      <c r="S261" s="45"/>
      <c r="T261" s="45"/>
    </row>
    <row r="262" spans="14:20">
      <c r="N262" s="45"/>
      <c r="O262" s="45"/>
      <c r="P262" s="45"/>
      <c r="Q262" s="45"/>
      <c r="R262" s="45"/>
      <c r="S262" s="45"/>
      <c r="T262" s="45"/>
    </row>
    <row r="263" spans="14:20">
      <c r="N263" s="45"/>
      <c r="O263" s="45"/>
      <c r="P263" s="45"/>
      <c r="Q263" s="45"/>
      <c r="R263" s="45"/>
      <c r="S263" s="45"/>
      <c r="T263" s="45"/>
    </row>
    <row r="264" spans="14:20">
      <c r="N264" s="45"/>
      <c r="O264" s="45"/>
      <c r="P264" s="45"/>
      <c r="Q264" s="45"/>
      <c r="R264" s="45"/>
      <c r="S264" s="45"/>
      <c r="T264" s="45"/>
    </row>
    <row r="265" spans="14:20">
      <c r="N265" s="45"/>
      <c r="O265" s="45"/>
      <c r="P265" s="45"/>
      <c r="Q265" s="45"/>
      <c r="R265" s="45"/>
      <c r="S265" s="45"/>
      <c r="T265" s="45"/>
    </row>
    <row r="266" spans="14:20">
      <c r="N266" s="45"/>
      <c r="O266" s="45"/>
      <c r="P266" s="45"/>
      <c r="Q266" s="45"/>
      <c r="R266" s="45"/>
      <c r="S266" s="45"/>
      <c r="T266" s="45"/>
    </row>
    <row r="267" spans="14:20">
      <c r="N267" s="45"/>
      <c r="O267" s="45"/>
      <c r="P267" s="45"/>
      <c r="Q267" s="45"/>
      <c r="R267" s="45"/>
      <c r="S267" s="45"/>
      <c r="T267" s="45"/>
    </row>
    <row r="268" spans="14:20">
      <c r="N268" s="45"/>
      <c r="O268" s="45"/>
      <c r="P268" s="45"/>
      <c r="Q268" s="45"/>
      <c r="R268" s="45"/>
      <c r="S268" s="45"/>
      <c r="T268" s="45"/>
    </row>
    <row r="269" spans="14:20">
      <c r="N269" s="45"/>
      <c r="O269" s="45"/>
      <c r="P269" s="45"/>
      <c r="Q269" s="45"/>
      <c r="R269" s="45"/>
      <c r="S269" s="45"/>
      <c r="T269" s="45"/>
    </row>
    <row r="270" spans="14:20">
      <c r="N270" s="45"/>
      <c r="O270" s="45"/>
      <c r="P270" s="45"/>
      <c r="Q270" s="45"/>
      <c r="R270" s="45"/>
      <c r="S270" s="45"/>
      <c r="T270" s="45"/>
    </row>
    <row r="271" spans="14:20">
      <c r="N271" s="45"/>
      <c r="O271" s="45"/>
      <c r="P271" s="45"/>
      <c r="Q271" s="45"/>
      <c r="R271" s="45"/>
      <c r="S271" s="45"/>
      <c r="T271" s="45"/>
    </row>
    <row r="272" spans="14:20">
      <c r="N272" s="45"/>
      <c r="O272" s="45"/>
      <c r="P272" s="45"/>
      <c r="Q272" s="45"/>
      <c r="R272" s="45"/>
      <c r="S272" s="45"/>
      <c r="T272" s="45"/>
    </row>
    <row r="273" spans="14:20">
      <c r="N273" s="45"/>
      <c r="O273" s="45"/>
      <c r="P273" s="45"/>
      <c r="Q273" s="45"/>
      <c r="R273" s="45"/>
      <c r="S273" s="45"/>
      <c r="T273" s="45"/>
    </row>
    <row r="274" spans="14:20">
      <c r="N274" s="45"/>
      <c r="O274" s="45"/>
      <c r="P274" s="45"/>
      <c r="Q274" s="45"/>
      <c r="R274" s="45"/>
      <c r="S274" s="45"/>
      <c r="T274" s="45"/>
    </row>
    <row r="275" spans="14:20">
      <c r="N275" s="45"/>
      <c r="O275" s="45"/>
      <c r="P275" s="45"/>
      <c r="Q275" s="45"/>
      <c r="R275" s="45"/>
      <c r="S275" s="45"/>
      <c r="T275" s="45"/>
    </row>
    <row r="276" spans="14:20">
      <c r="N276" s="45"/>
      <c r="O276" s="45"/>
      <c r="P276" s="45"/>
      <c r="Q276" s="45"/>
      <c r="R276" s="45"/>
      <c r="S276" s="45"/>
      <c r="T276" s="45"/>
    </row>
    <row r="277" spans="14:20">
      <c r="N277" s="45"/>
      <c r="O277" s="45"/>
      <c r="P277" s="45"/>
      <c r="Q277" s="45"/>
      <c r="R277" s="45"/>
      <c r="S277" s="45"/>
      <c r="T277" s="45"/>
    </row>
    <row r="278" spans="14:20">
      <c r="N278" s="45"/>
      <c r="O278" s="45"/>
      <c r="P278" s="45"/>
      <c r="Q278" s="45"/>
      <c r="R278" s="45"/>
      <c r="S278" s="45"/>
      <c r="T278" s="45"/>
    </row>
    <row r="279" spans="14:20">
      <c r="N279" s="45"/>
      <c r="O279" s="45"/>
      <c r="P279" s="45"/>
      <c r="Q279" s="45"/>
      <c r="R279" s="45"/>
      <c r="S279" s="45"/>
      <c r="T279" s="45"/>
    </row>
    <row r="280" spans="14:20">
      <c r="N280" s="45"/>
      <c r="O280" s="45"/>
      <c r="P280" s="45"/>
      <c r="Q280" s="45"/>
      <c r="R280" s="45"/>
      <c r="S280" s="45"/>
      <c r="T280" s="45"/>
    </row>
    <row r="281" spans="14:20">
      <c r="N281" s="45"/>
      <c r="O281" s="45"/>
      <c r="P281" s="45"/>
      <c r="Q281" s="45"/>
      <c r="R281" s="45"/>
      <c r="S281" s="45"/>
      <c r="T281" s="45"/>
    </row>
    <row r="282" spans="14:20">
      <c r="N282" s="45"/>
      <c r="O282" s="45"/>
      <c r="P282" s="45"/>
      <c r="Q282" s="45"/>
      <c r="R282" s="45"/>
      <c r="S282" s="45"/>
      <c r="T282" s="45"/>
    </row>
    <row r="283" spans="14:20">
      <c r="N283" s="45"/>
      <c r="O283" s="45"/>
      <c r="P283" s="45"/>
      <c r="Q283" s="45"/>
      <c r="R283" s="45"/>
      <c r="S283" s="45"/>
      <c r="T283" s="45"/>
    </row>
    <row r="284" spans="14:20">
      <c r="N284" s="45"/>
      <c r="O284" s="45"/>
      <c r="P284" s="45"/>
      <c r="Q284" s="45"/>
      <c r="R284" s="45"/>
      <c r="S284" s="45"/>
      <c r="T284" s="45"/>
    </row>
    <row r="285" spans="14:20">
      <c r="N285" s="45"/>
      <c r="O285" s="45"/>
      <c r="P285" s="45"/>
      <c r="Q285" s="45"/>
      <c r="R285" s="45"/>
      <c r="S285" s="45"/>
      <c r="T285" s="45"/>
    </row>
    <row r="286" spans="14:20">
      <c r="N286" s="45"/>
      <c r="O286" s="45"/>
      <c r="P286" s="45"/>
      <c r="Q286" s="45"/>
      <c r="R286" s="45"/>
      <c r="S286" s="45"/>
      <c r="T286" s="45"/>
    </row>
    <row r="287" spans="14:20">
      <c r="N287" s="45"/>
      <c r="O287" s="45"/>
      <c r="P287" s="45"/>
      <c r="Q287" s="45"/>
      <c r="R287" s="45"/>
      <c r="S287" s="45"/>
      <c r="T287" s="45"/>
    </row>
    <row r="288" spans="14:20">
      <c r="N288" s="45"/>
      <c r="O288" s="45"/>
      <c r="P288" s="45"/>
      <c r="Q288" s="45"/>
      <c r="R288" s="45"/>
      <c r="S288" s="45"/>
      <c r="T288" s="45"/>
    </row>
    <row r="289" spans="14:20">
      <c r="N289" s="45"/>
      <c r="O289" s="45"/>
      <c r="P289" s="45"/>
      <c r="Q289" s="45"/>
      <c r="R289" s="45"/>
      <c r="S289" s="45"/>
      <c r="T289" s="45"/>
    </row>
    <row r="290" spans="14:20">
      <c r="N290" s="45"/>
      <c r="O290" s="45"/>
      <c r="P290" s="45"/>
      <c r="Q290" s="45"/>
      <c r="R290" s="45"/>
      <c r="S290" s="45"/>
      <c r="T290" s="45"/>
    </row>
    <row r="291" spans="14:20">
      <c r="N291" s="45"/>
      <c r="O291" s="45"/>
      <c r="P291" s="45"/>
      <c r="Q291" s="45"/>
      <c r="R291" s="45"/>
      <c r="S291" s="45"/>
      <c r="T291" s="45"/>
    </row>
    <row r="292" spans="14:20">
      <c r="N292" s="45"/>
      <c r="O292" s="45"/>
      <c r="P292" s="45"/>
      <c r="Q292" s="45"/>
      <c r="R292" s="45"/>
      <c r="S292" s="45"/>
      <c r="T292" s="45"/>
    </row>
    <row r="293" spans="14:20">
      <c r="N293" s="45"/>
      <c r="O293" s="45"/>
      <c r="P293" s="45"/>
      <c r="Q293" s="45"/>
      <c r="R293" s="45"/>
      <c r="S293" s="45"/>
      <c r="T293" s="45"/>
    </row>
    <row r="294" spans="14:20">
      <c r="N294" s="45"/>
      <c r="O294" s="45"/>
      <c r="P294" s="45"/>
      <c r="Q294" s="45"/>
      <c r="R294" s="45"/>
      <c r="S294" s="45"/>
      <c r="T294" s="45"/>
    </row>
    <row r="295" spans="14:20">
      <c r="N295" s="45"/>
      <c r="O295" s="45"/>
      <c r="P295" s="45"/>
      <c r="Q295" s="45"/>
      <c r="R295" s="45"/>
      <c r="S295" s="45"/>
      <c r="T295" s="45"/>
    </row>
    <row r="296" spans="14:20">
      <c r="N296" s="45"/>
      <c r="O296" s="45"/>
      <c r="P296" s="45"/>
      <c r="Q296" s="45"/>
      <c r="R296" s="45"/>
      <c r="S296" s="45"/>
      <c r="T296" s="45"/>
    </row>
    <row r="297" spans="14:20">
      <c r="N297" s="45"/>
      <c r="O297" s="45"/>
      <c r="P297" s="45"/>
      <c r="Q297" s="45"/>
      <c r="R297" s="45"/>
      <c r="S297" s="45"/>
      <c r="T297" s="45"/>
    </row>
    <row r="298" spans="14:20">
      <c r="N298" s="45"/>
      <c r="O298" s="45"/>
      <c r="P298" s="45"/>
      <c r="Q298" s="45"/>
      <c r="R298" s="45"/>
      <c r="S298" s="45"/>
      <c r="T298" s="45"/>
    </row>
    <row r="299" spans="14:20">
      <c r="N299" s="45"/>
      <c r="O299" s="45"/>
      <c r="P299" s="45"/>
      <c r="Q299" s="45"/>
      <c r="R299" s="45"/>
      <c r="S299" s="45"/>
      <c r="T299" s="45"/>
    </row>
    <row r="300" spans="14:20">
      <c r="N300" s="45"/>
      <c r="O300" s="45"/>
      <c r="P300" s="45"/>
      <c r="Q300" s="45"/>
      <c r="R300" s="45"/>
      <c r="S300" s="45"/>
      <c r="T300" s="45"/>
    </row>
    <row r="301" spans="14:20">
      <c r="N301" s="45"/>
      <c r="O301" s="45"/>
      <c r="P301" s="45"/>
      <c r="Q301" s="45"/>
      <c r="R301" s="45"/>
      <c r="S301" s="45"/>
      <c r="T301" s="45"/>
    </row>
    <row r="302" spans="14:20">
      <c r="N302" s="45"/>
      <c r="O302" s="45"/>
      <c r="P302" s="45"/>
      <c r="Q302" s="45"/>
      <c r="R302" s="45"/>
      <c r="S302" s="45"/>
      <c r="T302" s="45"/>
    </row>
    <row r="303" spans="14:20">
      <c r="N303" s="45"/>
      <c r="O303" s="45"/>
      <c r="P303" s="45"/>
      <c r="Q303" s="45"/>
      <c r="R303" s="45"/>
      <c r="S303" s="45"/>
      <c r="T303" s="45"/>
    </row>
    <row r="304" spans="14:20">
      <c r="N304" s="45"/>
      <c r="O304" s="45"/>
      <c r="P304" s="45"/>
      <c r="Q304" s="45"/>
      <c r="R304" s="45"/>
      <c r="S304" s="45"/>
      <c r="T304" s="45"/>
    </row>
    <row r="305" spans="14:20">
      <c r="N305" s="45"/>
      <c r="O305" s="45"/>
      <c r="P305" s="45"/>
      <c r="Q305" s="45"/>
      <c r="R305" s="45"/>
      <c r="S305" s="45"/>
      <c r="T305" s="45"/>
    </row>
    <row r="306" spans="14:20">
      <c r="N306" s="45"/>
      <c r="O306" s="45"/>
      <c r="P306" s="45"/>
      <c r="Q306" s="45"/>
      <c r="R306" s="45"/>
      <c r="S306" s="45"/>
      <c r="T306" s="45"/>
    </row>
    <row r="307" spans="14:20">
      <c r="N307" s="45"/>
      <c r="O307" s="45"/>
      <c r="P307" s="45"/>
      <c r="Q307" s="45"/>
      <c r="R307" s="45"/>
      <c r="S307" s="45"/>
      <c r="T307" s="45"/>
    </row>
    <row r="308" spans="14:20">
      <c r="N308" s="45"/>
      <c r="O308" s="45"/>
      <c r="P308" s="45"/>
      <c r="Q308" s="45"/>
      <c r="R308" s="45"/>
      <c r="S308" s="45"/>
      <c r="T308" s="45"/>
    </row>
    <row r="309" spans="14:20">
      <c r="N309" s="45"/>
      <c r="O309" s="45"/>
      <c r="P309" s="45"/>
      <c r="Q309" s="45"/>
      <c r="R309" s="45"/>
      <c r="S309" s="45"/>
      <c r="T309" s="45"/>
    </row>
    <row r="310" spans="14:20">
      <c r="N310" s="45"/>
      <c r="O310" s="45"/>
      <c r="P310" s="45"/>
      <c r="Q310" s="45"/>
      <c r="R310" s="45"/>
      <c r="S310" s="45"/>
      <c r="T310" s="45"/>
    </row>
    <row r="311" spans="14:20">
      <c r="N311" s="45"/>
      <c r="O311" s="45"/>
      <c r="P311" s="45"/>
      <c r="Q311" s="45"/>
      <c r="R311" s="45"/>
      <c r="S311" s="45"/>
      <c r="T311" s="45"/>
    </row>
    <row r="312" spans="14:20">
      <c r="N312" s="45"/>
      <c r="O312" s="45"/>
      <c r="P312" s="45"/>
      <c r="Q312" s="45"/>
      <c r="R312" s="45"/>
      <c r="S312" s="45"/>
      <c r="T312" s="45"/>
    </row>
    <row r="313" spans="14:20">
      <c r="N313" s="45"/>
      <c r="O313" s="45"/>
      <c r="P313" s="45"/>
      <c r="Q313" s="45"/>
      <c r="R313" s="45"/>
      <c r="S313" s="45"/>
      <c r="T313" s="45"/>
    </row>
    <row r="314" spans="14:20">
      <c r="N314" s="45"/>
      <c r="O314" s="45"/>
      <c r="P314" s="45"/>
      <c r="Q314" s="45"/>
      <c r="R314" s="45"/>
      <c r="S314" s="45"/>
      <c r="T314" s="45"/>
    </row>
    <row r="315" spans="14:20">
      <c r="N315" s="45"/>
      <c r="O315" s="45"/>
      <c r="P315" s="45"/>
      <c r="Q315" s="45"/>
      <c r="R315" s="45"/>
      <c r="S315" s="45"/>
      <c r="T315" s="45"/>
    </row>
    <row r="316" spans="14:20">
      <c r="N316" s="45"/>
      <c r="O316" s="45"/>
      <c r="P316" s="45"/>
      <c r="Q316" s="45"/>
      <c r="R316" s="45"/>
      <c r="S316" s="45"/>
      <c r="T316" s="45"/>
    </row>
    <row r="317" spans="14:20">
      <c r="N317" s="45"/>
      <c r="O317" s="45"/>
      <c r="P317" s="45"/>
      <c r="Q317" s="45"/>
      <c r="R317" s="45"/>
      <c r="S317" s="45"/>
      <c r="T317" s="45"/>
    </row>
    <row r="318" spans="14:20">
      <c r="N318" s="45"/>
      <c r="O318" s="45"/>
      <c r="P318" s="45"/>
      <c r="Q318" s="45"/>
      <c r="R318" s="45"/>
      <c r="S318" s="45"/>
      <c r="T318" s="45"/>
    </row>
    <row r="319" spans="14:20">
      <c r="N319" s="45"/>
      <c r="O319" s="45"/>
      <c r="P319" s="45"/>
      <c r="Q319" s="45"/>
      <c r="R319" s="45"/>
      <c r="S319" s="45"/>
      <c r="T319" s="45"/>
    </row>
    <row r="320" spans="14:20">
      <c r="N320" s="45"/>
      <c r="O320" s="45"/>
      <c r="P320" s="45"/>
      <c r="Q320" s="45"/>
      <c r="R320" s="45"/>
      <c r="S320" s="45"/>
      <c r="T320" s="45"/>
    </row>
    <row r="321" spans="14:20">
      <c r="N321" s="45"/>
      <c r="O321" s="45"/>
      <c r="P321" s="45"/>
      <c r="Q321" s="45"/>
      <c r="R321" s="45"/>
      <c r="S321" s="45"/>
      <c r="T321" s="45"/>
    </row>
    <row r="322" spans="14:20">
      <c r="N322" s="45"/>
      <c r="O322" s="45"/>
      <c r="P322" s="45"/>
      <c r="Q322" s="45"/>
      <c r="R322" s="45"/>
      <c r="S322" s="45"/>
      <c r="T322" s="45"/>
    </row>
    <row r="323" spans="14:20">
      <c r="N323" s="45"/>
      <c r="O323" s="45"/>
      <c r="P323" s="45"/>
      <c r="Q323" s="45"/>
      <c r="R323" s="45"/>
      <c r="S323" s="45"/>
      <c r="T323" s="45"/>
    </row>
    <row r="324" spans="14:20">
      <c r="N324" s="45"/>
      <c r="O324" s="45"/>
      <c r="P324" s="45"/>
      <c r="Q324" s="45"/>
      <c r="R324" s="45"/>
      <c r="S324" s="45"/>
      <c r="T324" s="45"/>
    </row>
    <row r="325" spans="14:20">
      <c r="N325" s="45"/>
      <c r="O325" s="45"/>
      <c r="P325" s="45"/>
      <c r="Q325" s="45"/>
      <c r="R325" s="45"/>
      <c r="S325" s="45"/>
      <c r="T325" s="45"/>
    </row>
    <row r="326" spans="14:20">
      <c r="N326" s="45"/>
      <c r="O326" s="45"/>
      <c r="P326" s="45"/>
      <c r="Q326" s="45"/>
      <c r="R326" s="45"/>
      <c r="S326" s="45"/>
      <c r="T326" s="45"/>
    </row>
    <row r="327" spans="14:20">
      <c r="N327" s="45"/>
      <c r="O327" s="45"/>
      <c r="P327" s="45"/>
      <c r="Q327" s="45"/>
      <c r="R327" s="45"/>
      <c r="S327" s="45"/>
      <c r="T327" s="45"/>
    </row>
    <row r="328" spans="14:20">
      <c r="N328" s="45"/>
      <c r="O328" s="45"/>
      <c r="P328" s="45"/>
      <c r="Q328" s="45"/>
      <c r="R328" s="45"/>
      <c r="S328" s="45"/>
      <c r="T328" s="45"/>
    </row>
    <row r="329" spans="14:20">
      <c r="N329" s="45"/>
      <c r="O329" s="45"/>
      <c r="P329" s="45"/>
      <c r="Q329" s="45"/>
      <c r="R329" s="45"/>
      <c r="S329" s="45"/>
      <c r="T329" s="45"/>
    </row>
    <row r="330" spans="14:20">
      <c r="N330" s="45"/>
      <c r="O330" s="45"/>
      <c r="P330" s="45"/>
      <c r="Q330" s="45"/>
      <c r="R330" s="45"/>
      <c r="S330" s="45"/>
      <c r="T330" s="45"/>
    </row>
    <row r="331" spans="14:20">
      <c r="N331" s="45"/>
      <c r="O331" s="45"/>
      <c r="P331" s="45"/>
      <c r="Q331" s="45"/>
      <c r="R331" s="45"/>
      <c r="S331" s="45"/>
      <c r="T331" s="45"/>
    </row>
    <row r="332" spans="14:20">
      <c r="N332" s="45"/>
      <c r="O332" s="45"/>
      <c r="P332" s="45"/>
      <c r="Q332" s="45"/>
      <c r="R332" s="45"/>
      <c r="S332" s="45"/>
      <c r="T332" s="45"/>
    </row>
    <row r="333" spans="14:20">
      <c r="N333" s="45"/>
      <c r="O333" s="45"/>
      <c r="P333" s="45"/>
      <c r="Q333" s="45"/>
      <c r="R333" s="45"/>
      <c r="S333" s="45"/>
      <c r="T333" s="45"/>
    </row>
    <row r="334" spans="14:20">
      <c r="N334" s="45"/>
      <c r="O334" s="45"/>
      <c r="P334" s="45"/>
      <c r="Q334" s="45"/>
      <c r="R334" s="45"/>
      <c r="S334" s="45"/>
      <c r="T334" s="45"/>
    </row>
    <row r="335" spans="14:20">
      <c r="N335" s="45"/>
      <c r="O335" s="45"/>
      <c r="P335" s="45"/>
      <c r="Q335" s="45"/>
      <c r="R335" s="45"/>
      <c r="S335" s="45"/>
      <c r="T335" s="45"/>
    </row>
    <row r="336" spans="14:20">
      <c r="N336" s="45"/>
      <c r="O336" s="45"/>
      <c r="P336" s="45"/>
      <c r="Q336" s="45"/>
      <c r="R336" s="45"/>
      <c r="S336" s="45"/>
      <c r="T336" s="45"/>
    </row>
    <row r="337" spans="14:20">
      <c r="N337" s="45"/>
      <c r="O337" s="45"/>
      <c r="P337" s="45"/>
      <c r="Q337" s="45"/>
      <c r="R337" s="45"/>
      <c r="S337" s="45"/>
      <c r="T337" s="45"/>
    </row>
    <row r="338" spans="14:20">
      <c r="N338" s="45"/>
      <c r="O338" s="45"/>
      <c r="P338" s="45"/>
      <c r="Q338" s="45"/>
      <c r="R338" s="45"/>
      <c r="S338" s="45"/>
      <c r="T338" s="45"/>
    </row>
    <row r="339" spans="14:20">
      <c r="N339" s="45"/>
      <c r="O339" s="45"/>
      <c r="P339" s="45"/>
      <c r="Q339" s="45"/>
      <c r="R339" s="45"/>
      <c r="S339" s="45"/>
      <c r="T339" s="45"/>
    </row>
    <row r="340" spans="14:20">
      <c r="N340" s="45"/>
      <c r="O340" s="45"/>
      <c r="P340" s="45"/>
      <c r="Q340" s="45"/>
      <c r="R340" s="45"/>
      <c r="S340" s="45"/>
      <c r="T340" s="45"/>
    </row>
    <row r="341" spans="14:20">
      <c r="N341" s="45"/>
      <c r="O341" s="45"/>
      <c r="P341" s="45"/>
      <c r="Q341" s="45"/>
      <c r="R341" s="45"/>
      <c r="S341" s="45"/>
      <c r="T341" s="45"/>
    </row>
    <row r="342" spans="14:20">
      <c r="N342" s="45"/>
      <c r="O342" s="45"/>
      <c r="P342" s="45"/>
      <c r="Q342" s="45"/>
      <c r="R342" s="45"/>
      <c r="S342" s="45"/>
      <c r="T342" s="45"/>
    </row>
    <row r="343" spans="14:20">
      <c r="N343" s="45"/>
      <c r="O343" s="45"/>
      <c r="P343" s="45"/>
      <c r="Q343" s="45"/>
      <c r="R343" s="45"/>
      <c r="S343" s="45"/>
      <c r="T343" s="45"/>
    </row>
    <row r="344" spans="14:20">
      <c r="N344" s="45"/>
      <c r="O344" s="45"/>
      <c r="P344" s="45"/>
      <c r="Q344" s="45"/>
      <c r="R344" s="45"/>
      <c r="S344" s="45"/>
      <c r="T344" s="45"/>
    </row>
    <row r="345" spans="14:20">
      <c r="N345" s="45"/>
      <c r="O345" s="45"/>
      <c r="P345" s="45"/>
      <c r="Q345" s="45"/>
      <c r="R345" s="45"/>
      <c r="S345" s="45"/>
      <c r="T345" s="45"/>
    </row>
    <row r="346" spans="14:20">
      <c r="N346" s="45"/>
      <c r="O346" s="45"/>
      <c r="P346" s="45"/>
      <c r="Q346" s="45"/>
      <c r="R346" s="45"/>
      <c r="S346" s="45"/>
      <c r="T346" s="45"/>
    </row>
    <row r="347" spans="14:20">
      <c r="N347" s="45"/>
      <c r="O347" s="45"/>
      <c r="P347" s="45"/>
      <c r="Q347" s="45"/>
      <c r="R347" s="45"/>
      <c r="S347" s="45"/>
      <c r="T347" s="45"/>
    </row>
    <row r="348" spans="14:20">
      <c r="N348" s="45"/>
      <c r="O348" s="45"/>
      <c r="P348" s="45"/>
      <c r="Q348" s="45"/>
      <c r="R348" s="45"/>
      <c r="S348" s="45"/>
      <c r="T348" s="45"/>
    </row>
    <row r="349" spans="14:20">
      <c r="N349" s="45"/>
      <c r="O349" s="45"/>
      <c r="P349" s="45"/>
      <c r="Q349" s="45"/>
      <c r="R349" s="45"/>
      <c r="S349" s="45"/>
      <c r="T349" s="45"/>
    </row>
    <row r="350" spans="14:20">
      <c r="N350" s="45"/>
      <c r="O350" s="45"/>
      <c r="P350" s="45"/>
      <c r="Q350" s="45"/>
      <c r="R350" s="45"/>
      <c r="S350" s="45"/>
      <c r="T350" s="45"/>
    </row>
    <row r="351" spans="14:20">
      <c r="N351" s="45"/>
      <c r="O351" s="45"/>
      <c r="P351" s="45"/>
      <c r="Q351" s="45"/>
      <c r="R351" s="45"/>
      <c r="S351" s="45"/>
      <c r="T351" s="45"/>
    </row>
    <row r="352" spans="14:20">
      <c r="N352" s="45"/>
      <c r="O352" s="45"/>
      <c r="P352" s="45"/>
      <c r="Q352" s="45"/>
      <c r="R352" s="45"/>
      <c r="S352" s="45"/>
      <c r="T352" s="45"/>
    </row>
    <row r="353" spans="14:20">
      <c r="N353" s="45"/>
      <c r="O353" s="45"/>
      <c r="P353" s="45"/>
      <c r="Q353" s="45"/>
      <c r="R353" s="45"/>
      <c r="S353" s="45"/>
      <c r="T353" s="45"/>
    </row>
    <row r="354" spans="14:20">
      <c r="N354" s="45"/>
      <c r="O354" s="45"/>
      <c r="P354" s="45"/>
      <c r="Q354" s="45"/>
      <c r="R354" s="45"/>
      <c r="S354" s="45"/>
      <c r="T354" s="45"/>
    </row>
    <row r="355" spans="14:20">
      <c r="N355" s="45"/>
      <c r="O355" s="45"/>
      <c r="P355" s="45"/>
      <c r="Q355" s="45"/>
      <c r="R355" s="45"/>
      <c r="S355" s="45"/>
      <c r="T355" s="45"/>
    </row>
    <row r="356" spans="14:20">
      <c r="N356" s="45"/>
      <c r="O356" s="45"/>
      <c r="P356" s="45"/>
      <c r="Q356" s="45"/>
      <c r="R356" s="45"/>
      <c r="S356" s="45"/>
      <c r="T356" s="45"/>
    </row>
  </sheetData>
  <mergeCells count="2">
    <mergeCell ref="A1:K1"/>
    <mergeCell ref="A18:K19"/>
  </mergeCells>
  <printOptions horizontalCentered="1" verticalCentered="1"/>
  <pageMargins left="0.4" right="0.4" top="0.25" bottom="0.25" header="0.31496062992126" footer="0.31496062992126"/>
  <pageSetup scale="57"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L68"/>
  <sheetViews>
    <sheetView showGridLines="0" view="pageBreakPreview" zoomScale="85" zoomScaleNormal="100" zoomScaleSheetLayoutView="85" workbookViewId="0">
      <pane ySplit="1" topLeftCell="A2" activePane="bottomLeft" state="frozen"/>
      <selection activeCell="M22" sqref="M22"/>
      <selection pane="bottomLeft" activeCell="J26" sqref="J26"/>
    </sheetView>
  </sheetViews>
  <sheetFormatPr baseColWidth="10" defaultColWidth="11.5703125" defaultRowHeight="15"/>
  <cols>
    <col min="1" max="1" width="27.7109375" style="50" customWidth="1"/>
    <col min="2" max="2" width="20.42578125" bestFit="1" customWidth="1"/>
    <col min="3" max="3" width="16.42578125" style="84" bestFit="1" customWidth="1"/>
    <col min="4" max="6" width="17.42578125" style="84" bestFit="1" customWidth="1"/>
    <col min="7" max="10" width="17.42578125" bestFit="1" customWidth="1"/>
    <col min="11" max="11" width="17.140625" customWidth="1"/>
    <col min="13" max="13" width="22.140625" bestFit="1" customWidth="1"/>
    <col min="15" max="15" width="22.140625" bestFit="1" customWidth="1"/>
  </cols>
  <sheetData>
    <row r="1" spans="1:12" ht="81.75" customHeight="1">
      <c r="A1" s="1850"/>
      <c r="B1" s="1850"/>
      <c r="C1" s="1850"/>
      <c r="D1" s="1850"/>
      <c r="E1" s="1850"/>
      <c r="F1" s="1850"/>
      <c r="G1" s="1850"/>
      <c r="H1" s="1850"/>
      <c r="I1" s="1850"/>
      <c r="J1" s="1850"/>
      <c r="K1" s="1850"/>
    </row>
    <row r="2" spans="1:12" s="84" customFormat="1" ht="9.75" customHeight="1">
      <c r="A2" s="227"/>
      <c r="B2" s="193"/>
      <c r="C2" s="193"/>
      <c r="D2" s="193"/>
      <c r="E2" s="193"/>
      <c r="F2" s="193"/>
      <c r="G2" s="193"/>
      <c r="H2" s="193"/>
      <c r="I2" s="193"/>
      <c r="J2" s="193"/>
      <c r="K2" s="193"/>
    </row>
    <row r="3" spans="1:12" ht="25.5">
      <c r="A3" s="1470" t="s">
        <v>108</v>
      </c>
      <c r="B3" s="1471" t="s">
        <v>668</v>
      </c>
      <c r="C3" s="1472" t="s">
        <v>632</v>
      </c>
      <c r="D3" s="1472" t="s">
        <v>628</v>
      </c>
      <c r="E3" s="1473" t="s">
        <v>619</v>
      </c>
      <c r="F3" s="1473" t="s">
        <v>506</v>
      </c>
      <c r="G3" s="1474">
        <v>2011</v>
      </c>
      <c r="H3" s="1474" t="s">
        <v>151</v>
      </c>
      <c r="I3" s="1474" t="s">
        <v>10</v>
      </c>
      <c r="J3" s="1474" t="s">
        <v>9</v>
      </c>
      <c r="K3" s="1475" t="s">
        <v>179</v>
      </c>
      <c r="L3" s="24"/>
    </row>
    <row r="4" spans="1:12">
      <c r="A4" s="1476" t="s">
        <v>110</v>
      </c>
      <c r="B4" s="1477">
        <f t="shared" ref="B4:B32" si="0">SUM(C4:K4)</f>
        <v>51098109025.619995</v>
      </c>
      <c r="C4" s="1478">
        <v>954952429.44000006</v>
      </c>
      <c r="D4" s="1479">
        <v>10983547966.809999</v>
      </c>
      <c r="E4" s="1479">
        <v>9607837034.2199993</v>
      </c>
      <c r="F4" s="1479">
        <v>8353917156.0299997</v>
      </c>
      <c r="G4" s="1479">
        <v>7058982563.4399996</v>
      </c>
      <c r="H4" s="1479">
        <v>5993827607.7299995</v>
      </c>
      <c r="I4" s="1479">
        <v>4255864090.8899999</v>
      </c>
      <c r="J4" s="1479">
        <v>3171956840.4299998</v>
      </c>
      <c r="K4" s="1480">
        <v>717223336.63</v>
      </c>
      <c r="L4" s="24"/>
    </row>
    <row r="5" spans="1:12">
      <c r="A5" s="1476" t="s">
        <v>451</v>
      </c>
      <c r="B5" s="1477">
        <f t="shared" si="0"/>
        <v>21850772792.589996</v>
      </c>
      <c r="C5" s="1478">
        <v>425634324.60000002</v>
      </c>
      <c r="D5" s="1479">
        <v>4893712873.4899998</v>
      </c>
      <c r="E5" s="1479">
        <v>4219650063.0100002</v>
      </c>
      <c r="F5" s="1479">
        <v>3583267317.25</v>
      </c>
      <c r="G5" s="1479">
        <v>2917251369.6199999</v>
      </c>
      <c r="H5" s="1479">
        <v>2453330107.3899999</v>
      </c>
      <c r="I5" s="1479">
        <v>1730845321.46</v>
      </c>
      <c r="J5" s="1479">
        <v>1321741372.6700001</v>
      </c>
      <c r="K5" s="1480">
        <v>305340043.10000002</v>
      </c>
      <c r="L5" s="24"/>
    </row>
    <row r="6" spans="1:12">
      <c r="A6" s="1476" t="s">
        <v>113</v>
      </c>
      <c r="B6" s="1477">
        <f t="shared" si="0"/>
        <v>20775155266.199997</v>
      </c>
      <c r="C6" s="1478">
        <v>397471792.36000001</v>
      </c>
      <c r="D6" s="1479">
        <v>4732632296.4300003</v>
      </c>
      <c r="E6" s="1479">
        <v>4513278180.0799999</v>
      </c>
      <c r="F6" s="1479">
        <v>4227970510.3499999</v>
      </c>
      <c r="G6" s="1479">
        <v>1418521323.0899999</v>
      </c>
      <c r="H6" s="1479">
        <v>2673949903.4499998</v>
      </c>
      <c r="I6" s="1479">
        <v>1522359931.3</v>
      </c>
      <c r="J6" s="1479">
        <v>837169120.65999997</v>
      </c>
      <c r="K6" s="1480">
        <v>451802208.48000002</v>
      </c>
      <c r="L6" s="24"/>
    </row>
    <row r="7" spans="1:12">
      <c r="A7" s="1476" t="s">
        <v>112</v>
      </c>
      <c r="B7" s="1477">
        <f t="shared" si="0"/>
        <v>18976336642.669998</v>
      </c>
      <c r="C7" s="1481">
        <v>341120863.68000001</v>
      </c>
      <c r="D7" s="1482">
        <v>4114822500.02</v>
      </c>
      <c r="E7" s="1482">
        <v>3882133121.6999998</v>
      </c>
      <c r="F7" s="1482">
        <v>2827902358.5799999</v>
      </c>
      <c r="G7" s="1479">
        <v>2348696304.6199999</v>
      </c>
      <c r="H7" s="1479">
        <v>2159111716.5100002</v>
      </c>
      <c r="I7" s="1479">
        <v>1693827132.6099999</v>
      </c>
      <c r="J7" s="1479">
        <v>1308068082.8399999</v>
      </c>
      <c r="K7" s="1480">
        <v>300654562.11000001</v>
      </c>
      <c r="L7" s="24"/>
    </row>
    <row r="8" spans="1:12">
      <c r="A8" s="1476" t="s">
        <v>111</v>
      </c>
      <c r="B8" s="1477">
        <f t="shared" si="0"/>
        <v>12852422108.719999</v>
      </c>
      <c r="C8" s="1481">
        <v>72659432.819999993</v>
      </c>
      <c r="D8" s="1482">
        <v>978092827.33000004</v>
      </c>
      <c r="E8" s="1482">
        <v>1082661823.8499999</v>
      </c>
      <c r="F8" s="1482">
        <v>1207272450.53</v>
      </c>
      <c r="G8" s="1479">
        <v>3576534755.3000002</v>
      </c>
      <c r="H8" s="1479">
        <v>1854716686.5899999</v>
      </c>
      <c r="I8" s="1479">
        <v>1853101176.1400001</v>
      </c>
      <c r="J8" s="1479">
        <v>2032990871.3399999</v>
      </c>
      <c r="K8" s="1480">
        <v>194392084.81999999</v>
      </c>
      <c r="L8" s="24"/>
    </row>
    <row r="9" spans="1:12">
      <c r="A9" s="1476" t="s">
        <v>114</v>
      </c>
      <c r="B9" s="1477">
        <f t="shared" si="0"/>
        <v>8465457286.1900005</v>
      </c>
      <c r="C9" s="1481">
        <v>105523360.53</v>
      </c>
      <c r="D9" s="1482">
        <v>1141651799.97</v>
      </c>
      <c r="E9" s="1482">
        <v>1100171649.97</v>
      </c>
      <c r="F9" s="1482">
        <v>1108857163.1099999</v>
      </c>
      <c r="G9" s="1479">
        <v>1156590386.46</v>
      </c>
      <c r="H9" s="1479">
        <v>1325824546.05</v>
      </c>
      <c r="I9" s="1479">
        <v>1179591255.9300001</v>
      </c>
      <c r="J9" s="1479">
        <v>1086385507.04</v>
      </c>
      <c r="K9" s="1480">
        <v>260861617.13</v>
      </c>
      <c r="L9" s="24"/>
    </row>
    <row r="10" spans="1:12">
      <c r="A10" s="1476" t="s">
        <v>205</v>
      </c>
      <c r="B10" s="1477">
        <f t="shared" si="0"/>
        <v>3144714368.4300008</v>
      </c>
      <c r="C10" s="1481">
        <v>25344099.66</v>
      </c>
      <c r="D10" s="1501">
        <v>0</v>
      </c>
      <c r="E10" s="1501">
        <v>0</v>
      </c>
      <c r="F10" s="1482">
        <v>543095997.98000002</v>
      </c>
      <c r="G10" s="1479">
        <v>713723197.57000005</v>
      </c>
      <c r="H10" s="1479">
        <v>664368054.84000003</v>
      </c>
      <c r="I10" s="1479">
        <v>532130158.67000002</v>
      </c>
      <c r="J10" s="1479">
        <v>540021886.18000007</v>
      </c>
      <c r="K10" s="1480">
        <v>126030973.53</v>
      </c>
      <c r="L10" s="24"/>
    </row>
    <row r="11" spans="1:12">
      <c r="A11" s="1476" t="s">
        <v>118</v>
      </c>
      <c r="B11" s="1477">
        <f t="shared" si="0"/>
        <v>2890757885.2999997</v>
      </c>
      <c r="C11" s="1481">
        <v>104264547.45</v>
      </c>
      <c r="D11" s="1482">
        <v>970844788.00999999</v>
      </c>
      <c r="E11" s="1482">
        <v>639742830.92999995</v>
      </c>
      <c r="F11" s="1482">
        <v>531091333.37</v>
      </c>
      <c r="G11" s="1479">
        <v>164597786.84</v>
      </c>
      <c r="H11" s="1479">
        <v>212070337.19999999</v>
      </c>
      <c r="I11" s="1479">
        <v>143613388.97999999</v>
      </c>
      <c r="J11" s="1479">
        <v>101815700.27</v>
      </c>
      <c r="K11" s="1480">
        <v>22717172.25</v>
      </c>
      <c r="L11" s="24"/>
    </row>
    <row r="12" spans="1:12">
      <c r="A12" s="1476" t="s">
        <v>162</v>
      </c>
      <c r="B12" s="1477">
        <f t="shared" si="0"/>
        <v>2518191487.8299999</v>
      </c>
      <c r="C12" s="1481">
        <v>43503466.32</v>
      </c>
      <c r="D12" s="1482">
        <v>517246744.63</v>
      </c>
      <c r="E12" s="1482">
        <v>473446266.83999997</v>
      </c>
      <c r="F12" s="1482">
        <v>435689492.37</v>
      </c>
      <c r="G12" s="1479">
        <v>277244404.79000002</v>
      </c>
      <c r="H12" s="1479">
        <v>324858266.55000001</v>
      </c>
      <c r="I12" s="1479">
        <v>237105863.31999999</v>
      </c>
      <c r="J12" s="1479">
        <v>188778365.44</v>
      </c>
      <c r="K12" s="1480">
        <v>20318617.57</v>
      </c>
      <c r="L12" s="24"/>
    </row>
    <row r="13" spans="1:12">
      <c r="A13" s="1476" t="s">
        <v>115</v>
      </c>
      <c r="B13" s="1477">
        <f t="shared" si="0"/>
        <v>2163231786.7200003</v>
      </c>
      <c r="C13" s="1499">
        <v>0</v>
      </c>
      <c r="D13" s="1501">
        <v>0</v>
      </c>
      <c r="E13" s="1501">
        <v>0</v>
      </c>
      <c r="F13" s="1482">
        <v>421484991.5</v>
      </c>
      <c r="G13" s="1479">
        <v>442351015.86000001</v>
      </c>
      <c r="H13" s="1479">
        <v>453220008.48000002</v>
      </c>
      <c r="I13" s="1479">
        <v>392090764.45999998</v>
      </c>
      <c r="J13" s="1479">
        <v>388215503.41000003</v>
      </c>
      <c r="K13" s="1480">
        <v>65869503.009999998</v>
      </c>
      <c r="L13" s="24"/>
    </row>
    <row r="14" spans="1:12">
      <c r="A14" s="1476" t="s">
        <v>117</v>
      </c>
      <c r="B14" s="1477">
        <f t="shared" si="0"/>
        <v>2059799723.8399999</v>
      </c>
      <c r="C14" s="1481">
        <v>45777075.75</v>
      </c>
      <c r="D14" s="1482">
        <v>516044438.89999998</v>
      </c>
      <c r="E14" s="1482">
        <v>440612182.11000001</v>
      </c>
      <c r="F14" s="1482">
        <v>362032677.48000002</v>
      </c>
      <c r="G14" s="1479">
        <v>164358672.62</v>
      </c>
      <c r="H14" s="1479">
        <v>212481656.75</v>
      </c>
      <c r="I14" s="1479">
        <v>144258968.12</v>
      </c>
      <c r="J14" s="1479">
        <v>142744043.59999999</v>
      </c>
      <c r="K14" s="1480">
        <v>31490008.510000002</v>
      </c>
      <c r="L14" s="24"/>
    </row>
    <row r="15" spans="1:12">
      <c r="A15" s="1476" t="s">
        <v>223</v>
      </c>
      <c r="B15" s="1477">
        <f t="shared" si="0"/>
        <v>1788472787.6899998</v>
      </c>
      <c r="C15" s="1499">
        <v>0</v>
      </c>
      <c r="D15" s="1482">
        <v>258311833.18000001</v>
      </c>
      <c r="E15" s="1482">
        <v>215448057.84</v>
      </c>
      <c r="F15" s="1482">
        <v>180182244.78999999</v>
      </c>
      <c r="G15" s="1479">
        <v>376763650.83999997</v>
      </c>
      <c r="H15" s="1479">
        <v>230757864.44</v>
      </c>
      <c r="I15" s="1479">
        <v>179223706.03999999</v>
      </c>
      <c r="J15" s="1479">
        <v>279898886.94999999</v>
      </c>
      <c r="K15" s="1480">
        <v>67886543.609999999</v>
      </c>
      <c r="L15" s="24"/>
    </row>
    <row r="16" spans="1:12">
      <c r="A16" s="1476" t="s">
        <v>120</v>
      </c>
      <c r="B16" s="1477">
        <f t="shared" si="0"/>
        <v>1699935751.0800002</v>
      </c>
      <c r="C16" s="1481">
        <v>39677432.039999999</v>
      </c>
      <c r="D16" s="1482">
        <v>443167668.97000003</v>
      </c>
      <c r="E16" s="1482">
        <v>372436306.32999998</v>
      </c>
      <c r="F16" s="1482">
        <v>320437811.80000001</v>
      </c>
      <c r="G16" s="1479">
        <v>168441449.5</v>
      </c>
      <c r="H16" s="1479">
        <v>177045106.05000001</v>
      </c>
      <c r="I16" s="1479">
        <v>99785424.680000007</v>
      </c>
      <c r="J16" s="1479">
        <v>59317583.659999996</v>
      </c>
      <c r="K16" s="1480">
        <v>19626968.050000001</v>
      </c>
      <c r="L16" s="24"/>
    </row>
    <row r="17" spans="1:12">
      <c r="A17" s="1476" t="s">
        <v>102</v>
      </c>
      <c r="B17" s="1477">
        <f t="shared" si="0"/>
        <v>1560976781.3600001</v>
      </c>
      <c r="C17" s="1481">
        <v>21388062.359999999</v>
      </c>
      <c r="D17" s="1482">
        <v>247529123.78999999</v>
      </c>
      <c r="E17" s="1482">
        <v>228289268.22</v>
      </c>
      <c r="F17" s="1482">
        <v>219725858.91</v>
      </c>
      <c r="G17" s="1479">
        <v>328109846.66000003</v>
      </c>
      <c r="H17" s="1479">
        <v>185320118.5</v>
      </c>
      <c r="I17" s="1479">
        <v>156843229.44999999</v>
      </c>
      <c r="J17" s="1479">
        <v>142842652.22999999</v>
      </c>
      <c r="K17" s="1480">
        <v>30928621.239999998</v>
      </c>
      <c r="L17" s="24"/>
    </row>
    <row r="18" spans="1:12">
      <c r="A18" s="1476" t="s">
        <v>202</v>
      </c>
      <c r="B18" s="1477">
        <f t="shared" si="0"/>
        <v>1394862052.8799999</v>
      </c>
      <c r="C18" s="1481">
        <v>41391865.350000001</v>
      </c>
      <c r="D18" s="1482">
        <v>359504426.99000001</v>
      </c>
      <c r="E18" s="1482">
        <v>217473814.38999999</v>
      </c>
      <c r="F18" s="1482">
        <v>162704809.56</v>
      </c>
      <c r="G18" s="1479">
        <v>242443956.69</v>
      </c>
      <c r="H18" s="1479">
        <v>147377060.99000001</v>
      </c>
      <c r="I18" s="1479">
        <v>112268471.84999999</v>
      </c>
      <c r="J18" s="1479">
        <v>101180101.09999999</v>
      </c>
      <c r="K18" s="1480">
        <v>10517545.960000001</v>
      </c>
      <c r="L18" s="24"/>
    </row>
    <row r="19" spans="1:12">
      <c r="A19" s="1476" t="s">
        <v>116</v>
      </c>
      <c r="B19" s="1477">
        <f t="shared" si="0"/>
        <v>1248478909.1500001</v>
      </c>
      <c r="C19" s="1481">
        <v>13836615.99</v>
      </c>
      <c r="D19" s="1482">
        <v>157228072.71000001</v>
      </c>
      <c r="E19" s="1482">
        <v>158346055.74000001</v>
      </c>
      <c r="F19" s="1482">
        <v>165405764.31</v>
      </c>
      <c r="G19" s="1479">
        <v>207747862.83000001</v>
      </c>
      <c r="H19" s="1479">
        <v>183095103.16999999</v>
      </c>
      <c r="I19" s="1479">
        <v>173289666.88999999</v>
      </c>
      <c r="J19" s="1479">
        <v>152381750.58000001</v>
      </c>
      <c r="K19" s="1480">
        <v>37148016.93</v>
      </c>
      <c r="L19" s="24"/>
    </row>
    <row r="20" spans="1:12">
      <c r="A20" s="1476" t="s">
        <v>119</v>
      </c>
      <c r="B20" s="1477">
        <f t="shared" si="0"/>
        <v>1217756712.27</v>
      </c>
      <c r="C20" s="1481">
        <v>15925231.74</v>
      </c>
      <c r="D20" s="1482">
        <v>188260257.72</v>
      </c>
      <c r="E20" s="1482">
        <v>176997737.69999999</v>
      </c>
      <c r="F20" s="1482">
        <v>165030447.47999999</v>
      </c>
      <c r="G20" s="1479">
        <v>200254647.37</v>
      </c>
      <c r="H20" s="1479">
        <v>162351674.63</v>
      </c>
      <c r="I20" s="1479">
        <v>133956323.18000001</v>
      </c>
      <c r="J20" s="1479">
        <v>144575101.05000001</v>
      </c>
      <c r="K20" s="1480">
        <v>30405291.399999999</v>
      </c>
      <c r="L20" s="24"/>
    </row>
    <row r="21" spans="1:12">
      <c r="A21" s="1476" t="s">
        <v>450</v>
      </c>
      <c r="B21" s="1477">
        <f t="shared" si="0"/>
        <v>1085885667.46</v>
      </c>
      <c r="C21" s="1481">
        <v>28594838.129999999</v>
      </c>
      <c r="D21" s="1482">
        <v>289565045.02999997</v>
      </c>
      <c r="E21" s="1482">
        <v>198348265.86000001</v>
      </c>
      <c r="F21" s="1482">
        <v>192373833.68000001</v>
      </c>
      <c r="G21" s="1479">
        <v>84838162.140000001</v>
      </c>
      <c r="H21" s="1479">
        <v>146415631.84</v>
      </c>
      <c r="I21" s="1479">
        <v>82340505.900000006</v>
      </c>
      <c r="J21" s="1479">
        <v>51990419.979999997</v>
      </c>
      <c r="K21" s="1480">
        <v>11418964.9</v>
      </c>
      <c r="L21" s="24"/>
    </row>
    <row r="22" spans="1:12">
      <c r="A22" s="1476" t="s">
        <v>121</v>
      </c>
      <c r="B22" s="1477">
        <f t="shared" si="0"/>
        <v>947216533.15999997</v>
      </c>
      <c r="C22" s="1481">
        <v>18436415.879999999</v>
      </c>
      <c r="D22" s="1482">
        <v>198373489.30000001</v>
      </c>
      <c r="E22" s="1482">
        <v>152949848.16</v>
      </c>
      <c r="F22" s="1482">
        <v>126354636.18000001</v>
      </c>
      <c r="G22" s="1479">
        <v>157728696.47</v>
      </c>
      <c r="H22" s="1479">
        <v>100744058.06999999</v>
      </c>
      <c r="I22" s="1479">
        <v>98244497.489999995</v>
      </c>
      <c r="J22" s="1479">
        <v>84894705.409999996</v>
      </c>
      <c r="K22" s="1480">
        <v>9490186.1999999993</v>
      </c>
      <c r="L22" s="24"/>
    </row>
    <row r="23" spans="1:12">
      <c r="A23" s="1476" t="s">
        <v>204</v>
      </c>
      <c r="B23" s="1477">
        <f t="shared" si="0"/>
        <v>751176204.28999949</v>
      </c>
      <c r="C23" s="1481">
        <v>22588512.210000001</v>
      </c>
      <c r="D23" s="1482">
        <v>254472361.72999999</v>
      </c>
      <c r="E23" s="1482">
        <v>206719754.03999999</v>
      </c>
      <c r="F23" s="1482">
        <v>167609040.38999999</v>
      </c>
      <c r="G23" s="1501">
        <v>0</v>
      </c>
      <c r="H23" s="1479">
        <v>97694135.319999993</v>
      </c>
      <c r="I23" s="1501">
        <v>0</v>
      </c>
      <c r="J23" s="1501">
        <v>0</v>
      </c>
      <c r="K23" s="1480">
        <v>2092400.5999994278</v>
      </c>
      <c r="L23" s="24"/>
    </row>
    <row r="24" spans="1:12">
      <c r="A24" s="1476" t="s">
        <v>122</v>
      </c>
      <c r="B24" s="1477">
        <f t="shared" si="0"/>
        <v>505681621.5399999</v>
      </c>
      <c r="C24" s="1481">
        <v>3297277.95</v>
      </c>
      <c r="D24" s="1482">
        <v>40249307.670000002</v>
      </c>
      <c r="E24" s="1482">
        <v>42257397.75</v>
      </c>
      <c r="F24" s="1482">
        <v>47552830.670000002</v>
      </c>
      <c r="G24" s="1479">
        <v>148201570.16</v>
      </c>
      <c r="H24" s="1479">
        <v>72128067.510000005</v>
      </c>
      <c r="I24" s="1479">
        <v>72945917.959999993</v>
      </c>
      <c r="J24" s="1479">
        <v>66282696.030000001</v>
      </c>
      <c r="K24" s="1480">
        <v>12766555.84</v>
      </c>
      <c r="L24" s="24"/>
    </row>
    <row r="25" spans="1:12">
      <c r="A25" s="1476" t="s">
        <v>203</v>
      </c>
      <c r="B25" s="1477">
        <f t="shared" si="0"/>
        <v>484656433.32999998</v>
      </c>
      <c r="C25" s="1481">
        <v>6905373.0300000003</v>
      </c>
      <c r="D25" s="1482">
        <v>83222214.719999999</v>
      </c>
      <c r="E25" s="1482">
        <v>79446217.159999996</v>
      </c>
      <c r="F25" s="1482">
        <v>78944015.969999999</v>
      </c>
      <c r="G25" s="1479">
        <v>50919574.450000003</v>
      </c>
      <c r="H25" s="1479">
        <v>67501380.629999995</v>
      </c>
      <c r="I25" s="1479">
        <v>58003635.020000003</v>
      </c>
      <c r="J25" s="1479">
        <v>53886807.359999999</v>
      </c>
      <c r="K25" s="1480">
        <v>5827214.9900000002</v>
      </c>
      <c r="L25" s="24"/>
    </row>
    <row r="26" spans="1:12">
      <c r="A26" s="1476" t="s">
        <v>123</v>
      </c>
      <c r="B26" s="1477">
        <f t="shared" si="0"/>
        <v>366725885.96000004</v>
      </c>
      <c r="C26" s="1481">
        <v>2703216.78</v>
      </c>
      <c r="D26" s="1482">
        <v>36451324.079999998</v>
      </c>
      <c r="E26" s="1482">
        <v>41174860.159999996</v>
      </c>
      <c r="F26" s="1482">
        <v>45850977.93</v>
      </c>
      <c r="G26" s="1479">
        <v>53812757.039999999</v>
      </c>
      <c r="H26" s="1479">
        <v>63399690.530000001</v>
      </c>
      <c r="I26" s="1479">
        <v>57287198.299999997</v>
      </c>
      <c r="J26" s="1479">
        <v>54700745.920000002</v>
      </c>
      <c r="K26" s="1480">
        <v>11345115.220000001</v>
      </c>
      <c r="L26" s="24"/>
    </row>
    <row r="27" spans="1:12">
      <c r="A27" s="1476" t="s">
        <v>161</v>
      </c>
      <c r="B27" s="1477">
        <f t="shared" si="0"/>
        <v>260644027.96000001</v>
      </c>
      <c r="C27" s="1499">
        <v>0</v>
      </c>
      <c r="D27" s="1500">
        <v>0</v>
      </c>
      <c r="E27" s="1500">
        <v>0</v>
      </c>
      <c r="F27" s="1500">
        <v>0</v>
      </c>
      <c r="G27" s="1479">
        <v>75662331.959999993</v>
      </c>
      <c r="H27" s="1501">
        <v>0</v>
      </c>
      <c r="I27" s="1479">
        <v>84626497.980000004</v>
      </c>
      <c r="J27" s="1479">
        <v>86908288.420000002</v>
      </c>
      <c r="K27" s="1480">
        <v>13446909.6</v>
      </c>
      <c r="L27" s="24"/>
    </row>
    <row r="28" spans="1:12">
      <c r="A28" s="1476" t="s">
        <v>124</v>
      </c>
      <c r="B28" s="1477">
        <f t="shared" si="0"/>
        <v>162182527.97999999</v>
      </c>
      <c r="C28" s="1481">
        <v>2028897.78</v>
      </c>
      <c r="D28" s="1482">
        <v>23089101.420000002</v>
      </c>
      <c r="E28" s="1482">
        <v>21341806.690000001</v>
      </c>
      <c r="F28" s="1482">
        <v>20222094.07</v>
      </c>
      <c r="G28" s="1501">
        <v>0</v>
      </c>
      <c r="H28" s="1479">
        <v>23975542.640000001</v>
      </c>
      <c r="I28" s="1479">
        <v>32578583.809999999</v>
      </c>
      <c r="J28" s="1479">
        <v>38946501.57</v>
      </c>
      <c r="K28" s="1502">
        <v>0</v>
      </c>
      <c r="L28" s="24"/>
    </row>
    <row r="29" spans="1:12">
      <c r="A29" s="1476" t="s">
        <v>125</v>
      </c>
      <c r="B29" s="1477">
        <f t="shared" si="0"/>
        <v>114002984.84</v>
      </c>
      <c r="C29" s="1499">
        <v>0</v>
      </c>
      <c r="D29" s="1500">
        <v>0</v>
      </c>
      <c r="E29" s="1500">
        <v>0</v>
      </c>
      <c r="F29" s="1500">
        <v>0</v>
      </c>
      <c r="G29" s="1479">
        <v>19428109.170000002</v>
      </c>
      <c r="H29" s="1479">
        <v>26456723.530000001</v>
      </c>
      <c r="I29" s="1479">
        <v>29143437.670000002</v>
      </c>
      <c r="J29" s="1479">
        <v>29052164.510000002</v>
      </c>
      <c r="K29" s="1480">
        <v>9922549.9600000009</v>
      </c>
      <c r="L29" s="24"/>
    </row>
    <row r="30" spans="1:12">
      <c r="A30" s="1476" t="s">
        <v>160</v>
      </c>
      <c r="B30" s="1477">
        <f t="shared" si="0"/>
        <v>75538660.520000011</v>
      </c>
      <c r="C30" s="1499">
        <v>0</v>
      </c>
      <c r="D30" s="1500">
        <v>0</v>
      </c>
      <c r="E30" s="1482">
        <v>9039886.4199999999</v>
      </c>
      <c r="F30" s="1482">
        <v>11648475.24</v>
      </c>
      <c r="G30" s="1479">
        <v>11616199</v>
      </c>
      <c r="H30" s="1479">
        <v>13123437.08</v>
      </c>
      <c r="I30" s="1479">
        <v>12290501.890000001</v>
      </c>
      <c r="J30" s="1479">
        <v>10178195.6</v>
      </c>
      <c r="K30" s="1480">
        <v>7641965.29</v>
      </c>
      <c r="L30" s="24"/>
    </row>
    <row r="31" spans="1:12">
      <c r="A31" s="1476" t="s">
        <v>159</v>
      </c>
      <c r="B31" s="1477">
        <f t="shared" si="0"/>
        <v>65746073.510000005</v>
      </c>
      <c r="C31" s="1499">
        <v>0</v>
      </c>
      <c r="D31" s="1500">
        <v>0</v>
      </c>
      <c r="E31" s="1501">
        <v>0</v>
      </c>
      <c r="F31" s="1501">
        <v>0</v>
      </c>
      <c r="G31" s="1501">
        <v>0</v>
      </c>
      <c r="H31" s="1501">
        <v>0</v>
      </c>
      <c r="I31" s="1501">
        <v>0</v>
      </c>
      <c r="J31" s="1479">
        <v>18445870.670000002</v>
      </c>
      <c r="K31" s="1480">
        <v>47300202.840000004</v>
      </c>
      <c r="L31" s="24"/>
    </row>
    <row r="32" spans="1:12">
      <c r="A32" s="1476" t="s">
        <v>126</v>
      </c>
      <c r="B32" s="1477">
        <f t="shared" si="0"/>
        <v>40803540.200000003</v>
      </c>
      <c r="C32" s="1500">
        <v>0</v>
      </c>
      <c r="D32" s="1500">
        <v>0</v>
      </c>
      <c r="E32" s="1501">
        <v>0</v>
      </c>
      <c r="F32" s="1501">
        <v>0</v>
      </c>
      <c r="G32" s="1501">
        <v>0</v>
      </c>
      <c r="H32" s="1479">
        <v>12853568.029999999</v>
      </c>
      <c r="I32" s="1479">
        <v>13003979.24</v>
      </c>
      <c r="J32" s="1479">
        <v>12185832.32</v>
      </c>
      <c r="K32" s="1480">
        <v>2760160.61</v>
      </c>
      <c r="L32" s="24"/>
    </row>
    <row r="33" spans="1:12" s="144" customFormat="1" ht="18" customHeight="1">
      <c r="A33" s="1470" t="s">
        <v>23</v>
      </c>
      <c r="B33" s="1483">
        <f t="shared" ref="B33:K33" si="1">SUM(B4:B32)</f>
        <v>160565691529.28995</v>
      </c>
      <c r="C33" s="1484">
        <f t="shared" si="1"/>
        <v>2733025131.8500004</v>
      </c>
      <c r="D33" s="1485">
        <f t="shared" si="1"/>
        <v>31428020462.900005</v>
      </c>
      <c r="E33" s="1485">
        <f t="shared" si="1"/>
        <v>28079802429.170002</v>
      </c>
      <c r="F33" s="1485">
        <f t="shared" si="1"/>
        <v>25506624289.529999</v>
      </c>
      <c r="G33" s="1485">
        <f t="shared" si="1"/>
        <v>22364820594.489998</v>
      </c>
      <c r="H33" s="1485">
        <f t="shared" si="1"/>
        <v>20037998054.499992</v>
      </c>
      <c r="I33" s="1485">
        <f t="shared" si="1"/>
        <v>15080619629.229998</v>
      </c>
      <c r="J33" s="1485">
        <f t="shared" si="1"/>
        <v>12507555597.240002</v>
      </c>
      <c r="K33" s="1486">
        <f t="shared" si="1"/>
        <v>2827225340.3800001</v>
      </c>
      <c r="L33" s="175"/>
    </row>
    <row r="34" spans="1:12" ht="5.25" customHeight="1">
      <c r="A34" s="228"/>
      <c r="B34" s="115"/>
      <c r="C34" s="115"/>
      <c r="D34" s="115"/>
      <c r="E34" s="115"/>
      <c r="F34" s="115" t="s">
        <v>220</v>
      </c>
      <c r="G34" s="115"/>
      <c r="H34" s="115"/>
      <c r="I34" s="115"/>
      <c r="J34" s="115"/>
      <c r="K34" s="102"/>
    </row>
    <row r="35" spans="1:12" ht="15.75">
      <c r="A35" s="181"/>
      <c r="B35" s="102"/>
      <c r="C35" s="102"/>
      <c r="D35" s="102"/>
      <c r="E35" s="102"/>
      <c r="F35" s="129" t="s">
        <v>220</v>
      </c>
      <c r="G35" s="102"/>
      <c r="H35" s="102"/>
      <c r="I35" s="102"/>
      <c r="J35" s="102"/>
      <c r="K35" s="102"/>
    </row>
    <row r="36" spans="1:12" ht="15.75">
      <c r="A36" s="181"/>
      <c r="B36" s="102"/>
      <c r="C36" s="102"/>
      <c r="D36" s="102"/>
      <c r="E36" s="102"/>
      <c r="F36" s="129" t="s">
        <v>220</v>
      </c>
      <c r="G36" s="102"/>
      <c r="H36" s="102"/>
      <c r="I36" s="102"/>
      <c r="J36" s="102"/>
      <c r="K36" s="102"/>
    </row>
    <row r="37" spans="1:12" ht="15.75">
      <c r="A37" s="181"/>
      <c r="B37" s="102"/>
      <c r="C37" s="102"/>
      <c r="D37" s="102"/>
      <c r="E37" s="102"/>
      <c r="F37" s="129" t="s">
        <v>220</v>
      </c>
      <c r="G37" s="102"/>
      <c r="H37" s="102"/>
      <c r="I37" s="102"/>
      <c r="J37" s="102"/>
      <c r="K37" s="102"/>
    </row>
    <row r="38" spans="1:12" ht="15.75">
      <c r="A38" s="181"/>
      <c r="B38" s="102"/>
      <c r="C38" s="102"/>
      <c r="D38" s="102"/>
      <c r="E38" s="102"/>
      <c r="F38" s="129" t="s">
        <v>220</v>
      </c>
      <c r="G38" s="102"/>
      <c r="H38" s="102"/>
      <c r="I38" s="102"/>
      <c r="J38" s="102"/>
      <c r="K38" s="102"/>
    </row>
    <row r="39" spans="1:12" ht="15.75">
      <c r="A39" s="181"/>
      <c r="B39" s="102"/>
      <c r="C39" s="102"/>
      <c r="D39" s="102"/>
      <c r="E39" s="102"/>
      <c r="F39" s="129" t="s">
        <v>220</v>
      </c>
      <c r="G39" s="102"/>
      <c r="H39" s="102"/>
      <c r="I39" s="102"/>
      <c r="J39" s="102"/>
      <c r="K39" s="102"/>
    </row>
    <row r="40" spans="1:12" ht="15.75">
      <c r="A40" s="181"/>
      <c r="B40" s="102"/>
      <c r="C40" s="102"/>
      <c r="D40" s="102"/>
      <c r="E40" s="102"/>
      <c r="F40" s="129" t="s">
        <v>220</v>
      </c>
      <c r="G40" s="102"/>
      <c r="H40" s="102"/>
      <c r="I40" s="102"/>
      <c r="J40" s="102"/>
      <c r="K40" s="102"/>
    </row>
    <row r="41" spans="1:12" ht="15.75">
      <c r="A41" s="181"/>
      <c r="B41" s="102"/>
      <c r="C41" s="102"/>
      <c r="D41" s="102"/>
      <c r="E41" s="102"/>
      <c r="F41" s="129" t="s">
        <v>220</v>
      </c>
      <c r="G41" s="102"/>
      <c r="H41" s="102"/>
      <c r="I41" s="102"/>
      <c r="J41" s="102"/>
      <c r="K41" s="102"/>
    </row>
    <row r="42" spans="1:12" ht="15.75">
      <c r="A42" s="181"/>
      <c r="B42" s="102"/>
      <c r="C42" s="102"/>
      <c r="D42" s="102"/>
      <c r="E42" s="102"/>
      <c r="F42" s="129" t="s">
        <v>220</v>
      </c>
      <c r="G42" s="102"/>
      <c r="H42" s="102"/>
      <c r="I42" s="102"/>
      <c r="J42" s="102"/>
      <c r="K42" s="102"/>
    </row>
    <row r="43" spans="1:12" ht="15.75">
      <c r="A43" s="181"/>
      <c r="B43" s="102"/>
      <c r="C43" s="102"/>
      <c r="D43" s="102"/>
      <c r="E43" s="102"/>
      <c r="F43" s="129" t="s">
        <v>220</v>
      </c>
      <c r="G43" s="102"/>
      <c r="H43" s="102"/>
      <c r="I43" s="102"/>
      <c r="J43" s="102"/>
      <c r="K43" s="102"/>
    </row>
    <row r="44" spans="1:12" ht="15.75">
      <c r="A44" s="181"/>
      <c r="B44" s="102"/>
      <c r="C44" s="102"/>
      <c r="D44" s="102"/>
      <c r="E44" s="102"/>
      <c r="F44" s="129" t="s">
        <v>220</v>
      </c>
      <c r="G44" s="102"/>
      <c r="H44" s="102"/>
      <c r="I44" s="102"/>
      <c r="J44" s="102"/>
      <c r="K44" s="102"/>
    </row>
    <row r="45" spans="1:12" ht="15.75">
      <c r="A45" s="181"/>
      <c r="B45" s="102"/>
      <c r="C45" s="102"/>
      <c r="D45" s="102"/>
      <c r="E45" s="102"/>
      <c r="F45" s="129" t="s">
        <v>220</v>
      </c>
      <c r="G45" s="102"/>
      <c r="H45" s="102"/>
      <c r="I45" s="102"/>
      <c r="J45" s="102"/>
      <c r="K45" s="102"/>
    </row>
    <row r="46" spans="1:12" ht="15.75">
      <c r="A46" s="181"/>
      <c r="B46" s="102"/>
      <c r="C46" s="102"/>
      <c r="D46" s="102"/>
      <c r="E46" s="102"/>
      <c r="F46" s="129" t="s">
        <v>220</v>
      </c>
      <c r="G46" s="102"/>
      <c r="H46" s="102"/>
      <c r="I46" s="102"/>
      <c r="J46" s="102"/>
      <c r="K46" s="102"/>
    </row>
    <row r="47" spans="1:12" ht="15.75">
      <c r="A47" s="181"/>
      <c r="B47" s="102"/>
      <c r="C47" s="102"/>
      <c r="D47" s="102"/>
      <c r="E47" s="102"/>
      <c r="F47" s="129" t="s">
        <v>220</v>
      </c>
      <c r="G47" s="102"/>
      <c r="H47" s="102"/>
      <c r="I47" s="102"/>
      <c r="J47" s="102"/>
      <c r="K47" s="102"/>
    </row>
    <row r="48" spans="1:12" ht="15.75">
      <c r="A48" s="181"/>
      <c r="B48" s="102"/>
      <c r="C48" s="102"/>
      <c r="D48" s="102"/>
      <c r="E48" s="102"/>
      <c r="F48" s="129" t="s">
        <v>220</v>
      </c>
      <c r="G48" s="102"/>
      <c r="H48" s="102"/>
      <c r="I48" s="102"/>
      <c r="J48" s="102"/>
      <c r="K48" s="102"/>
    </row>
    <row r="49" spans="1:11" ht="15.75">
      <c r="A49" s="181"/>
      <c r="B49" s="102"/>
      <c r="C49" s="102"/>
      <c r="D49" s="102"/>
      <c r="E49" s="102"/>
      <c r="F49" s="129" t="s">
        <v>220</v>
      </c>
      <c r="G49" s="102"/>
      <c r="H49" s="102"/>
      <c r="I49" s="102"/>
      <c r="J49" s="102"/>
      <c r="K49" s="102"/>
    </row>
    <row r="50" spans="1:11" ht="15.75">
      <c r="A50" s="181"/>
      <c r="B50" s="102"/>
      <c r="C50" s="102"/>
      <c r="D50" s="102"/>
      <c r="E50" s="102"/>
      <c r="F50" s="129" t="s">
        <v>220</v>
      </c>
      <c r="G50" s="102"/>
      <c r="H50" s="102"/>
      <c r="I50" s="102"/>
      <c r="J50" s="102"/>
      <c r="K50" s="102"/>
    </row>
    <row r="51" spans="1:11" ht="15.75">
      <c r="A51" s="181"/>
      <c r="B51" s="102"/>
      <c r="C51" s="102"/>
      <c r="D51" s="102"/>
      <c r="E51" s="102"/>
      <c r="F51" s="129" t="s">
        <v>220</v>
      </c>
      <c r="G51" s="102"/>
      <c r="H51" s="102"/>
      <c r="I51" s="102"/>
      <c r="J51" s="102"/>
      <c r="K51" s="102"/>
    </row>
    <row r="52" spans="1:11" ht="15.75">
      <c r="A52" s="181"/>
      <c r="B52" s="102"/>
      <c r="C52" s="102"/>
      <c r="D52" s="102"/>
      <c r="E52" s="102"/>
      <c r="F52" s="129" t="s">
        <v>220</v>
      </c>
      <c r="G52" s="102"/>
      <c r="H52" s="102"/>
      <c r="I52" s="102"/>
      <c r="J52" s="102"/>
      <c r="K52" s="102"/>
    </row>
    <row r="53" spans="1:11" ht="15.75">
      <c r="A53" s="181"/>
      <c r="B53" s="102"/>
      <c r="C53" s="102"/>
      <c r="D53" s="102"/>
      <c r="E53" s="102"/>
      <c r="F53" s="129" t="s">
        <v>220</v>
      </c>
      <c r="G53" s="102"/>
      <c r="H53" s="102"/>
      <c r="I53" s="102"/>
      <c r="J53" s="102"/>
      <c r="K53" s="102"/>
    </row>
    <row r="54" spans="1:11" ht="15.75">
      <c r="A54" s="181"/>
      <c r="B54" s="102"/>
      <c r="C54" s="102"/>
      <c r="D54" s="102"/>
      <c r="E54" s="102"/>
      <c r="F54" s="129" t="s">
        <v>220</v>
      </c>
      <c r="G54" s="102"/>
      <c r="H54" s="102"/>
      <c r="I54" s="102"/>
      <c r="J54" s="102"/>
      <c r="K54" s="102"/>
    </row>
    <row r="55" spans="1:11" ht="15.75">
      <c r="A55" s="181"/>
      <c r="B55" s="102"/>
      <c r="C55" s="102"/>
      <c r="D55" s="102"/>
      <c r="E55" s="102"/>
      <c r="F55" s="129" t="s">
        <v>220</v>
      </c>
      <c r="G55" s="102"/>
      <c r="H55" s="102"/>
      <c r="I55" s="102"/>
      <c r="J55" s="102"/>
      <c r="K55" s="102"/>
    </row>
    <row r="56" spans="1:11" ht="15.75">
      <c r="A56" s="181"/>
      <c r="B56" s="102"/>
      <c r="C56" s="102"/>
      <c r="D56" s="102"/>
      <c r="E56" s="102"/>
      <c r="F56" s="129" t="s">
        <v>220</v>
      </c>
      <c r="G56" s="102"/>
      <c r="H56" s="102"/>
      <c r="I56" s="102"/>
      <c r="J56" s="102"/>
      <c r="K56" s="102"/>
    </row>
    <row r="57" spans="1:11" ht="15.75">
      <c r="A57" s="181"/>
      <c r="B57" s="102"/>
      <c r="C57" s="102"/>
      <c r="D57" s="102"/>
      <c r="E57" s="102"/>
      <c r="F57" s="129" t="s">
        <v>220</v>
      </c>
      <c r="G57" s="102"/>
      <c r="H57" s="102"/>
      <c r="I57" s="102"/>
      <c r="J57" s="102"/>
      <c r="K57" s="102"/>
    </row>
    <row r="58" spans="1:11">
      <c r="A58" s="181"/>
      <c r="B58" s="102"/>
      <c r="C58" s="102"/>
      <c r="D58" s="102"/>
      <c r="E58" s="102"/>
      <c r="F58" s="102" t="e">
        <f>SUM(#REF!)</f>
        <v>#REF!</v>
      </c>
      <c r="G58" s="102"/>
      <c r="H58" s="102"/>
      <c r="I58" s="102"/>
      <c r="J58" s="102"/>
      <c r="K58" s="102"/>
    </row>
    <row r="67" spans="1:1" ht="15.75" customHeight="1"/>
    <row r="68" spans="1:1" ht="13.5" customHeight="1">
      <c r="A68" s="55" t="s">
        <v>33</v>
      </c>
    </row>
  </sheetData>
  <autoFilter ref="A3:K58"/>
  <sortState ref="A4:K32">
    <sortCondition descending="1" ref="B4:B32"/>
  </sortState>
  <mergeCells count="1">
    <mergeCell ref="A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M36" sqref="M36"/>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16" customWidth="1"/>
    <col min="9" max="9" width="33.85546875" customWidth="1"/>
    <col min="10" max="10" width="24.85546875" customWidth="1"/>
    <col min="11" max="11" width="16.42578125" customWidth="1"/>
    <col min="12" max="12" width="11.5703125" customWidth="1"/>
    <col min="13" max="13" width="20.85546875" customWidth="1"/>
    <col min="14" max="14" width="11.5703125" customWidth="1"/>
  </cols>
  <sheetData>
    <row r="1" spans="1:14" ht="86.25" customHeight="1">
      <c r="A1" s="1851"/>
      <c r="B1" s="1851"/>
      <c r="C1" s="1851"/>
      <c r="D1" s="1851"/>
      <c r="E1" s="1851"/>
      <c r="F1" s="1851"/>
      <c r="G1" s="1851"/>
      <c r="H1" s="1851"/>
      <c r="I1" s="1851"/>
      <c r="J1" s="1851"/>
      <c r="K1" s="1851"/>
      <c r="L1" s="1851"/>
    </row>
    <row r="2" spans="1:14" ht="7.5" customHeight="1">
      <c r="A2" s="1852" t="s">
        <v>33</v>
      </c>
      <c r="B2" s="1852"/>
      <c r="C2" s="1852"/>
      <c r="D2" s="1852"/>
      <c r="E2" s="1852"/>
      <c r="F2" s="1852"/>
      <c r="G2" s="1852"/>
      <c r="H2" s="1852"/>
      <c r="I2" s="1852"/>
      <c r="J2" s="1852"/>
      <c r="K2" s="1852"/>
      <c r="L2" s="1852"/>
    </row>
    <row r="3" spans="1:14" ht="18.75" customHeight="1">
      <c r="D3" s="24"/>
      <c r="E3" s="24"/>
      <c r="F3" s="18"/>
      <c r="G3" s="18"/>
      <c r="I3" s="550" t="s">
        <v>108</v>
      </c>
      <c r="J3" s="352" t="s">
        <v>109</v>
      </c>
      <c r="K3" s="550" t="s">
        <v>44</v>
      </c>
    </row>
    <row r="4" spans="1:14" ht="15" customHeight="1">
      <c r="D4" s="24"/>
      <c r="E4" s="24"/>
      <c r="F4" s="18"/>
      <c r="G4" s="18"/>
      <c r="H4" s="84"/>
      <c r="I4" s="1068" t="s">
        <v>110</v>
      </c>
      <c r="J4" s="1069">
        <v>954952429.44000006</v>
      </c>
      <c r="K4" s="1070">
        <f>+J4/$J$26</f>
        <v>0.34941223858910769</v>
      </c>
      <c r="M4" s="168"/>
    </row>
    <row r="5" spans="1:14" ht="15" customHeight="1">
      <c r="D5" s="24"/>
      <c r="E5" s="24"/>
      <c r="F5" s="18"/>
      <c r="G5" s="18"/>
      <c r="H5" s="84"/>
      <c r="I5" s="1068" t="s">
        <v>451</v>
      </c>
      <c r="J5" s="1071">
        <v>425634324.60000002</v>
      </c>
      <c r="K5" s="1072">
        <f t="shared" ref="K5:K25" si="0">+J5/$J$26</f>
        <v>0.15573743528362127</v>
      </c>
    </row>
    <row r="6" spans="1:14" ht="15" customHeight="1">
      <c r="D6" s="21"/>
      <c r="E6" s="21"/>
      <c r="H6" s="84"/>
      <c r="I6" s="1068" t="s">
        <v>113</v>
      </c>
      <c r="J6" s="1071">
        <v>397471792.36000001</v>
      </c>
      <c r="K6" s="1072">
        <f t="shared" si="0"/>
        <v>0.1454329079260786</v>
      </c>
      <c r="M6" s="243"/>
    </row>
    <row r="7" spans="1:14" ht="15" customHeight="1">
      <c r="D7" s="24"/>
      <c r="E7" s="24"/>
      <c r="G7" s="84"/>
      <c r="H7" s="84"/>
      <c r="I7" s="1068" t="s">
        <v>112</v>
      </c>
      <c r="J7" s="1071">
        <v>341120863.68000001</v>
      </c>
      <c r="K7" s="1072">
        <f t="shared" si="0"/>
        <v>0.12481438963171673</v>
      </c>
      <c r="M7" s="244"/>
    </row>
    <row r="8" spans="1:14" ht="15" customHeight="1">
      <c r="D8" s="70"/>
      <c r="E8" s="21"/>
      <c r="F8" s="19"/>
      <c r="G8" s="84"/>
      <c r="H8" s="84"/>
      <c r="I8" s="1068" t="s">
        <v>118</v>
      </c>
      <c r="J8" s="1071">
        <v>104264547.45</v>
      </c>
      <c r="K8" s="1072">
        <f t="shared" si="0"/>
        <v>3.8149867791161772E-2</v>
      </c>
    </row>
    <row r="9" spans="1:14" ht="15" customHeight="1">
      <c r="D9" s="24"/>
      <c r="E9" s="21"/>
      <c r="G9" s="102"/>
      <c r="H9" s="84"/>
      <c r="I9" s="1068" t="s">
        <v>114</v>
      </c>
      <c r="J9" s="1071">
        <v>105523360.53</v>
      </c>
      <c r="K9" s="1072">
        <f t="shared" si="0"/>
        <v>3.8610461096847147E-2</v>
      </c>
    </row>
    <row r="10" spans="1:14" ht="15" customHeight="1">
      <c r="D10" s="24"/>
      <c r="E10" s="21"/>
      <c r="F10" s="19"/>
      <c r="G10" s="158"/>
      <c r="H10" s="84"/>
      <c r="I10" s="1068" t="s">
        <v>111</v>
      </c>
      <c r="J10" s="1071">
        <v>72659432.819999993</v>
      </c>
      <c r="K10" s="1072">
        <f t="shared" si="0"/>
        <v>2.6585717040522198E-2</v>
      </c>
      <c r="M10" s="18"/>
    </row>
    <row r="11" spans="1:14" ht="15" customHeight="1">
      <c r="D11" s="24"/>
      <c r="E11" s="21"/>
      <c r="G11" s="159"/>
      <c r="H11" s="84"/>
      <c r="I11" s="1068" t="s">
        <v>117</v>
      </c>
      <c r="J11" s="1071">
        <v>45777075.75</v>
      </c>
      <c r="K11" s="1072">
        <f t="shared" si="0"/>
        <v>1.6749599268782878E-2</v>
      </c>
      <c r="M11" s="18"/>
    </row>
    <row r="12" spans="1:14" ht="15" customHeight="1">
      <c r="D12" s="24"/>
      <c r="E12" s="21"/>
      <c r="H12" s="84"/>
      <c r="I12" s="1068" t="s">
        <v>162</v>
      </c>
      <c r="J12" s="1071">
        <v>43503466.32</v>
      </c>
      <c r="K12" s="1072">
        <f t="shared" si="0"/>
        <v>1.5917697138244844E-2</v>
      </c>
      <c r="M12" s="18"/>
    </row>
    <row r="13" spans="1:14" ht="15" customHeight="1">
      <c r="D13" s="24"/>
      <c r="E13" s="21"/>
      <c r="H13" s="84"/>
      <c r="I13" s="1068" t="s">
        <v>120</v>
      </c>
      <c r="J13" s="1071">
        <v>39677432.039999999</v>
      </c>
      <c r="K13" s="1072">
        <f t="shared" si="0"/>
        <v>1.4517770648212851E-2</v>
      </c>
      <c r="M13" s="18"/>
    </row>
    <row r="14" spans="1:14" ht="15" customHeight="1">
      <c r="D14" s="24"/>
      <c r="E14" s="21"/>
      <c r="H14" s="84"/>
      <c r="I14" s="1068" t="s">
        <v>202</v>
      </c>
      <c r="J14" s="1071">
        <v>41391865.350000001</v>
      </c>
      <c r="K14" s="1072">
        <f t="shared" si="0"/>
        <v>1.5145073079507909E-2</v>
      </c>
      <c r="M14" s="18"/>
    </row>
    <row r="15" spans="1:14" ht="15" customHeight="1">
      <c r="D15" s="24"/>
      <c r="E15" s="21"/>
      <c r="H15" s="84"/>
      <c r="I15" s="1068" t="s">
        <v>450</v>
      </c>
      <c r="J15" s="1071">
        <v>28594838.129999999</v>
      </c>
      <c r="K15" s="1072">
        <f t="shared" si="0"/>
        <v>1.0462705884685364E-2</v>
      </c>
      <c r="M15" s="100"/>
      <c r="N15" s="168"/>
    </row>
    <row r="16" spans="1:14" ht="15" customHeight="1">
      <c r="D16" s="24"/>
      <c r="E16" s="21"/>
      <c r="F16" s="18"/>
      <c r="G16" s="18"/>
      <c r="H16" s="84"/>
      <c r="I16" s="1068" t="s">
        <v>223</v>
      </c>
      <c r="J16" s="1071">
        <v>25344099.66</v>
      </c>
      <c r="K16" s="1072">
        <f t="shared" si="0"/>
        <v>9.2732772065086833E-3</v>
      </c>
      <c r="M16" s="100"/>
    </row>
    <row r="17" spans="1:13" ht="15" customHeight="1">
      <c r="D17" s="24"/>
      <c r="E17" s="21"/>
      <c r="F17" s="18"/>
      <c r="G17" s="18"/>
      <c r="H17" s="84"/>
      <c r="I17" s="1068" t="s">
        <v>204</v>
      </c>
      <c r="J17" s="1071">
        <v>22588512.210000001</v>
      </c>
      <c r="K17" s="1072">
        <f t="shared" si="0"/>
        <v>8.2650217690130433E-3</v>
      </c>
      <c r="M17" s="100"/>
    </row>
    <row r="18" spans="1:13" ht="15" customHeight="1">
      <c r="D18" s="24"/>
      <c r="E18" s="21"/>
      <c r="F18" s="18"/>
      <c r="G18" s="18"/>
      <c r="H18" s="84"/>
      <c r="I18" s="1068" t="s">
        <v>102</v>
      </c>
      <c r="J18" s="1071">
        <v>21388062.359999999</v>
      </c>
      <c r="K18" s="1072">
        <f t="shared" si="0"/>
        <v>7.8257832724437093E-3</v>
      </c>
    </row>
    <row r="19" spans="1:13" ht="15" customHeight="1">
      <c r="D19" s="24"/>
      <c r="E19" s="21"/>
      <c r="F19" s="18"/>
      <c r="G19" s="18"/>
      <c r="H19" s="84"/>
      <c r="I19" s="1068" t="s">
        <v>121</v>
      </c>
      <c r="J19" s="1071">
        <v>18436415.879999999</v>
      </c>
      <c r="K19" s="1072">
        <f t="shared" si="0"/>
        <v>6.7457908327100821E-3</v>
      </c>
    </row>
    <row r="20" spans="1:13" ht="15" customHeight="1">
      <c r="D20" s="24"/>
      <c r="E20" s="21"/>
      <c r="F20" s="18"/>
      <c r="G20" s="18"/>
      <c r="H20" s="84"/>
      <c r="I20" s="1068" t="s">
        <v>119</v>
      </c>
      <c r="J20" s="1071">
        <v>15925231.74</v>
      </c>
      <c r="K20" s="1072">
        <f t="shared" si="0"/>
        <v>5.8269613237036414E-3</v>
      </c>
    </row>
    <row r="21" spans="1:13" ht="15" customHeight="1">
      <c r="D21" s="24"/>
      <c r="E21" s="21"/>
      <c r="F21" s="18"/>
      <c r="G21" s="18"/>
      <c r="H21" s="84"/>
      <c r="I21" s="1068" t="s">
        <v>116</v>
      </c>
      <c r="J21" s="1071">
        <v>13836615.99</v>
      </c>
      <c r="K21" s="1072">
        <f t="shared" si="0"/>
        <v>5.0627474400990642E-3</v>
      </c>
    </row>
    <row r="22" spans="1:13" ht="15" customHeight="1">
      <c r="D22" s="24"/>
      <c r="E22" s="21"/>
      <c r="F22" s="18"/>
      <c r="G22" s="18"/>
      <c r="H22" s="84"/>
      <c r="I22" s="1068" t="s">
        <v>203</v>
      </c>
      <c r="J22" s="1071">
        <v>6905373.0300000003</v>
      </c>
      <c r="K22" s="1072">
        <f t="shared" si="0"/>
        <v>2.5266408821223362E-3</v>
      </c>
    </row>
    <row r="23" spans="1:13" ht="15" customHeight="1">
      <c r="D23" s="24"/>
      <c r="E23" s="21"/>
      <c r="F23" s="18"/>
      <c r="G23" s="18"/>
      <c r="H23" s="84"/>
      <c r="I23" s="1068" t="s">
        <v>122</v>
      </c>
      <c r="J23" s="1071">
        <v>3297277.95</v>
      </c>
      <c r="K23" s="1072">
        <f t="shared" si="0"/>
        <v>1.206457237284186E-3</v>
      </c>
    </row>
    <row r="24" spans="1:13" ht="15" customHeight="1">
      <c r="D24" s="24"/>
      <c r="E24" s="21"/>
      <c r="F24" s="18"/>
      <c r="G24" s="18"/>
      <c r="H24" s="84"/>
      <c r="I24" s="1068" t="s">
        <v>123</v>
      </c>
      <c r="J24" s="1071">
        <v>2703216.78</v>
      </c>
      <c r="K24" s="1072">
        <f t="shared" si="0"/>
        <v>9.8909327561513371E-4</v>
      </c>
    </row>
    <row r="25" spans="1:13" ht="15" customHeight="1">
      <c r="D25" s="24"/>
      <c r="E25" s="21"/>
      <c r="F25" s="18"/>
      <c r="G25" s="18"/>
      <c r="H25" s="84"/>
      <c r="I25" s="1068" t="s">
        <v>124</v>
      </c>
      <c r="J25" s="1071">
        <v>2028897.78</v>
      </c>
      <c r="K25" s="1072">
        <f t="shared" si="0"/>
        <v>7.4236338201055145E-4</v>
      </c>
    </row>
    <row r="26" spans="1:13" ht="15" customHeight="1">
      <c r="D26" s="24"/>
      <c r="E26" s="21"/>
      <c r="F26" s="18"/>
      <c r="G26" s="18"/>
      <c r="I26" s="550" t="s">
        <v>23</v>
      </c>
      <c r="J26" s="1073">
        <f>SUM(J4:J25)</f>
        <v>2733025131.8500009</v>
      </c>
      <c r="K26" s="1074">
        <f>SUM(K4:K25)</f>
        <v>0.99999999999999956</v>
      </c>
    </row>
    <row r="27" spans="1:13">
      <c r="B27" s="84"/>
      <c r="D27" s="24"/>
      <c r="E27" s="21"/>
      <c r="F27" s="18"/>
      <c r="G27" s="18"/>
      <c r="I27" s="24"/>
      <c r="J27" s="24"/>
      <c r="K27" s="24"/>
      <c r="L27" s="24"/>
      <c r="M27" s="24"/>
    </row>
    <row r="28" spans="1:13" s="24" customFormat="1" ht="15" customHeight="1">
      <c r="A28" s="34"/>
      <c r="B28" s="84"/>
      <c r="C28" s="34"/>
      <c r="D28" s="35"/>
      <c r="E28" s="36"/>
      <c r="F28" s="18"/>
      <c r="G28" s="18"/>
      <c r="H28" s="18"/>
      <c r="I28"/>
      <c r="J28"/>
      <c r="K28"/>
      <c r="L28"/>
      <c r="M28"/>
    </row>
    <row r="29" spans="1:13" ht="15" customHeight="1">
      <c r="B29" s="84"/>
      <c r="K29" s="84"/>
    </row>
    <row r="30" spans="1:13" ht="15" customHeight="1">
      <c r="B30" s="84"/>
      <c r="K30" s="84"/>
    </row>
    <row r="33" spans="9:13" ht="15" customHeight="1">
      <c r="M33" s="84"/>
    </row>
    <row r="37" spans="9:13" ht="15" customHeight="1">
      <c r="I37" s="24"/>
      <c r="J37" s="24"/>
      <c r="K37" s="24"/>
    </row>
    <row r="47" spans="9:13" ht="15" customHeight="1">
      <c r="I47" s="18"/>
      <c r="J47" s="18"/>
      <c r="K47" s="18"/>
    </row>
    <row r="61" spans="1:1" ht="15" customHeight="1">
      <c r="A61" s="55" t="s">
        <v>33</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3"/>
  <sheetViews>
    <sheetView showGridLines="0" view="pageBreakPreview" zoomScale="70" zoomScaleNormal="85" zoomScaleSheetLayoutView="70" workbookViewId="0">
      <selection activeCell="L26" sqref="L26"/>
    </sheetView>
  </sheetViews>
  <sheetFormatPr baseColWidth="10" defaultColWidth="11.42578125" defaultRowHeight="15"/>
  <cols>
    <col min="1" max="1" width="62.85546875" style="83" customWidth="1"/>
    <col min="2" max="2" width="23.5703125" style="83" customWidth="1"/>
    <col min="3" max="3" width="15.85546875" style="83" customWidth="1"/>
    <col min="4" max="5" width="12" style="83" customWidth="1"/>
    <col min="6" max="6" width="12.42578125" style="83" customWidth="1"/>
    <col min="7" max="8" width="12.28515625" style="83" customWidth="1"/>
    <col min="9" max="10" width="10.7109375" style="83" customWidth="1"/>
    <col min="11" max="16384" width="11.42578125" style="83"/>
  </cols>
  <sheetData>
    <row r="1" spans="1:12" ht="79.5" customHeight="1">
      <c r="A1" s="1853"/>
      <c r="B1" s="1853"/>
      <c r="C1" s="1853"/>
      <c r="D1" s="1853"/>
      <c r="E1" s="1853"/>
      <c r="F1" s="1853"/>
      <c r="G1" s="1853"/>
      <c r="H1" s="1853"/>
      <c r="I1" s="1853"/>
      <c r="J1" s="1853"/>
      <c r="K1" s="84"/>
      <c r="L1" s="84"/>
    </row>
    <row r="2" spans="1:12" ht="9.75" customHeight="1">
      <c r="A2" s="1714"/>
      <c r="B2" s="1714"/>
      <c r="C2" s="1714"/>
      <c r="K2" s="84"/>
      <c r="L2" s="84"/>
    </row>
    <row r="3" spans="1:12" ht="18.75">
      <c r="A3" s="727" t="s">
        <v>843</v>
      </c>
      <c r="B3" s="1602" t="s">
        <v>213</v>
      </c>
      <c r="C3" s="1603" t="s">
        <v>44</v>
      </c>
      <c r="I3" s="84"/>
      <c r="J3" s="125"/>
    </row>
    <row r="4" spans="1:12" ht="18.75">
      <c r="A4" s="1067" t="s">
        <v>682</v>
      </c>
      <c r="B4" s="1066">
        <v>3432033300</v>
      </c>
      <c r="C4" s="1220">
        <f>+B4/$B$7</f>
        <v>0.59044933170024005</v>
      </c>
      <c r="I4" s="84"/>
      <c r="J4" s="125"/>
    </row>
    <row r="5" spans="1:12" ht="18.75">
      <c r="A5" s="1067" t="s">
        <v>683</v>
      </c>
      <c r="B5" s="1066">
        <v>2003760000</v>
      </c>
      <c r="C5" s="1220">
        <f>+B5/$B$7</f>
        <v>0.34472822652614499</v>
      </c>
      <c r="D5" s="125"/>
      <c r="I5" s="84"/>
      <c r="J5" s="125"/>
    </row>
    <row r="6" spans="1:12" ht="18.75">
      <c r="A6" s="1067" t="s">
        <v>684</v>
      </c>
      <c r="B6" s="1066">
        <v>376785554.33999997</v>
      </c>
      <c r="C6" s="1220">
        <f>+B6/$B$7</f>
        <v>6.4822441773614917E-2</v>
      </c>
      <c r="D6" s="125"/>
      <c r="E6" s="125"/>
      <c r="I6" s="125"/>
      <c r="J6" s="125"/>
    </row>
    <row r="7" spans="1:12" ht="18.75">
      <c r="A7" s="728" t="s">
        <v>23</v>
      </c>
      <c r="B7" s="1604">
        <f>SUM(B4:B6)</f>
        <v>5812578854.3400002</v>
      </c>
      <c r="C7" s="1605">
        <f>SUM(C4:C6)</f>
        <v>1</v>
      </c>
      <c r="D7" s="125"/>
      <c r="E7" s="125"/>
      <c r="I7" s="125"/>
      <c r="J7" s="125"/>
    </row>
    <row r="8" spans="1:12">
      <c r="B8" s="125"/>
      <c r="C8" s="125"/>
      <c r="D8" s="125"/>
      <c r="E8" s="125"/>
      <c r="F8" s="125"/>
      <c r="G8" s="125"/>
      <c r="H8" s="125"/>
      <c r="I8" s="125"/>
      <c r="J8" s="125"/>
    </row>
    <row r="9" spans="1:12">
      <c r="B9" s="125"/>
      <c r="C9" s="125"/>
      <c r="D9" s="125"/>
      <c r="E9" s="125"/>
      <c r="F9" s="125"/>
      <c r="G9" s="125"/>
      <c r="H9" s="125"/>
      <c r="I9" s="125"/>
      <c r="J9" s="125"/>
    </row>
    <row r="10" spans="1:12">
      <c r="B10" s="125"/>
      <c r="C10" s="125"/>
      <c r="D10" s="125"/>
      <c r="E10" s="125"/>
      <c r="F10" s="125"/>
      <c r="G10" s="125"/>
      <c r="H10" s="125"/>
      <c r="I10" s="125"/>
      <c r="J10" s="125"/>
    </row>
    <row r="11" spans="1:12">
      <c r="B11" s="125"/>
      <c r="C11" s="125"/>
      <c r="D11" s="125"/>
      <c r="E11" s="125"/>
      <c r="F11" s="125"/>
      <c r="G11" s="125"/>
      <c r="H11" s="125"/>
      <c r="I11" s="125"/>
      <c r="J11" s="125"/>
    </row>
    <row r="12" spans="1:12">
      <c r="B12" s="125"/>
      <c r="C12" s="125"/>
      <c r="D12" s="125"/>
      <c r="E12" s="125"/>
      <c r="F12" s="125"/>
      <c r="G12" s="125"/>
      <c r="H12" s="125"/>
      <c r="I12" s="125"/>
      <c r="J12" s="125"/>
    </row>
    <row r="13" spans="1:12">
      <c r="B13" s="125"/>
      <c r="C13" s="125"/>
      <c r="D13" s="125"/>
      <c r="E13" s="125"/>
      <c r="F13" s="125"/>
      <c r="G13" s="125"/>
      <c r="H13" s="125"/>
      <c r="I13" s="125"/>
      <c r="J13" s="125"/>
    </row>
    <row r="14" spans="1:12">
      <c r="B14" s="125"/>
      <c r="C14" s="125"/>
      <c r="D14" s="125"/>
      <c r="E14" s="125"/>
      <c r="F14" s="125"/>
      <c r="G14" s="125"/>
      <c r="H14" s="125"/>
      <c r="I14" s="125"/>
      <c r="J14" s="125"/>
    </row>
    <row r="15" spans="1:12">
      <c r="B15" s="125"/>
      <c r="C15" s="125"/>
      <c r="D15" s="125"/>
      <c r="E15" s="125"/>
      <c r="F15" s="125"/>
      <c r="G15" s="125"/>
      <c r="H15" s="125"/>
      <c r="I15" s="125"/>
      <c r="J15" s="125"/>
    </row>
    <row r="16" spans="1:12">
      <c r="B16" s="125"/>
      <c r="C16" s="125"/>
      <c r="D16" s="125"/>
      <c r="E16" s="125"/>
      <c r="F16" s="125"/>
      <c r="G16" s="125"/>
      <c r="H16" s="125"/>
      <c r="I16" s="125"/>
      <c r="J16" s="125"/>
    </row>
    <row r="17" spans="2:13">
      <c r="B17" s="125"/>
      <c r="C17" s="125"/>
      <c r="D17" s="125"/>
      <c r="E17" s="125"/>
      <c r="F17" s="125"/>
      <c r="G17" s="125"/>
      <c r="H17" s="125"/>
      <c r="I17" s="125"/>
      <c r="J17" s="125"/>
    </row>
    <row r="18" spans="2:13">
      <c r="B18" s="125"/>
      <c r="C18" s="125"/>
      <c r="D18" s="125"/>
      <c r="E18" s="125"/>
      <c r="F18" s="125"/>
      <c r="G18" s="125"/>
      <c r="H18" s="125"/>
      <c r="I18" s="125"/>
      <c r="J18" s="125"/>
    </row>
    <row r="19" spans="2:13">
      <c r="B19" s="125"/>
      <c r="C19" s="125"/>
      <c r="D19" s="125"/>
      <c r="E19" s="125"/>
      <c r="F19" s="125"/>
      <c r="G19" s="125"/>
      <c r="H19" s="125"/>
      <c r="I19" s="125"/>
      <c r="J19" s="125"/>
    </row>
    <row r="20" spans="2:13">
      <c r="B20" s="125"/>
      <c r="C20" s="125"/>
      <c r="D20" s="125"/>
      <c r="E20" s="125"/>
      <c r="F20" s="125"/>
      <c r="G20" s="125"/>
      <c r="H20" s="125"/>
      <c r="I20" s="125"/>
      <c r="J20" s="125"/>
    </row>
    <row r="21" spans="2:13">
      <c r="B21" s="125"/>
      <c r="C21" s="125"/>
      <c r="D21" s="125"/>
      <c r="E21" s="125"/>
      <c r="F21" s="125"/>
      <c r="G21" s="125"/>
      <c r="H21" s="125"/>
      <c r="I21" s="125"/>
      <c r="J21" s="125"/>
    </row>
    <row r="22" spans="2:13">
      <c r="E22" s="125"/>
      <c r="F22" s="125"/>
      <c r="G22" s="125"/>
      <c r="H22" s="125"/>
      <c r="I22" s="125"/>
      <c r="J22" s="125"/>
      <c r="K22" s="125"/>
      <c r="L22" s="125"/>
      <c r="M22" s="125"/>
    </row>
    <row r="23" spans="2:13">
      <c r="E23" s="125"/>
      <c r="F23" s="125"/>
      <c r="G23" s="125"/>
      <c r="H23" s="125"/>
      <c r="I23" s="125"/>
      <c r="J23" s="125"/>
      <c r="K23" s="125"/>
      <c r="L23" s="125"/>
      <c r="M23" s="125"/>
    </row>
    <row r="24" spans="2:13">
      <c r="E24" s="125"/>
      <c r="F24" s="125"/>
      <c r="G24" s="125"/>
      <c r="H24" s="125"/>
      <c r="I24" s="125"/>
      <c r="J24" s="125"/>
      <c r="K24" s="125"/>
      <c r="L24" s="125"/>
      <c r="M24" s="125"/>
    </row>
    <row r="25" spans="2:13">
      <c r="E25" s="125"/>
      <c r="F25" s="125"/>
      <c r="G25" s="125"/>
      <c r="H25" s="125"/>
      <c r="I25" s="125"/>
      <c r="J25" s="125"/>
      <c r="K25" s="125"/>
      <c r="L25" s="125"/>
      <c r="M25" s="125"/>
    </row>
    <row r="26" spans="2:13">
      <c r="E26" s="125"/>
      <c r="F26" s="125"/>
      <c r="G26" s="125"/>
      <c r="H26" s="125"/>
      <c r="I26" s="125"/>
      <c r="J26" s="125"/>
      <c r="K26" s="125"/>
      <c r="L26" s="125"/>
      <c r="M26" s="125"/>
    </row>
    <row r="27" spans="2:13">
      <c r="E27" s="125"/>
      <c r="F27" s="125"/>
      <c r="G27" s="125"/>
      <c r="H27" s="125"/>
      <c r="I27" s="125"/>
      <c r="J27" s="125"/>
      <c r="K27" s="125"/>
      <c r="L27" s="125"/>
      <c r="M27" s="125"/>
    </row>
    <row r="28" spans="2:13">
      <c r="B28" s="125"/>
      <c r="C28" s="125"/>
      <c r="D28" s="125"/>
      <c r="E28" s="125"/>
      <c r="F28" s="125"/>
      <c r="G28" s="125"/>
      <c r="H28" s="125"/>
      <c r="I28" s="125"/>
      <c r="J28" s="125"/>
    </row>
    <row r="29" spans="2:13" ht="28.5">
      <c r="B29" s="125"/>
      <c r="C29" s="125"/>
      <c r="D29" s="126"/>
      <c r="E29" s="125"/>
      <c r="F29" s="125"/>
      <c r="G29" s="125"/>
      <c r="H29" s="125"/>
      <c r="I29" s="125"/>
      <c r="J29" s="125"/>
    </row>
    <row r="30" spans="2:13">
      <c r="B30" s="125"/>
      <c r="C30" s="125"/>
      <c r="D30" s="125"/>
      <c r="E30" s="125"/>
      <c r="F30" s="125"/>
      <c r="G30" s="125"/>
      <c r="H30" s="125"/>
      <c r="I30" s="125"/>
      <c r="J30" s="125"/>
    </row>
    <row r="31" spans="2:13">
      <c r="B31" s="125"/>
      <c r="F31" s="125"/>
      <c r="G31" s="125"/>
      <c r="H31" s="125"/>
      <c r="I31" s="125"/>
      <c r="J31" s="125"/>
    </row>
    <row r="32" spans="2:13">
      <c r="B32" s="125"/>
      <c r="F32" s="125"/>
      <c r="G32" s="125"/>
      <c r="H32" s="125"/>
      <c r="I32" s="125"/>
      <c r="J32" s="125"/>
    </row>
    <row r="33" spans="2:10">
      <c r="B33" s="125"/>
      <c r="F33" s="125"/>
      <c r="G33" s="125"/>
      <c r="H33" s="125"/>
      <c r="I33" s="125"/>
      <c r="J33" s="125"/>
    </row>
    <row r="34" spans="2:10">
      <c r="B34" s="125"/>
      <c r="F34" s="125"/>
      <c r="G34" s="125"/>
      <c r="H34" s="125"/>
      <c r="I34" s="125"/>
      <c r="J34" s="125"/>
    </row>
    <row r="35" spans="2:10">
      <c r="B35" s="125"/>
      <c r="F35" s="125"/>
      <c r="G35" s="125"/>
      <c r="H35" s="125"/>
      <c r="I35" s="125"/>
      <c r="J35" s="125"/>
    </row>
    <row r="36" spans="2:10">
      <c r="B36" s="125"/>
      <c r="F36" s="125"/>
      <c r="G36" s="125"/>
      <c r="H36" s="125"/>
      <c r="I36" s="125"/>
      <c r="J36" s="125"/>
    </row>
    <row r="37" spans="2:10">
      <c r="B37" s="125"/>
      <c r="F37" s="125"/>
      <c r="G37" s="125"/>
      <c r="H37" s="125"/>
      <c r="I37" s="125"/>
      <c r="J37" s="125"/>
    </row>
    <row r="38" spans="2:10">
      <c r="B38" s="125"/>
      <c r="C38" s="125"/>
      <c r="D38" s="125"/>
      <c r="E38" s="125"/>
    </row>
    <row r="39" spans="2:10">
      <c r="B39" s="125"/>
      <c r="C39" s="125"/>
      <c r="D39" s="125"/>
      <c r="E39" s="125"/>
    </row>
    <row r="40" spans="2:10">
      <c r="B40" s="125"/>
      <c r="C40" s="125"/>
      <c r="D40" s="125"/>
      <c r="E40" s="125"/>
    </row>
    <row r="41" spans="2:10">
      <c r="B41" s="125"/>
      <c r="C41" s="125"/>
      <c r="D41" s="125"/>
      <c r="E41" s="125"/>
    </row>
    <row r="42" spans="2:10">
      <c r="B42" s="125"/>
      <c r="C42" s="125"/>
      <c r="D42" s="125"/>
      <c r="E42" s="125"/>
    </row>
    <row r="43" spans="2:10">
      <c r="B43" s="125"/>
      <c r="C43" s="125"/>
      <c r="D43" s="125"/>
      <c r="E43" s="125"/>
    </row>
  </sheetData>
  <mergeCells count="1">
    <mergeCell ref="A1:J1"/>
  </mergeCells>
  <pageMargins left="0.70866141732283472" right="0.70866141732283472" top="0.74803149606299213" bottom="0.74803149606299213" header="0.31496062992125984" footer="0.31496062992125984"/>
  <pageSetup scale="6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topLeftCell="I1" zoomScale="70" zoomScaleNormal="100" zoomScaleSheetLayoutView="70" workbookViewId="0">
      <selection activeCell="Q38" sqref="Q38"/>
    </sheetView>
  </sheetViews>
  <sheetFormatPr baseColWidth="10" defaultColWidth="11.42578125" defaultRowHeight="15"/>
  <cols>
    <col min="1" max="6" width="11.42578125" style="84"/>
    <col min="7" max="7" width="13.42578125" style="84" customWidth="1"/>
    <col min="8" max="10" width="11.42578125" style="84"/>
    <col min="11" max="12" width="15.5703125" style="84" customWidth="1"/>
    <col min="13" max="13" width="13.140625" style="84" customWidth="1"/>
    <col min="14" max="16384" width="11.42578125" style="8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55" zoomScaleNormal="85" zoomScaleSheetLayoutView="55" workbookViewId="0">
      <selection activeCell="L12" sqref="L12"/>
    </sheetView>
  </sheetViews>
  <sheetFormatPr baseColWidth="10" defaultColWidth="11.42578125" defaultRowHeight="15"/>
  <cols>
    <col min="1" max="1" width="29.5703125" style="83" customWidth="1"/>
    <col min="2" max="2" width="28.85546875" style="83" customWidth="1"/>
    <col min="3" max="3" width="18.85546875" style="83" customWidth="1"/>
    <col min="4" max="5" width="12" style="83" customWidth="1"/>
    <col min="6" max="6" width="14" style="83" customWidth="1"/>
    <col min="7" max="7" width="8" style="83" customWidth="1"/>
    <col min="8" max="8" width="12.28515625" style="83" customWidth="1"/>
    <col min="9" max="9" width="19" style="83" customWidth="1"/>
    <col min="10" max="10" width="13.7109375" style="83" customWidth="1"/>
    <col min="11" max="11" width="15.7109375" style="83" customWidth="1"/>
    <col min="12" max="12" width="11.42578125" style="83"/>
    <col min="13" max="13" width="15.140625" style="83" bestFit="1" customWidth="1"/>
    <col min="14" max="16384" width="11.42578125" style="83"/>
  </cols>
  <sheetData>
    <row r="1" spans="1:16" ht="78" customHeight="1">
      <c r="A1" s="1854"/>
      <c r="B1" s="1854"/>
      <c r="C1" s="1854"/>
      <c r="D1" s="1854"/>
      <c r="E1" s="1854"/>
      <c r="F1" s="1854"/>
      <c r="G1" s="1854"/>
      <c r="H1" s="1854"/>
      <c r="I1" s="1854"/>
      <c r="J1" s="1854"/>
      <c r="K1" s="1854"/>
      <c r="L1"/>
      <c r="M1"/>
      <c r="N1"/>
      <c r="O1"/>
      <c r="P1"/>
    </row>
    <row r="2" spans="1:16" ht="18.75">
      <c r="A2" s="727" t="s">
        <v>183</v>
      </c>
      <c r="B2" s="1411" t="s">
        <v>213</v>
      </c>
      <c r="C2" s="727" t="s">
        <v>44</v>
      </c>
      <c r="F2"/>
      <c r="G2"/>
      <c r="H2"/>
      <c r="I2"/>
      <c r="J2" s="125"/>
      <c r="K2" s="125"/>
    </row>
    <row r="3" spans="1:16" ht="18.75">
      <c r="A3" s="729" t="s">
        <v>45</v>
      </c>
      <c r="B3" s="1412">
        <v>5812578854.3400002</v>
      </c>
      <c r="C3" s="1414">
        <f>+B3/$B$12</f>
        <v>0.87644136103713977</v>
      </c>
      <c r="F3" s="84"/>
      <c r="G3"/>
      <c r="H3"/>
      <c r="I3"/>
      <c r="J3" s="125"/>
      <c r="K3" s="125"/>
    </row>
    <row r="4" spans="1:16" ht="17.25" hidden="1" customHeight="1">
      <c r="A4" s="730" t="s">
        <v>214</v>
      </c>
      <c r="B4" s="1412">
        <v>250000000</v>
      </c>
      <c r="C4" s="1414"/>
      <c r="F4" s="84"/>
      <c r="G4" s="84"/>
      <c r="H4" s="84"/>
      <c r="I4" s="84"/>
      <c r="J4" s="125"/>
      <c r="K4" s="125"/>
    </row>
    <row r="5" spans="1:16" ht="18.75" hidden="1">
      <c r="A5" s="730" t="s">
        <v>215</v>
      </c>
      <c r="B5" s="1412">
        <v>104382856.48999999</v>
      </c>
      <c r="C5" s="1414"/>
      <c r="F5" s="84"/>
      <c r="G5" s="84"/>
      <c r="H5" s="84"/>
      <c r="I5" s="84"/>
      <c r="J5" s="125"/>
      <c r="K5" s="125"/>
    </row>
    <row r="6" spans="1:16" ht="18.75" hidden="1">
      <c r="A6" s="730" t="s">
        <v>456</v>
      </c>
      <c r="B6" s="1412">
        <v>407525478.66000003</v>
      </c>
      <c r="C6" s="1414"/>
      <c r="F6" s="84"/>
      <c r="G6" s="84"/>
      <c r="H6" s="84"/>
      <c r="I6" s="84"/>
      <c r="J6" s="125"/>
      <c r="K6" s="125"/>
    </row>
    <row r="7" spans="1:16" ht="18.75" hidden="1">
      <c r="A7" s="730" t="s">
        <v>216</v>
      </c>
      <c r="B7" s="1412">
        <v>225187270.78999999</v>
      </c>
      <c r="C7" s="1414"/>
      <c r="F7" s="84"/>
      <c r="G7" s="84"/>
      <c r="H7" s="84"/>
      <c r="I7" s="84"/>
      <c r="J7" s="125"/>
      <c r="K7" s="125"/>
    </row>
    <row r="8" spans="1:16" ht="18.75" hidden="1">
      <c r="A8" s="730" t="s">
        <v>217</v>
      </c>
      <c r="B8" s="1412">
        <v>3476068396.0999999</v>
      </c>
      <c r="C8" s="1414"/>
      <c r="F8" s="84"/>
      <c r="G8" s="84"/>
      <c r="H8" s="84"/>
      <c r="I8" s="84"/>
      <c r="J8" s="125"/>
      <c r="K8" s="125"/>
    </row>
    <row r="9" spans="1:16" ht="18.75" hidden="1">
      <c r="A9" s="730" t="s">
        <v>218</v>
      </c>
      <c r="B9" s="1412">
        <v>2369926116.8400002</v>
      </c>
      <c r="C9" s="1414"/>
      <c r="F9" s="84"/>
      <c r="G9" s="84"/>
      <c r="H9" s="84"/>
      <c r="I9" s="84"/>
      <c r="J9" s="125"/>
      <c r="K9" s="125"/>
    </row>
    <row r="10" spans="1:16" ht="18.75">
      <c r="A10" s="729" t="s">
        <v>107</v>
      </c>
      <c r="B10" s="1412">
        <v>736642848.16999996</v>
      </c>
      <c r="C10" s="1414">
        <f>+B10/$B$12</f>
        <v>0.11107363472004002</v>
      </c>
      <c r="F10"/>
      <c r="G10"/>
      <c r="H10"/>
      <c r="I10"/>
      <c r="J10" s="125"/>
      <c r="K10" s="125"/>
    </row>
    <row r="11" spans="1:16" ht="18" customHeight="1">
      <c r="A11" s="729" t="s">
        <v>476</v>
      </c>
      <c r="B11" s="1412">
        <v>82800829.450000003</v>
      </c>
      <c r="C11" s="1415">
        <f>+B11/$B$12</f>
        <v>1.2485004242820235E-2</v>
      </c>
      <c r="F11" s="84"/>
      <c r="G11" s="84"/>
      <c r="H11" s="84"/>
      <c r="I11" s="84"/>
      <c r="J11" s="125"/>
      <c r="K11" s="125"/>
    </row>
    <row r="12" spans="1:16" ht="18.75">
      <c r="A12" s="728" t="s">
        <v>23</v>
      </c>
      <c r="B12" s="1413">
        <f>+B10+B3+B11</f>
        <v>6632022531.96</v>
      </c>
      <c r="C12" s="1416">
        <f>SUM(C3:C11)</f>
        <v>1</v>
      </c>
      <c r="F12"/>
      <c r="G12"/>
      <c r="H12"/>
      <c r="I12"/>
      <c r="J12" s="125"/>
      <c r="K12" s="127"/>
      <c r="M12" s="128"/>
    </row>
    <row r="13" spans="1:16">
      <c r="A13" s="125"/>
      <c r="B13" s="125"/>
      <c r="C13" s="125"/>
      <c r="D13" s="125"/>
      <c r="F13"/>
      <c r="G13"/>
      <c r="H13"/>
      <c r="I13"/>
      <c r="J13" s="125"/>
      <c r="K13" s="125"/>
    </row>
    <row r="14" spans="1:16">
      <c r="A14" s="125"/>
      <c r="B14" s="125"/>
      <c r="C14" s="125"/>
      <c r="D14" s="125"/>
      <c r="E14" s="125"/>
      <c r="F14"/>
      <c r="G14"/>
      <c r="H14"/>
      <c r="I14"/>
      <c r="J14" s="125"/>
      <c r="K14" s="125"/>
    </row>
    <row r="15" spans="1:16">
      <c r="B15" s="125"/>
      <c r="C15" s="125"/>
      <c r="D15" s="125"/>
      <c r="E15" s="125"/>
      <c r="F15"/>
      <c r="G15"/>
      <c r="H15"/>
      <c r="I15"/>
      <c r="J15" s="125"/>
      <c r="K15" s="125"/>
    </row>
    <row r="16" spans="1:16">
      <c r="B16" s="125"/>
      <c r="C16" s="125"/>
      <c r="D16" s="125"/>
      <c r="E16" s="125"/>
      <c r="F16"/>
      <c r="G16"/>
      <c r="H16"/>
      <c r="I16"/>
      <c r="J16" s="125"/>
      <c r="K16" s="125"/>
    </row>
    <row r="17" spans="2:17">
      <c r="B17" s="125"/>
      <c r="C17" s="125"/>
      <c r="D17" s="125"/>
      <c r="E17" s="125"/>
      <c r="F17"/>
      <c r="G17"/>
      <c r="H17"/>
      <c r="I17"/>
      <c r="J17" s="125"/>
      <c r="K17" s="125"/>
    </row>
    <row r="18" spans="2:17">
      <c r="B18" s="125"/>
      <c r="C18" s="125"/>
      <c r="D18" s="125"/>
      <c r="E18" s="125"/>
      <c r="F18"/>
      <c r="G18"/>
      <c r="H18"/>
      <c r="I18"/>
      <c r="J18" s="125"/>
      <c r="K18" s="125"/>
    </row>
    <row r="19" spans="2:17">
      <c r="B19" s="125"/>
      <c r="C19" s="125"/>
      <c r="D19" s="125"/>
      <c r="E19" s="125"/>
      <c r="F19"/>
      <c r="G19"/>
      <c r="H19"/>
      <c r="I19"/>
      <c r="J19" s="125"/>
      <c r="K19" s="125"/>
    </row>
    <row r="20" spans="2:17">
      <c r="B20" s="125"/>
      <c r="C20" s="125"/>
      <c r="D20" s="125"/>
      <c r="E20" s="125"/>
      <c r="F20" s="125"/>
      <c r="G20" s="125"/>
      <c r="H20" s="125"/>
      <c r="I20" s="125"/>
      <c r="J20" s="125"/>
      <c r="K20" s="125"/>
    </row>
    <row r="21" spans="2:17">
      <c r="B21" s="125"/>
      <c r="C21" s="125"/>
      <c r="D21" s="125"/>
      <c r="E21" s="125"/>
      <c r="F21" s="125"/>
      <c r="G21" s="125"/>
      <c r="H21" s="125"/>
      <c r="I21" s="125"/>
      <c r="J21" s="125"/>
      <c r="K21" s="125"/>
    </row>
    <row r="22" spans="2:17">
      <c r="B22" s="125"/>
      <c r="C22" s="125"/>
      <c r="D22" s="125"/>
      <c r="E22" s="125"/>
      <c r="F22" s="125"/>
      <c r="G22" s="125"/>
      <c r="H22" s="125"/>
      <c r="I22" s="125"/>
      <c r="J22" s="125"/>
      <c r="K22" s="125"/>
    </row>
    <row r="23" spans="2:17">
      <c r="B23" s="125"/>
      <c r="C23" s="125"/>
      <c r="D23" s="125"/>
      <c r="E23" s="125"/>
      <c r="F23" s="125"/>
      <c r="G23" s="125"/>
      <c r="H23" s="125"/>
      <c r="I23" s="125"/>
      <c r="J23" s="125"/>
      <c r="K23" s="125"/>
    </row>
    <row r="24" spans="2:17">
      <c r="B24" s="125"/>
      <c r="C24" s="125"/>
      <c r="D24" s="125"/>
      <c r="E24" s="125"/>
      <c r="F24" s="125"/>
      <c r="G24" s="125"/>
      <c r="H24" s="125"/>
      <c r="I24" s="125"/>
      <c r="J24" s="125"/>
      <c r="K24" s="125"/>
    </row>
    <row r="25" spans="2:17">
      <c r="B25" s="125"/>
      <c r="C25" s="125"/>
      <c r="D25" s="125"/>
      <c r="E25" s="125"/>
      <c r="F25" s="125"/>
      <c r="G25" s="125"/>
      <c r="H25" s="125"/>
      <c r="I25" s="125"/>
      <c r="J25" s="125"/>
      <c r="K25" s="125"/>
    </row>
    <row r="26" spans="2:17">
      <c r="B26" s="125"/>
      <c r="C26" s="125"/>
      <c r="D26" s="125"/>
      <c r="E26" s="125"/>
      <c r="F26" s="125"/>
      <c r="G26" s="125"/>
      <c r="H26" s="125"/>
      <c r="I26" s="125"/>
      <c r="J26" s="125"/>
      <c r="K26" s="125"/>
    </row>
    <row r="27" spans="2:17">
      <c r="B27" s="125"/>
      <c r="C27" s="125"/>
      <c r="D27" s="125"/>
      <c r="E27" s="125"/>
      <c r="F27" s="125"/>
      <c r="G27" s="125"/>
      <c r="H27" s="125"/>
      <c r="I27" s="125"/>
      <c r="J27" s="125"/>
      <c r="K27" s="125"/>
    </row>
    <row r="28" spans="2:17">
      <c r="B28" s="125"/>
      <c r="C28" s="125"/>
      <c r="D28" s="125"/>
      <c r="E28" s="125"/>
      <c r="F28" s="125"/>
      <c r="G28" s="125"/>
      <c r="H28" s="125"/>
      <c r="I28" s="125"/>
      <c r="J28" s="125"/>
      <c r="K28" s="125"/>
    </row>
    <row r="29" spans="2:17">
      <c r="B29" s="125"/>
      <c r="C29" s="125"/>
      <c r="D29" s="125"/>
      <c r="E29" s="125"/>
      <c r="F29" s="125"/>
      <c r="G29" s="125"/>
      <c r="H29" s="125"/>
      <c r="I29" s="125"/>
      <c r="J29" s="125"/>
      <c r="K29" s="125"/>
    </row>
    <row r="30" spans="2:17">
      <c r="B30" s="125"/>
      <c r="C30" s="125"/>
      <c r="D30" s="125"/>
      <c r="E30" s="125"/>
      <c r="F30" s="125"/>
      <c r="G30" s="125"/>
      <c r="H30" s="125"/>
      <c r="I30" s="125"/>
      <c r="J30" s="125"/>
      <c r="K30" s="125"/>
    </row>
    <row r="31" spans="2:17">
      <c r="B31" s="125"/>
      <c r="C31" s="125"/>
      <c r="D31" s="125"/>
      <c r="E31" s="125"/>
      <c r="F31" s="125"/>
      <c r="G31" s="125"/>
      <c r="H31" s="125"/>
      <c r="I31" s="125"/>
      <c r="J31" s="125"/>
      <c r="K31" s="125"/>
    </row>
    <row r="32" spans="2:17">
      <c r="E32" s="125"/>
      <c r="F32" s="125"/>
      <c r="G32" s="125"/>
      <c r="H32" s="125"/>
      <c r="I32" s="125"/>
      <c r="J32" s="125"/>
      <c r="K32" s="125"/>
      <c r="N32" s="125"/>
      <c r="O32" s="125"/>
      <c r="P32" s="125"/>
      <c r="Q32" s="125"/>
    </row>
    <row r="33" spans="2:17">
      <c r="E33" s="125"/>
      <c r="F33" s="125"/>
      <c r="G33" s="125"/>
      <c r="H33" s="125"/>
      <c r="I33" s="125"/>
      <c r="J33" s="125"/>
      <c r="K33" s="125"/>
      <c r="N33" s="125"/>
      <c r="O33" s="125"/>
      <c r="P33" s="125"/>
      <c r="Q33" s="125"/>
    </row>
    <row r="34" spans="2:17">
      <c r="E34" s="125"/>
      <c r="F34" s="125"/>
      <c r="G34" s="125"/>
      <c r="H34" s="125"/>
      <c r="I34" s="125"/>
      <c r="J34" s="125"/>
      <c r="K34" s="125"/>
      <c r="N34" s="125"/>
      <c r="O34" s="125"/>
      <c r="P34" s="125"/>
      <c r="Q34" s="125"/>
    </row>
    <row r="35" spans="2:17">
      <c r="E35" s="125"/>
      <c r="F35" s="125"/>
      <c r="G35" s="125"/>
      <c r="H35" s="125"/>
      <c r="I35" s="125"/>
      <c r="J35" s="125"/>
      <c r="K35" s="125"/>
      <c r="N35" s="125"/>
      <c r="O35" s="125"/>
      <c r="P35" s="125"/>
      <c r="Q35" s="125"/>
    </row>
    <row r="36" spans="2:17">
      <c r="E36" s="125"/>
      <c r="F36" s="125"/>
      <c r="G36" s="125"/>
      <c r="H36" s="125"/>
      <c r="I36" s="125"/>
      <c r="J36" s="125"/>
      <c r="K36" s="125"/>
      <c r="N36" s="125"/>
      <c r="O36" s="125"/>
      <c r="P36" s="125"/>
      <c r="Q36" s="125"/>
    </row>
    <row r="37" spans="2:17">
      <c r="E37" s="125"/>
      <c r="F37" s="125"/>
      <c r="G37" s="125"/>
      <c r="H37" s="125"/>
      <c r="I37" s="125"/>
      <c r="J37" s="125"/>
      <c r="K37" s="125"/>
      <c r="N37" s="125"/>
      <c r="O37" s="125"/>
      <c r="P37" s="125"/>
      <c r="Q37" s="125"/>
    </row>
    <row r="38" spans="2:17">
      <c r="B38" s="125"/>
      <c r="C38" s="125"/>
      <c r="D38" s="125"/>
      <c r="E38" s="125"/>
      <c r="F38" s="125"/>
      <c r="G38" s="125"/>
      <c r="H38" s="125"/>
      <c r="I38" s="125"/>
      <c r="J38" s="125"/>
      <c r="K38" s="125"/>
      <c r="N38" s="125"/>
    </row>
    <row r="39" spans="2:17" ht="28.5">
      <c r="B39" s="125"/>
      <c r="C39" s="125"/>
      <c r="D39" s="126"/>
      <c r="E39" s="125"/>
      <c r="F39" s="125"/>
      <c r="G39" s="125"/>
      <c r="H39" s="125"/>
      <c r="I39" s="125"/>
      <c r="J39" s="125"/>
      <c r="K39" s="125"/>
      <c r="N39" s="125"/>
    </row>
    <row r="40" spans="2:17">
      <c r="B40" s="125"/>
      <c r="C40" s="125"/>
      <c r="D40" s="125"/>
      <c r="E40" s="125"/>
      <c r="F40" s="125"/>
      <c r="G40" s="125"/>
      <c r="H40" s="125"/>
      <c r="I40" s="125"/>
      <c r="J40" s="125"/>
      <c r="K40" s="125"/>
      <c r="N40" s="125"/>
    </row>
    <row r="41" spans="2:17">
      <c r="B41" s="125"/>
      <c r="F41" s="125"/>
      <c r="G41" s="125"/>
      <c r="H41" s="125"/>
      <c r="I41" s="125"/>
      <c r="J41" s="125"/>
      <c r="K41" s="125"/>
      <c r="N41" s="125"/>
    </row>
    <row r="42" spans="2:17">
      <c r="B42" s="125"/>
      <c r="F42" s="125"/>
      <c r="G42" s="125"/>
      <c r="H42" s="125"/>
      <c r="I42" s="125"/>
      <c r="J42" s="125"/>
      <c r="K42" s="125"/>
      <c r="N42" s="125"/>
    </row>
    <row r="43" spans="2:17">
      <c r="B43" s="125"/>
      <c r="F43" s="125"/>
      <c r="G43" s="125"/>
      <c r="H43" s="125"/>
      <c r="I43" s="125"/>
      <c r="J43" s="125"/>
      <c r="K43" s="125"/>
    </row>
    <row r="44" spans="2:17">
      <c r="B44" s="125"/>
      <c r="F44" s="125"/>
      <c r="G44" s="125"/>
      <c r="H44" s="125"/>
      <c r="I44" s="125"/>
      <c r="J44" s="125"/>
      <c r="K44" s="125"/>
    </row>
    <row r="45" spans="2:17">
      <c r="B45" s="125"/>
      <c r="F45" s="125"/>
      <c r="G45" s="125"/>
      <c r="H45" s="125"/>
      <c r="I45" s="125"/>
      <c r="J45" s="125"/>
      <c r="K45" s="125"/>
    </row>
    <row r="46" spans="2:17">
      <c r="B46" s="125"/>
      <c r="C46" s="125"/>
      <c r="D46" s="125"/>
      <c r="E46" s="125"/>
    </row>
    <row r="47" spans="2:17">
      <c r="B47" s="125"/>
      <c r="C47" s="125"/>
      <c r="D47" s="125"/>
      <c r="E47" s="125"/>
    </row>
    <row r="48" spans="2:17">
      <c r="B48" s="125"/>
      <c r="C48" s="125"/>
      <c r="D48" s="125"/>
      <c r="E48" s="125"/>
    </row>
    <row r="49" spans="2:5">
      <c r="B49" s="125"/>
      <c r="C49" s="125"/>
      <c r="D49" s="125"/>
      <c r="E49" s="125"/>
    </row>
    <row r="50" spans="2:5">
      <c r="B50" s="125"/>
      <c r="C50" s="125"/>
      <c r="D50" s="125"/>
      <c r="E50" s="125"/>
    </row>
    <row r="51" spans="2:5">
      <c r="B51" s="125"/>
      <c r="C51" s="125"/>
      <c r="D51" s="125"/>
      <c r="E51" s="125"/>
    </row>
    <row r="52" spans="2:5">
      <c r="B52" s="125"/>
      <c r="C52" s="125"/>
      <c r="D52" s="125"/>
      <c r="E52" s="125"/>
    </row>
    <row r="53" spans="2:5">
      <c r="B53" s="125"/>
      <c r="C53" s="125"/>
      <c r="D53" s="125"/>
      <c r="E53" s="125"/>
    </row>
    <row r="54" spans="2:5">
      <c r="B54" s="125"/>
      <c r="C54" s="125"/>
      <c r="D54" s="125"/>
      <c r="E54" s="125"/>
    </row>
    <row r="55" spans="2:5">
      <c r="B55" s="125"/>
      <c r="C55" s="125"/>
      <c r="D55" s="125"/>
      <c r="E55" s="125"/>
    </row>
    <row r="56" spans="2:5">
      <c r="B56" s="125"/>
      <c r="C56" s="125"/>
      <c r="D56" s="125"/>
      <c r="E56" s="125"/>
    </row>
    <row r="57" spans="2:5">
      <c r="B57" s="125"/>
      <c r="C57" s="125"/>
      <c r="D57" s="125"/>
      <c r="E57" s="125"/>
    </row>
    <row r="58" spans="2:5">
      <c r="B58" s="125"/>
      <c r="C58" s="125"/>
      <c r="D58" s="125"/>
      <c r="E58" s="125"/>
    </row>
    <row r="59" spans="2:5">
      <c r="B59" s="125"/>
      <c r="C59" s="125"/>
      <c r="D59" s="125"/>
      <c r="E59" s="125"/>
    </row>
    <row r="60" spans="2:5">
      <c r="B60" s="125"/>
      <c r="C60" s="125"/>
      <c r="D60" s="125"/>
      <c r="E60" s="125"/>
    </row>
    <row r="61" spans="2:5">
      <c r="B61" s="125"/>
      <c r="C61" s="125"/>
      <c r="D61" s="125"/>
      <c r="E61" s="125"/>
    </row>
    <row r="62" spans="2:5">
      <c r="B62" s="125"/>
      <c r="C62" s="125"/>
      <c r="D62" s="125"/>
      <c r="E62" s="125"/>
    </row>
    <row r="63" spans="2:5">
      <c r="B63" s="125"/>
      <c r="C63" s="125"/>
      <c r="D63" s="125"/>
      <c r="E63" s="125"/>
    </row>
    <row r="64" spans="2:5">
      <c r="B64" s="125"/>
      <c r="C64" s="125"/>
      <c r="D64" s="125"/>
      <c r="E64" s="125"/>
    </row>
    <row r="65" spans="2:5">
      <c r="B65" s="125"/>
      <c r="C65" s="125"/>
      <c r="D65" s="125"/>
      <c r="E65" s="125"/>
    </row>
    <row r="66" spans="2:5">
      <c r="B66" s="125"/>
      <c r="C66" s="125"/>
      <c r="D66" s="125"/>
      <c r="E66" s="125"/>
    </row>
    <row r="67" spans="2:5">
      <c r="B67" s="125"/>
      <c r="C67" s="125"/>
      <c r="D67" s="125"/>
      <c r="E67" s="125"/>
    </row>
    <row r="68" spans="2:5">
      <c r="B68" s="125"/>
      <c r="C68" s="125"/>
      <c r="D68" s="125"/>
      <c r="E68" s="125"/>
    </row>
    <row r="69" spans="2:5">
      <c r="B69" s="125"/>
      <c r="C69" s="125"/>
      <c r="D69" s="125"/>
      <c r="E69" s="125"/>
    </row>
    <row r="70" spans="2:5">
      <c r="B70" s="125"/>
      <c r="C70" s="125"/>
      <c r="D70" s="125"/>
      <c r="E70" s="125"/>
    </row>
    <row r="71" spans="2:5">
      <c r="B71" s="125"/>
      <c r="C71" s="125"/>
      <c r="D71" s="125"/>
      <c r="E71" s="125"/>
    </row>
    <row r="72" spans="2:5">
      <c r="B72" s="125"/>
      <c r="C72" s="125"/>
      <c r="D72" s="125"/>
      <c r="E72" s="125"/>
    </row>
    <row r="73" spans="2:5">
      <c r="B73" s="125"/>
      <c r="C73" s="125"/>
      <c r="D73" s="125"/>
      <c r="E73" s="125"/>
    </row>
    <row r="74" spans="2:5">
      <c r="B74" s="125"/>
      <c r="C74" s="125"/>
      <c r="D74" s="125"/>
      <c r="E74" s="125"/>
    </row>
    <row r="75" spans="2:5">
      <c r="B75" s="125"/>
      <c r="C75" s="125"/>
      <c r="D75" s="125"/>
      <c r="E75" s="125"/>
    </row>
    <row r="76" spans="2:5">
      <c r="B76" s="125"/>
      <c r="C76" s="125"/>
      <c r="D76" s="125"/>
      <c r="E76" s="125"/>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70" zoomScaleNormal="70" zoomScaleSheetLayoutView="70" workbookViewId="0">
      <selection activeCell="F12" sqref="F12"/>
    </sheetView>
  </sheetViews>
  <sheetFormatPr baseColWidth="10" defaultColWidth="11.42578125" defaultRowHeight="15"/>
  <cols>
    <col min="1" max="1" width="13.7109375" style="62" customWidth="1"/>
    <col min="2" max="2" width="29.28515625" style="62" customWidth="1"/>
    <col min="3" max="3" width="32.5703125" style="62" customWidth="1"/>
    <col min="4" max="4" width="26.85546875" style="62" customWidth="1"/>
    <col min="5" max="5" width="16.7109375" style="62" customWidth="1"/>
    <col min="6" max="7" width="16.85546875" style="62" bestFit="1" customWidth="1"/>
    <col min="8" max="8" width="13.7109375" style="62" customWidth="1"/>
    <col min="9" max="10" width="11.42578125" style="62"/>
    <col min="11" max="11" width="13.85546875" style="62" customWidth="1"/>
    <col min="12" max="12" width="16.5703125" style="62" customWidth="1"/>
    <col min="13" max="13" width="19.7109375" style="62" customWidth="1"/>
    <col min="14" max="14" width="18.28515625" style="62" bestFit="1" customWidth="1"/>
    <col min="15" max="16384" width="11.42578125" style="62"/>
  </cols>
  <sheetData>
    <row r="1" spans="1:14" customFormat="1" ht="69" customHeight="1">
      <c r="A1" s="1850"/>
      <c r="B1" s="1850"/>
      <c r="C1" s="1850"/>
      <c r="D1" s="1850"/>
      <c r="E1" s="1850"/>
      <c r="F1" s="1850"/>
      <c r="G1" s="1850"/>
      <c r="H1" s="1850"/>
      <c r="I1" s="1850"/>
      <c r="J1" s="1850"/>
      <c r="K1" s="1850"/>
      <c r="L1" s="1850"/>
    </row>
    <row r="2" spans="1:14" customFormat="1" ht="13.5" customHeight="1">
      <c r="A2" s="1855"/>
      <c r="B2" s="1855"/>
      <c r="C2" s="1855"/>
      <c r="D2" s="1855"/>
      <c r="E2" s="1855"/>
      <c r="F2" s="1855"/>
      <c r="G2" s="1855"/>
      <c r="H2" s="1855"/>
      <c r="I2" s="1855"/>
      <c r="J2" s="1855"/>
      <c r="K2" s="1855"/>
      <c r="L2" s="1855"/>
      <c r="M2" s="118"/>
      <c r="N2" s="118"/>
    </row>
    <row r="3" spans="1:14" customFormat="1" ht="31.5">
      <c r="A3" s="659" t="s">
        <v>0</v>
      </c>
      <c r="B3" s="736" t="s">
        <v>974</v>
      </c>
      <c r="C3" s="736" t="s">
        <v>844</v>
      </c>
      <c r="D3" s="737" t="s">
        <v>163</v>
      </c>
      <c r="E3" s="24"/>
      <c r="F3" s="38"/>
      <c r="G3" s="38"/>
      <c r="H3" s="38"/>
      <c r="I3" s="38"/>
      <c r="J3" s="20"/>
      <c r="K3" s="20"/>
      <c r="L3" s="20"/>
      <c r="M3" s="124"/>
    </row>
    <row r="4" spans="1:14" s="84" customFormat="1" ht="18.75">
      <c r="A4" s="739">
        <v>2003</v>
      </c>
      <c r="B4" s="1573">
        <v>50000000</v>
      </c>
      <c r="C4" s="732">
        <v>50652652.469999999</v>
      </c>
      <c r="D4" s="735">
        <f t="shared" ref="D4:D5" si="0">B4-C4</f>
        <v>-652652.46999999881</v>
      </c>
      <c r="E4" s="102"/>
      <c r="F4" s="38"/>
      <c r="G4" s="38"/>
      <c r="H4" s="38"/>
      <c r="I4" s="38"/>
      <c r="J4" s="20"/>
      <c r="K4" s="20"/>
      <c r="L4" s="20"/>
      <c r="M4" s="124"/>
    </row>
    <row r="5" spans="1:14" s="84" customFormat="1" ht="16.5" customHeight="1">
      <c r="A5" s="739">
        <v>2004</v>
      </c>
      <c r="B5" s="1573">
        <v>100013332.31999999</v>
      </c>
      <c r="C5" s="732">
        <v>103813912.38</v>
      </c>
      <c r="D5" s="735">
        <f t="shared" si="0"/>
        <v>-3800580.0600000024</v>
      </c>
      <c r="E5" s="102"/>
      <c r="F5" s="38"/>
      <c r="G5" s="38"/>
      <c r="H5" s="38"/>
      <c r="I5" s="38"/>
      <c r="J5" s="20"/>
      <c r="K5" s="20"/>
      <c r="L5" s="20"/>
      <c r="M5" s="124"/>
    </row>
    <row r="6" spans="1:14" customFormat="1" ht="15.75">
      <c r="A6" s="739">
        <v>2005</v>
      </c>
      <c r="B6" s="1573">
        <v>604604920.63</v>
      </c>
      <c r="C6" s="733">
        <v>203608914.68000001</v>
      </c>
      <c r="D6" s="735">
        <f t="shared" ref="D6:D16" si="1">B6-C6</f>
        <v>400996005.94999999</v>
      </c>
      <c r="E6" s="24"/>
      <c r="F6" s="38"/>
      <c r="G6" s="38"/>
      <c r="H6" s="38"/>
      <c r="I6" s="38"/>
      <c r="J6" s="20"/>
      <c r="K6" s="20"/>
      <c r="L6" s="20"/>
    </row>
    <row r="7" spans="1:14" customFormat="1" ht="15.75">
      <c r="A7" s="739">
        <v>2006</v>
      </c>
      <c r="B7" s="1574">
        <v>724509996.65999997</v>
      </c>
      <c r="C7" s="734">
        <v>816768960.5</v>
      </c>
      <c r="D7" s="735">
        <f t="shared" si="1"/>
        <v>-92258963.840000033</v>
      </c>
      <c r="E7" s="24"/>
      <c r="F7" s="38"/>
      <c r="G7" s="38"/>
      <c r="H7" s="38"/>
      <c r="I7" s="38"/>
      <c r="J7" s="20"/>
      <c r="K7" s="20"/>
      <c r="L7" s="20"/>
    </row>
    <row r="8" spans="1:14" customFormat="1" ht="15.75">
      <c r="A8" s="739">
        <v>2007</v>
      </c>
      <c r="B8" s="1573">
        <v>1566425499.9599998</v>
      </c>
      <c r="C8" s="732">
        <v>1578880050.26</v>
      </c>
      <c r="D8" s="735">
        <f t="shared" si="1"/>
        <v>-12454550.300000191</v>
      </c>
      <c r="E8" s="24"/>
      <c r="F8" s="38"/>
      <c r="G8" s="38"/>
      <c r="H8" s="38"/>
      <c r="I8" s="38"/>
      <c r="J8" s="20"/>
      <c r="K8" s="20"/>
      <c r="L8" s="20"/>
    </row>
    <row r="9" spans="1:14" customFormat="1" ht="15.75">
      <c r="A9" s="739">
        <v>2008</v>
      </c>
      <c r="B9" s="1575">
        <v>2203585531</v>
      </c>
      <c r="C9" s="733">
        <v>2556770326.0999999</v>
      </c>
      <c r="D9" s="735">
        <f t="shared" si="1"/>
        <v>-353184795.0999999</v>
      </c>
      <c r="E9" s="24"/>
      <c r="F9" s="38"/>
      <c r="G9" s="38"/>
      <c r="H9" s="38"/>
      <c r="I9" s="38"/>
      <c r="J9" s="20"/>
      <c r="K9" s="20"/>
      <c r="L9" s="20"/>
    </row>
    <row r="10" spans="1:14" customFormat="1" ht="15.75">
      <c r="A10" s="740">
        <v>2009</v>
      </c>
      <c r="B10" s="1575">
        <v>3190675855.0100002</v>
      </c>
      <c r="C10" s="731">
        <v>2723337644.3600001</v>
      </c>
      <c r="D10" s="735">
        <f t="shared" si="1"/>
        <v>467338210.6500001</v>
      </c>
      <c r="E10" s="24"/>
      <c r="F10" s="38"/>
      <c r="G10" s="38"/>
      <c r="H10" s="38"/>
      <c r="I10" s="38"/>
      <c r="J10" s="20"/>
      <c r="K10" s="20"/>
      <c r="L10" s="20"/>
    </row>
    <row r="11" spans="1:14" customFormat="1" ht="15.75">
      <c r="A11" s="739">
        <v>2010</v>
      </c>
      <c r="B11" s="1575">
        <v>3736675849.46</v>
      </c>
      <c r="C11" s="731">
        <v>3444380482.9799995</v>
      </c>
      <c r="D11" s="735">
        <f t="shared" si="1"/>
        <v>292295366.4800005</v>
      </c>
      <c r="E11" s="24"/>
      <c r="F11" s="38"/>
      <c r="G11" s="38"/>
      <c r="H11" s="38"/>
      <c r="I11" s="38"/>
      <c r="J11" s="20"/>
      <c r="K11" s="20"/>
      <c r="L11" s="20"/>
    </row>
    <row r="12" spans="1:14" s="84" customFormat="1" ht="15.75">
      <c r="A12" s="740">
        <v>2011</v>
      </c>
      <c r="B12" s="1575">
        <v>4134675852</v>
      </c>
      <c r="C12" s="731">
        <v>4363872025.0799999</v>
      </c>
      <c r="D12" s="735">
        <f t="shared" si="1"/>
        <v>-229196173.07999992</v>
      </c>
      <c r="E12" s="102"/>
      <c r="F12" s="38"/>
      <c r="G12" s="38"/>
      <c r="H12" s="38"/>
      <c r="I12" s="38"/>
      <c r="J12" s="20"/>
      <c r="K12" s="20"/>
      <c r="L12" s="20"/>
    </row>
    <row r="13" spans="1:14" s="84" customFormat="1" ht="15.75">
      <c r="A13" s="740">
        <v>2012</v>
      </c>
      <c r="B13" s="1575">
        <v>4599999999.96</v>
      </c>
      <c r="C13" s="731">
        <v>4742082647.7799997</v>
      </c>
      <c r="D13" s="735">
        <f t="shared" si="1"/>
        <v>-142082647.81999969</v>
      </c>
      <c r="E13" s="102"/>
      <c r="F13" s="38"/>
      <c r="G13" s="38"/>
      <c r="H13" s="38"/>
      <c r="I13" s="38"/>
      <c r="J13" s="20"/>
      <c r="K13" s="20"/>
      <c r="L13" s="20"/>
    </row>
    <row r="14" spans="1:14" s="84" customFormat="1" ht="15.75">
      <c r="A14" s="740">
        <v>2013</v>
      </c>
      <c r="B14" s="1575">
        <v>5302610000</v>
      </c>
      <c r="C14" s="731">
        <v>5215203784.9399996</v>
      </c>
      <c r="D14" s="735">
        <f t="shared" si="1"/>
        <v>87406215.06000042</v>
      </c>
      <c r="E14" s="102"/>
      <c r="F14" s="38"/>
      <c r="G14" s="38"/>
      <c r="H14" s="38"/>
      <c r="I14" s="38"/>
      <c r="J14" s="20"/>
      <c r="K14" s="20"/>
      <c r="L14" s="20"/>
    </row>
    <row r="15" spans="1:14" s="84" customFormat="1" ht="15.75">
      <c r="A15" s="740">
        <v>2014</v>
      </c>
      <c r="B15" s="1575">
        <v>6839999499</v>
      </c>
      <c r="C15" s="731">
        <v>7378610518.96</v>
      </c>
      <c r="D15" s="735">
        <f t="shared" si="1"/>
        <v>-538611019.96000004</v>
      </c>
      <c r="E15" s="102"/>
      <c r="F15" s="38"/>
      <c r="G15" s="38"/>
      <c r="H15" s="38"/>
      <c r="I15" s="38"/>
      <c r="J15" s="20"/>
      <c r="K15" s="20"/>
      <c r="L15" s="20"/>
    </row>
    <row r="16" spans="1:14" s="84" customFormat="1" ht="15.75">
      <c r="A16" s="740" t="s">
        <v>649</v>
      </c>
      <c r="B16" s="1576">
        <v>0</v>
      </c>
      <c r="C16" s="1577">
        <v>0</v>
      </c>
      <c r="D16" s="1578">
        <f t="shared" si="1"/>
        <v>0</v>
      </c>
      <c r="E16" s="102"/>
      <c r="F16" s="38"/>
      <c r="G16" s="38"/>
      <c r="H16" s="38"/>
      <c r="I16" s="38"/>
      <c r="J16" s="20"/>
      <c r="K16" s="20"/>
      <c r="L16" s="20"/>
    </row>
    <row r="17" spans="1:12" customFormat="1" ht="15.75">
      <c r="A17" s="550" t="s">
        <v>23</v>
      </c>
      <c r="B17" s="741">
        <f>SUM(B4:B16)</f>
        <v>33053776336</v>
      </c>
      <c r="C17" s="738">
        <f>SUM(C4:C16)</f>
        <v>33177981920.489998</v>
      </c>
      <c r="D17" s="1100">
        <f>SUM(D4:D16)</f>
        <v>-124205584.48999882</v>
      </c>
      <c r="E17" s="24"/>
      <c r="F17" s="38"/>
      <c r="G17" s="38"/>
      <c r="H17" s="38"/>
      <c r="I17" s="38"/>
      <c r="J17" s="20"/>
      <c r="K17" s="20"/>
      <c r="L17" s="20"/>
    </row>
    <row r="18" spans="1:12" customFormat="1">
      <c r="A18" s="40"/>
      <c r="B18" s="40"/>
      <c r="C18" s="40"/>
      <c r="D18" s="25"/>
      <c r="E18" s="39"/>
      <c r="F18" s="39"/>
      <c r="G18" s="39"/>
      <c r="H18" s="39"/>
      <c r="I18" s="39"/>
      <c r="J18" s="25"/>
      <c r="K18" s="25"/>
      <c r="L18" s="25"/>
    </row>
    <row r="19" spans="1:12" customFormat="1">
      <c r="C19" s="25"/>
      <c r="D19" s="25"/>
      <c r="E19" s="39"/>
      <c r="F19" s="39"/>
      <c r="G19" s="39"/>
      <c r="H19" s="39"/>
      <c r="I19" s="39"/>
      <c r="J19" s="25"/>
      <c r="K19" s="25"/>
      <c r="L19" s="25"/>
    </row>
    <row r="20" spans="1:12" customFormat="1">
      <c r="C20" s="25"/>
      <c r="D20" s="25"/>
      <c r="E20" s="25"/>
      <c r="F20" s="25"/>
      <c r="G20" s="25"/>
      <c r="H20" s="25"/>
      <c r="I20" s="25"/>
      <c r="J20" s="25"/>
      <c r="K20" s="25"/>
      <c r="L20" s="25"/>
    </row>
    <row r="21" spans="1:12" customFormat="1">
      <c r="C21" s="25"/>
      <c r="D21" s="25"/>
      <c r="E21" s="25"/>
      <c r="F21" s="25"/>
      <c r="G21" s="25"/>
      <c r="H21" s="25"/>
      <c r="I21" s="25"/>
      <c r="J21" s="25"/>
      <c r="K21" s="25"/>
      <c r="L21" s="25"/>
    </row>
    <row r="22" spans="1:12" customFormat="1">
      <c r="C22" s="25"/>
      <c r="D22" s="25"/>
      <c r="E22" s="25"/>
      <c r="F22" s="25"/>
      <c r="G22" s="25"/>
      <c r="H22" s="25"/>
      <c r="I22" s="25"/>
      <c r="J22" s="25"/>
      <c r="K22" s="25"/>
      <c r="L22" s="25"/>
    </row>
    <row r="23" spans="1:12" customFormat="1">
      <c r="C23" s="25"/>
      <c r="D23" s="25"/>
      <c r="E23" s="25"/>
      <c r="F23" s="25"/>
      <c r="G23" s="25"/>
      <c r="H23" s="25"/>
      <c r="I23" s="25"/>
      <c r="J23" s="25"/>
      <c r="K23" s="25"/>
      <c r="L23" s="25"/>
    </row>
    <row r="24" spans="1:12" customFormat="1">
      <c r="C24" s="25"/>
      <c r="D24" s="25"/>
      <c r="E24" s="25"/>
      <c r="F24" s="25"/>
      <c r="G24" s="25"/>
      <c r="H24" s="25"/>
      <c r="I24" s="25"/>
      <c r="J24" s="25"/>
      <c r="K24" s="25"/>
      <c r="L24" s="25"/>
    </row>
    <row r="25" spans="1:12" customFormat="1">
      <c r="C25" s="25"/>
      <c r="D25" s="25"/>
      <c r="E25" s="25"/>
      <c r="F25" s="25"/>
      <c r="G25" s="25"/>
      <c r="H25" s="25"/>
      <c r="I25" s="25"/>
      <c r="J25" s="25"/>
      <c r="K25" s="25"/>
      <c r="L25" s="25"/>
    </row>
    <row r="26" spans="1:12" customFormat="1">
      <c r="C26" s="25"/>
      <c r="D26" s="25"/>
      <c r="E26" s="25"/>
      <c r="F26" s="25"/>
      <c r="G26" s="25"/>
      <c r="H26" s="25"/>
      <c r="I26" s="25"/>
      <c r="J26" s="25"/>
      <c r="K26" s="25"/>
      <c r="L26" s="25"/>
    </row>
    <row r="27" spans="1:12" customFormat="1">
      <c r="C27" s="25"/>
      <c r="D27" s="25"/>
      <c r="E27" s="25"/>
      <c r="F27" s="25"/>
      <c r="G27" s="25"/>
      <c r="H27" s="25"/>
      <c r="I27" s="25"/>
      <c r="J27" s="25"/>
      <c r="K27" s="25"/>
      <c r="L27" s="25"/>
    </row>
    <row r="28" spans="1:12" customFormat="1">
      <c r="C28" s="25"/>
      <c r="D28" s="25"/>
      <c r="E28" s="25"/>
      <c r="F28" s="25"/>
      <c r="G28" s="25"/>
      <c r="H28" s="25"/>
      <c r="I28" s="25"/>
      <c r="J28" s="25"/>
      <c r="K28" s="25"/>
      <c r="L28" s="25"/>
    </row>
    <row r="29" spans="1:12" customFormat="1">
      <c r="C29" s="25"/>
      <c r="D29" s="25"/>
      <c r="E29" s="25"/>
      <c r="F29" s="25"/>
      <c r="G29" s="25"/>
      <c r="H29" s="25"/>
      <c r="I29" s="25"/>
      <c r="J29" s="25"/>
      <c r="K29" s="25"/>
      <c r="L29" s="25"/>
    </row>
    <row r="30" spans="1:12" customFormat="1">
      <c r="C30" s="25"/>
      <c r="D30" s="25"/>
      <c r="E30" s="25"/>
      <c r="F30" s="25"/>
      <c r="G30" s="25"/>
      <c r="H30" s="25"/>
      <c r="I30" s="25"/>
      <c r="J30" s="25"/>
      <c r="K30" s="25"/>
      <c r="L30" s="25"/>
    </row>
    <row r="31" spans="1:12" customFormat="1">
      <c r="C31" s="25"/>
      <c r="D31" s="25"/>
      <c r="E31" s="25"/>
      <c r="F31" s="25"/>
      <c r="G31" s="25"/>
      <c r="H31" s="25"/>
      <c r="I31" s="25"/>
      <c r="J31" s="25"/>
      <c r="K31" s="25"/>
      <c r="L31" s="25"/>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85" zoomScaleNormal="100" zoomScaleSheetLayoutView="85" workbookViewId="0">
      <selection activeCell="E12" sqref="E12"/>
    </sheetView>
  </sheetViews>
  <sheetFormatPr baseColWidth="10" defaultColWidth="11.42578125" defaultRowHeight="15"/>
  <cols>
    <col min="1" max="1" width="11.42578125" style="60"/>
    <col min="2" max="3" width="21.140625" style="60" customWidth="1"/>
    <col min="4" max="4" width="19.7109375" style="60" customWidth="1"/>
    <col min="5" max="5" width="22.42578125" style="60" customWidth="1"/>
    <col min="6" max="6" width="17.85546875" style="60" bestFit="1" customWidth="1"/>
    <col min="7" max="11" width="11.42578125" style="60"/>
    <col min="12" max="12" width="22.42578125" style="60" customWidth="1"/>
    <col min="13" max="13" width="16" style="60" bestFit="1" customWidth="1"/>
    <col min="14" max="16384" width="11.42578125" style="60"/>
  </cols>
  <sheetData>
    <row r="1" spans="1:12" customFormat="1" ht="77.25" customHeight="1">
      <c r="A1" s="1847"/>
      <c r="B1" s="1847"/>
      <c r="C1" s="1847"/>
      <c r="D1" s="1847"/>
      <c r="E1" s="1847"/>
      <c r="F1" s="1847"/>
      <c r="G1" s="1847"/>
      <c r="H1" s="1847"/>
      <c r="I1" s="1847"/>
      <c r="J1" s="1847"/>
      <c r="K1" s="1847"/>
      <c r="L1" s="1847"/>
    </row>
    <row r="2" spans="1:12" customFormat="1" ht="32.25" customHeight="1">
      <c r="A2" s="659" t="s">
        <v>48</v>
      </c>
      <c r="B2" s="743" t="s">
        <v>127</v>
      </c>
      <c r="C2" s="736" t="s">
        <v>845</v>
      </c>
      <c r="D2" s="737" t="s">
        <v>163</v>
      </c>
      <c r="E2" s="20"/>
      <c r="F2" s="20"/>
      <c r="G2" s="20"/>
      <c r="H2" s="20"/>
      <c r="I2" s="20"/>
      <c r="J2" s="20"/>
      <c r="K2" s="20"/>
      <c r="L2" s="20"/>
    </row>
    <row r="3" spans="1:12" s="84" customFormat="1" ht="15.75">
      <c r="A3" s="744" t="s">
        <v>600</v>
      </c>
      <c r="B3" s="742">
        <v>0</v>
      </c>
      <c r="C3" s="742">
        <v>510009901.01999998</v>
      </c>
      <c r="D3" s="745">
        <f>+B3-C3</f>
        <v>-510009901.01999998</v>
      </c>
      <c r="E3" s="25"/>
      <c r="F3" s="25"/>
      <c r="G3" s="25"/>
      <c r="H3" s="25"/>
      <c r="I3" s="25"/>
      <c r="J3" s="25"/>
      <c r="K3" s="25"/>
      <c r="L3" s="25"/>
    </row>
    <row r="4" spans="1:12" s="84" customFormat="1" ht="15.75">
      <c r="A4" s="744" t="s">
        <v>601</v>
      </c>
      <c r="B4" s="742">
        <v>570000000</v>
      </c>
      <c r="C4" s="742">
        <v>562936324.55999994</v>
      </c>
      <c r="D4" s="745">
        <f t="shared" ref="D4:D12" si="0">+B4-C4</f>
        <v>7063675.4400000572</v>
      </c>
      <c r="E4" s="25"/>
      <c r="F4" s="25"/>
      <c r="G4" s="25"/>
      <c r="H4" s="25"/>
      <c r="I4" s="25"/>
      <c r="J4" s="25"/>
      <c r="K4" s="25"/>
      <c r="L4" s="25"/>
    </row>
    <row r="5" spans="1:12" s="84" customFormat="1" ht="15.75">
      <c r="A5" s="744" t="s">
        <v>602</v>
      </c>
      <c r="B5" s="742">
        <v>570000000</v>
      </c>
      <c r="C5" s="742">
        <v>565001428.94000006</v>
      </c>
      <c r="D5" s="745">
        <f t="shared" si="0"/>
        <v>4998571.0599999428</v>
      </c>
      <c r="E5" s="25"/>
      <c r="F5" s="25"/>
      <c r="G5" s="25"/>
      <c r="H5" s="25"/>
      <c r="I5" s="25"/>
      <c r="J5" s="25"/>
      <c r="K5" s="25"/>
      <c r="L5" s="25"/>
    </row>
    <row r="6" spans="1:12" s="84" customFormat="1" ht="15.75">
      <c r="A6" s="744" t="s">
        <v>603</v>
      </c>
      <c r="B6" s="742">
        <v>570000000</v>
      </c>
      <c r="C6" s="742">
        <v>563798547.22000003</v>
      </c>
      <c r="D6" s="745">
        <f t="shared" si="0"/>
        <v>6201452.7799999714</v>
      </c>
      <c r="E6" s="25"/>
      <c r="F6" s="25"/>
      <c r="G6" s="25"/>
      <c r="H6" s="25"/>
      <c r="I6" s="25"/>
      <c r="J6" s="25"/>
      <c r="K6" s="25"/>
      <c r="L6" s="25"/>
    </row>
    <row r="7" spans="1:12" s="84" customFormat="1" ht="15.75">
      <c r="A7" s="744" t="s">
        <v>604</v>
      </c>
      <c r="B7" s="742">
        <v>570000000</v>
      </c>
      <c r="C7" s="742">
        <v>564869806</v>
      </c>
      <c r="D7" s="745">
        <f t="shared" si="0"/>
        <v>5130194</v>
      </c>
      <c r="E7" s="25"/>
      <c r="F7" s="25"/>
      <c r="G7" s="25"/>
      <c r="H7" s="25"/>
      <c r="I7" s="25"/>
      <c r="J7" s="25"/>
      <c r="K7" s="25"/>
      <c r="L7" s="25"/>
    </row>
    <row r="8" spans="1:12" s="84" customFormat="1" ht="15.75">
      <c r="A8" s="744" t="s">
        <v>605</v>
      </c>
      <c r="B8" s="742">
        <v>570000000</v>
      </c>
      <c r="C8" s="742">
        <v>566362011.77999997</v>
      </c>
      <c r="D8" s="745">
        <f t="shared" si="0"/>
        <v>3637988.2200000286</v>
      </c>
      <c r="E8" s="25"/>
      <c r="F8" s="25"/>
      <c r="G8" s="25"/>
      <c r="H8" s="25"/>
      <c r="I8" s="25"/>
      <c r="J8" s="25"/>
      <c r="K8" s="25"/>
      <c r="L8" s="25"/>
    </row>
    <row r="9" spans="1:12" s="84" customFormat="1" ht="15.75">
      <c r="A9" s="744" t="s">
        <v>606</v>
      </c>
      <c r="B9" s="742">
        <v>570000000</v>
      </c>
      <c r="C9" s="742">
        <v>565674533.46000004</v>
      </c>
      <c r="D9" s="745">
        <f t="shared" si="0"/>
        <v>4325466.5399999619</v>
      </c>
      <c r="E9" s="25"/>
      <c r="F9" s="25"/>
      <c r="G9" s="25"/>
      <c r="H9" s="25"/>
      <c r="I9" s="25"/>
      <c r="J9" s="25"/>
      <c r="K9" s="25"/>
      <c r="L9" s="25"/>
    </row>
    <row r="10" spans="1:12" s="84" customFormat="1" ht="15.75">
      <c r="A10" s="744" t="s">
        <v>607</v>
      </c>
      <c r="B10" s="742">
        <v>570000000</v>
      </c>
      <c r="C10" s="742">
        <v>564899580.29999995</v>
      </c>
      <c r="D10" s="745">
        <f t="shared" si="0"/>
        <v>5100419.7000000477</v>
      </c>
      <c r="E10" s="25"/>
      <c r="F10" s="25"/>
      <c r="G10" s="25"/>
      <c r="H10" s="25"/>
      <c r="I10" s="25"/>
      <c r="J10" s="25"/>
      <c r="K10" s="25"/>
      <c r="L10" s="25"/>
    </row>
    <row r="11" spans="1:12" s="84" customFormat="1" ht="15.75">
      <c r="A11" s="744" t="s">
        <v>608</v>
      </c>
      <c r="B11" s="742">
        <v>570000000</v>
      </c>
      <c r="C11" s="742">
        <v>564355018.62</v>
      </c>
      <c r="D11" s="745">
        <f t="shared" si="0"/>
        <v>5644981.3799999952</v>
      </c>
      <c r="E11" s="25"/>
      <c r="F11" s="25"/>
      <c r="G11" s="25"/>
      <c r="H11" s="25"/>
      <c r="I11" s="25"/>
      <c r="J11" s="25"/>
      <c r="K11" s="25"/>
      <c r="L11" s="25"/>
    </row>
    <row r="12" spans="1:12" s="84" customFormat="1" ht="15.75">
      <c r="A12" s="744" t="s">
        <v>571</v>
      </c>
      <c r="B12" s="742">
        <v>570000000</v>
      </c>
      <c r="C12" s="742">
        <v>565084386.29999995</v>
      </c>
      <c r="D12" s="745">
        <f t="shared" si="0"/>
        <v>4915613.7000000477</v>
      </c>
      <c r="E12" s="25"/>
      <c r="F12" s="25"/>
      <c r="G12" s="25"/>
      <c r="H12" s="25"/>
      <c r="I12" s="25"/>
      <c r="J12" s="25"/>
      <c r="K12" s="25"/>
      <c r="L12" s="25"/>
    </row>
    <row r="13" spans="1:12" s="84" customFormat="1" ht="15.75">
      <c r="A13" s="744" t="s">
        <v>637</v>
      </c>
      <c r="B13" s="742">
        <v>570000000</v>
      </c>
      <c r="C13" s="742">
        <v>584861503.05999994</v>
      </c>
      <c r="D13" s="745">
        <f>+B13-C13</f>
        <v>-14861503.059999943</v>
      </c>
      <c r="E13" s="25"/>
      <c r="F13" s="25"/>
      <c r="G13" s="25"/>
      <c r="H13" s="25"/>
      <c r="I13" s="25"/>
      <c r="J13" s="25"/>
      <c r="K13" s="25"/>
      <c r="L13" s="25"/>
    </row>
    <row r="14" spans="1:12" s="84" customFormat="1" ht="15.75">
      <c r="A14" s="744" t="s">
        <v>635</v>
      </c>
      <c r="B14" s="742">
        <v>1139999499</v>
      </c>
      <c r="C14" s="742">
        <v>1200757477.7</v>
      </c>
      <c r="D14" s="745">
        <f t="shared" ref="D14:D15" si="1">+B14-C14</f>
        <v>-60757978.700000048</v>
      </c>
      <c r="E14" s="25"/>
      <c r="F14" s="25"/>
      <c r="G14" s="25"/>
      <c r="H14" s="25"/>
      <c r="I14" s="25"/>
      <c r="J14" s="25"/>
      <c r="K14" s="25"/>
      <c r="L14" s="25"/>
    </row>
    <row r="15" spans="1:12" s="84" customFormat="1" ht="15.75">
      <c r="A15" s="744" t="s">
        <v>636</v>
      </c>
      <c r="B15" s="742">
        <v>0</v>
      </c>
      <c r="C15" s="742">
        <v>0</v>
      </c>
      <c r="D15" s="745">
        <f t="shared" si="1"/>
        <v>0</v>
      </c>
      <c r="E15" s="25"/>
      <c r="F15" s="25"/>
      <c r="G15" s="25"/>
      <c r="H15" s="25"/>
      <c r="I15" s="25"/>
      <c r="J15" s="25"/>
      <c r="K15" s="25"/>
      <c r="L15" s="25"/>
    </row>
    <row r="16" spans="1:12" customFormat="1" ht="15.75">
      <c r="A16" s="1417" t="s">
        <v>23</v>
      </c>
      <c r="B16" s="741">
        <f>SUM(B3:B15)</f>
        <v>6839999499</v>
      </c>
      <c r="C16" s="738">
        <f>SUM(C3:C15)</f>
        <v>7378610518.96</v>
      </c>
      <c r="D16" s="746">
        <f>SUM(D3:D15)</f>
        <v>-538611019.95999992</v>
      </c>
      <c r="E16" s="25"/>
      <c r="F16" s="25"/>
      <c r="G16" s="25"/>
      <c r="H16" s="25"/>
      <c r="I16" s="25"/>
      <c r="J16" s="25"/>
      <c r="K16" s="25"/>
      <c r="L16" s="25"/>
    </row>
    <row r="17" spans="2:12" customFormat="1">
      <c r="B17" s="25"/>
      <c r="C17" s="25"/>
      <c r="D17" s="25"/>
      <c r="E17" s="25"/>
      <c r="F17" s="25"/>
      <c r="G17" s="25"/>
      <c r="H17" s="25"/>
      <c r="I17" s="25"/>
      <c r="J17" s="25"/>
      <c r="K17" s="25"/>
      <c r="L17" s="25"/>
    </row>
    <row r="18" spans="2:12" customFormat="1">
      <c r="B18" s="25"/>
      <c r="C18" s="25"/>
      <c r="D18" s="25"/>
      <c r="E18" s="25"/>
      <c r="F18" s="25"/>
      <c r="G18" s="25"/>
      <c r="H18" s="25"/>
      <c r="I18" s="25"/>
      <c r="J18" s="25"/>
      <c r="K18" s="25"/>
      <c r="L18" s="25"/>
    </row>
    <row r="19" spans="2:12" customFormat="1">
      <c r="B19" s="25"/>
      <c r="C19" s="25"/>
      <c r="D19" s="25"/>
      <c r="E19" s="25"/>
      <c r="F19" s="25"/>
      <c r="G19" s="25"/>
      <c r="H19" s="25"/>
      <c r="I19" s="25"/>
      <c r="J19" s="25"/>
      <c r="K19" s="25"/>
      <c r="L19" s="25"/>
    </row>
    <row r="20" spans="2:12" customFormat="1">
      <c r="B20" s="25"/>
      <c r="C20" s="25"/>
      <c r="D20" s="25"/>
      <c r="E20" s="25"/>
      <c r="F20" s="25"/>
      <c r="G20" s="25"/>
      <c r="H20" s="25"/>
      <c r="I20" s="25"/>
      <c r="J20" s="25"/>
      <c r="K20" s="25"/>
      <c r="L20" s="25"/>
    </row>
    <row r="21" spans="2:12" customFormat="1">
      <c r="B21" s="25"/>
      <c r="C21" s="25"/>
      <c r="D21" s="25"/>
      <c r="E21" s="25"/>
      <c r="F21" s="25"/>
      <c r="G21" s="25"/>
      <c r="H21" s="25"/>
      <c r="I21" s="25"/>
      <c r="J21" s="25"/>
      <c r="K21" s="25"/>
      <c r="L21" s="25"/>
    </row>
    <row r="22" spans="2:12" customFormat="1">
      <c r="B22" s="25"/>
      <c r="C22" s="25"/>
      <c r="D22" s="25"/>
      <c r="E22" s="25"/>
      <c r="F22" s="25"/>
      <c r="G22" s="25"/>
      <c r="H22" s="25"/>
      <c r="I22" s="25"/>
      <c r="J22" s="25"/>
      <c r="K22" s="25"/>
      <c r="L22" s="25"/>
    </row>
    <row r="23" spans="2:12" customFormat="1">
      <c r="B23" s="25"/>
      <c r="C23" s="25"/>
      <c r="D23" s="25"/>
      <c r="E23" s="25"/>
      <c r="F23" s="25"/>
      <c r="G23" s="25"/>
      <c r="H23" s="25"/>
      <c r="I23" s="25"/>
      <c r="J23" s="25"/>
      <c r="K23" s="25"/>
      <c r="L23" s="25"/>
    </row>
    <row r="24" spans="2:12" customFormat="1">
      <c r="B24" s="25"/>
      <c r="C24" s="25"/>
      <c r="D24" s="25"/>
      <c r="E24" s="25"/>
      <c r="F24" s="25"/>
      <c r="G24" s="25"/>
      <c r="H24" s="25"/>
      <c r="I24" s="25"/>
      <c r="J24" s="25"/>
      <c r="K24" s="25"/>
      <c r="L24" s="25"/>
    </row>
    <row r="25" spans="2:12" customFormat="1">
      <c r="B25" s="25"/>
      <c r="C25" s="25"/>
      <c r="D25" s="25"/>
      <c r="E25" s="25"/>
      <c r="F25" s="25"/>
      <c r="G25" s="25"/>
      <c r="H25" s="25"/>
      <c r="I25" s="25"/>
      <c r="J25" s="25"/>
      <c r="K25" s="25"/>
      <c r="L25" s="25"/>
    </row>
    <row r="26" spans="2:12" customFormat="1">
      <c r="B26" s="25"/>
      <c r="C26" s="25"/>
      <c r="D26" s="25"/>
      <c r="E26" s="25"/>
      <c r="F26" s="25"/>
      <c r="G26" s="25"/>
      <c r="H26" s="25"/>
      <c r="I26" s="25"/>
      <c r="J26" s="25"/>
      <c r="K26" s="25"/>
      <c r="L26" s="25"/>
    </row>
    <row r="27" spans="2:12" customFormat="1">
      <c r="B27" s="25"/>
      <c r="C27" s="25"/>
      <c r="D27" s="25"/>
      <c r="E27" s="25"/>
      <c r="F27" s="25"/>
      <c r="G27" s="25"/>
      <c r="H27" s="25"/>
      <c r="I27" s="25"/>
      <c r="J27" s="25"/>
      <c r="K27" s="25"/>
      <c r="L27" s="25"/>
    </row>
    <row r="28" spans="2:12" customFormat="1">
      <c r="B28" s="25"/>
      <c r="C28" s="25"/>
      <c r="D28" s="25"/>
      <c r="E28" s="25"/>
      <c r="F28" s="25"/>
      <c r="G28" s="25"/>
      <c r="H28" s="25"/>
      <c r="I28" s="25"/>
      <c r="J28" s="25"/>
      <c r="K28" s="25"/>
      <c r="L28" s="25"/>
    </row>
    <row r="29" spans="2:12" customFormat="1">
      <c r="B29" s="25"/>
      <c r="C29" s="25"/>
      <c r="D29" s="25"/>
      <c r="E29" s="25"/>
      <c r="F29" s="25"/>
      <c r="G29" s="25"/>
      <c r="H29" s="25"/>
      <c r="I29" s="25"/>
      <c r="J29" s="25"/>
      <c r="K29" s="25"/>
      <c r="L29" s="25"/>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I22"/>
  <sheetViews>
    <sheetView showGridLines="0" tabSelected="1" view="pageBreakPreview" zoomScale="85" zoomScaleNormal="85" zoomScaleSheetLayoutView="85" workbookViewId="0">
      <selection activeCell="L23" sqref="L23"/>
    </sheetView>
  </sheetViews>
  <sheetFormatPr baseColWidth="10" defaultRowHeight="15"/>
  <cols>
    <col min="1" max="1" width="11.7109375" bestFit="1" customWidth="1"/>
    <col min="2" max="2" width="21.5703125" bestFit="1" customWidth="1"/>
    <col min="3" max="5" width="14.42578125" bestFit="1" customWidth="1"/>
    <col min="6" max="6" width="13.42578125" bestFit="1" customWidth="1"/>
    <col min="7" max="7" width="14.42578125" bestFit="1" customWidth="1"/>
    <col min="8" max="8" width="13.42578125" bestFit="1" customWidth="1"/>
    <col min="9" max="9" width="15.85546875" bestFit="1" customWidth="1"/>
  </cols>
  <sheetData>
    <row r="5" spans="1:9" ht="7.5" customHeight="1"/>
    <row r="6" spans="1:9" ht="15.75">
      <c r="A6" s="386" t="s">
        <v>25</v>
      </c>
      <c r="B6" s="1586" t="s">
        <v>898</v>
      </c>
    </row>
    <row r="7" spans="1:9" ht="15.75">
      <c r="A7" s="710" t="s">
        <v>900</v>
      </c>
      <c r="B7" s="1587">
        <v>115952658.19999999</v>
      </c>
    </row>
    <row r="8" spans="1:9" ht="15.75">
      <c r="A8" s="710">
        <v>2011</v>
      </c>
      <c r="B8" s="1587">
        <v>291946073.39999998</v>
      </c>
      <c r="D8" s="84"/>
    </row>
    <row r="9" spans="1:9" ht="15.75">
      <c r="A9" s="710" t="s">
        <v>499</v>
      </c>
      <c r="B9" s="1587">
        <v>331635794.92000002</v>
      </c>
      <c r="D9" s="84"/>
    </row>
    <row r="10" spans="1:9" ht="15.75">
      <c r="A10" s="710" t="s">
        <v>619</v>
      </c>
      <c r="B10" s="1587">
        <v>333800248.55999994</v>
      </c>
      <c r="D10" s="84"/>
    </row>
    <row r="11" spans="1:9" ht="15.75">
      <c r="A11" s="710" t="s">
        <v>628</v>
      </c>
      <c r="B11" s="1587">
        <v>329249337.19999999</v>
      </c>
      <c r="D11" s="84"/>
    </row>
    <row r="12" spans="1:9" ht="15.75">
      <c r="A12" s="710" t="s">
        <v>632</v>
      </c>
      <c r="B12" s="1587">
        <v>27894333.240000002</v>
      </c>
      <c r="D12" s="84"/>
    </row>
    <row r="13" spans="1:9" ht="15.75">
      <c r="A13" s="1588" t="s">
        <v>23</v>
      </c>
      <c r="B13" s="1589">
        <f>+B12+B11+B10+B9+B8+B7</f>
        <v>1430478445.5200002</v>
      </c>
    </row>
    <row r="14" spans="1:9" ht="24.75" customHeight="1">
      <c r="A14" s="1856" t="s">
        <v>975</v>
      </c>
      <c r="B14" s="1857"/>
    </row>
    <row r="15" spans="1:9">
      <c r="A15" s="84"/>
      <c r="B15" s="84"/>
      <c r="C15" s="84"/>
      <c r="D15" s="84"/>
      <c r="E15" s="84"/>
      <c r="F15" s="84"/>
      <c r="G15" s="84"/>
      <c r="H15" s="84"/>
      <c r="I15" s="84"/>
    </row>
    <row r="16" spans="1:9">
      <c r="A16" s="84"/>
      <c r="B16" s="84"/>
      <c r="C16" s="84"/>
      <c r="D16" s="84"/>
      <c r="E16" s="84"/>
      <c r="F16" s="84"/>
      <c r="G16" s="84"/>
      <c r="H16" s="84"/>
      <c r="I16" s="84"/>
    </row>
    <row r="17" spans="1:9">
      <c r="A17" s="84"/>
      <c r="B17" s="84"/>
      <c r="C17" s="84"/>
      <c r="D17" s="84"/>
      <c r="E17" s="84"/>
      <c r="F17" s="84"/>
      <c r="G17" s="84"/>
      <c r="H17" s="84"/>
      <c r="I17" s="84"/>
    </row>
    <row r="18" spans="1:9">
      <c r="A18" s="84"/>
      <c r="B18" s="84"/>
      <c r="C18" s="84"/>
      <c r="D18" s="84"/>
      <c r="E18" s="84"/>
      <c r="F18" s="84"/>
      <c r="G18" s="84"/>
      <c r="H18" s="84"/>
      <c r="I18" s="84"/>
    </row>
    <row r="19" spans="1:9">
      <c r="A19" s="84"/>
      <c r="B19" s="84"/>
      <c r="C19" s="84"/>
      <c r="D19" s="84"/>
      <c r="E19" s="84"/>
      <c r="F19" s="84"/>
      <c r="G19" s="84"/>
      <c r="H19" s="84"/>
      <c r="I19" s="84"/>
    </row>
    <row r="20" spans="1:9">
      <c r="A20" s="84"/>
      <c r="B20" s="84"/>
      <c r="C20" s="84"/>
      <c r="D20" s="84"/>
      <c r="E20" s="84"/>
      <c r="F20" s="84"/>
      <c r="G20" s="84"/>
      <c r="H20" s="84"/>
      <c r="I20" s="84"/>
    </row>
    <row r="21" spans="1:9">
      <c r="A21" s="84"/>
      <c r="B21" s="84"/>
      <c r="C21" s="84"/>
      <c r="D21" s="84"/>
      <c r="E21" s="84"/>
      <c r="F21" s="84"/>
      <c r="G21" s="84"/>
      <c r="H21" s="84"/>
      <c r="I21" s="84"/>
    </row>
    <row r="22" spans="1:9">
      <c r="A22" s="84"/>
      <c r="B22" s="84"/>
      <c r="C22" s="84"/>
      <c r="D22" s="84"/>
      <c r="E22" s="84"/>
      <c r="F22" s="84"/>
      <c r="G22" s="84"/>
      <c r="H22" s="84"/>
      <c r="I22" s="84"/>
    </row>
  </sheetData>
  <mergeCells count="1">
    <mergeCell ref="A14:B14"/>
  </mergeCells>
  <pageMargins left="0.7" right="0.7" top="0.75" bottom="0.75" header="0.3" footer="0.3"/>
  <pageSetup scale="8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19"/>
  <sheetViews>
    <sheetView showGridLines="0" view="pageBreakPreview" zoomScale="85" zoomScaleNormal="85" zoomScaleSheetLayoutView="85" workbookViewId="0">
      <selection activeCell="N9" sqref="N9"/>
    </sheetView>
  </sheetViews>
  <sheetFormatPr baseColWidth="10" defaultRowHeight="15"/>
  <cols>
    <col min="1" max="1" width="11.7109375" style="84" bestFit="1" customWidth="1"/>
    <col min="2" max="2" width="15" style="84" bestFit="1" customWidth="1"/>
    <col min="3" max="3" width="17.140625" style="84" customWidth="1"/>
    <col min="4" max="4" width="18.7109375" style="84" customWidth="1"/>
    <col min="5" max="5" width="17.42578125" style="84" customWidth="1"/>
    <col min="6" max="6" width="13.42578125" style="84" bestFit="1" customWidth="1"/>
    <col min="7" max="7" width="14.42578125" style="84" bestFit="1" customWidth="1"/>
    <col min="8" max="8" width="13.42578125" style="84" bestFit="1" customWidth="1"/>
    <col min="9" max="9" width="15.85546875" style="84" bestFit="1" customWidth="1"/>
    <col min="10" max="16384" width="11.42578125" style="84"/>
  </cols>
  <sheetData>
    <row r="5" spans="1:5" ht="17.25" customHeight="1"/>
    <row r="6" spans="1:5" s="144" customFormat="1" ht="15.75">
      <c r="A6" s="1417" t="s">
        <v>48</v>
      </c>
      <c r="B6" s="1596" t="s">
        <v>111</v>
      </c>
      <c r="C6" s="1597" t="s">
        <v>114</v>
      </c>
      <c r="D6" s="1597" t="s">
        <v>899</v>
      </c>
      <c r="E6" s="1598" t="s">
        <v>23</v>
      </c>
    </row>
    <row r="7" spans="1:5" ht="15.75">
      <c r="A7" s="1590" t="s">
        <v>600</v>
      </c>
      <c r="B7" s="1593">
        <v>10428271.92</v>
      </c>
      <c r="C7" s="1592">
        <v>3093706.24</v>
      </c>
      <c r="D7" s="1592">
        <v>13528598.880000001</v>
      </c>
      <c r="E7" s="1601">
        <f>+D7+C7+B7</f>
        <v>27050577.039999999</v>
      </c>
    </row>
    <row r="8" spans="1:5" ht="15.75">
      <c r="A8" s="1590" t="s">
        <v>601</v>
      </c>
      <c r="B8" s="1593">
        <v>10319328.439999999</v>
      </c>
      <c r="C8" s="1592">
        <v>3165132.76</v>
      </c>
      <c r="D8" s="1592">
        <v>13360740.720000001</v>
      </c>
      <c r="E8" s="1599">
        <f t="shared" ref="E8:E19" si="0">+D8+C8+B8</f>
        <v>26845201.920000002</v>
      </c>
    </row>
    <row r="9" spans="1:5" ht="15.75">
      <c r="A9" s="1590" t="s">
        <v>602</v>
      </c>
      <c r="B9" s="1593">
        <v>10393640.880000001</v>
      </c>
      <c r="C9" s="1592">
        <v>3204092.68</v>
      </c>
      <c r="D9" s="1592">
        <v>13433778.24</v>
      </c>
      <c r="E9" s="1599">
        <f t="shared" si="0"/>
        <v>27031511.800000001</v>
      </c>
    </row>
    <row r="10" spans="1:5" ht="15.75">
      <c r="A10" s="1590" t="s">
        <v>603</v>
      </c>
      <c r="B10" s="1593">
        <v>10508356.199999999</v>
      </c>
      <c r="C10" s="1592">
        <v>3214193.4</v>
      </c>
      <c r="D10" s="1592">
        <v>13418401.92</v>
      </c>
      <c r="E10" s="1599">
        <f t="shared" si="0"/>
        <v>27140951.52</v>
      </c>
    </row>
    <row r="11" spans="1:5" ht="15.75">
      <c r="A11" s="1590" t="s">
        <v>604</v>
      </c>
      <c r="B11" s="1593">
        <v>10597098.24</v>
      </c>
      <c r="C11" s="1592">
        <v>3239445.2</v>
      </c>
      <c r="D11" s="1592">
        <v>13502971.68</v>
      </c>
      <c r="E11" s="1599">
        <f t="shared" si="0"/>
        <v>27339515.119999997</v>
      </c>
    </row>
    <row r="12" spans="1:5" ht="15.75">
      <c r="A12" s="1590" t="s">
        <v>605</v>
      </c>
      <c r="B12" s="1593">
        <v>10659145.52</v>
      </c>
      <c r="C12" s="1592">
        <v>3315922.08</v>
      </c>
      <c r="D12" s="1592">
        <v>13490158.08</v>
      </c>
      <c r="E12" s="1599">
        <f t="shared" si="0"/>
        <v>27465225.68</v>
      </c>
    </row>
    <row r="13" spans="1:5" ht="15.75">
      <c r="A13" s="1590" t="s">
        <v>606</v>
      </c>
      <c r="B13" s="1593">
        <v>10707484.68</v>
      </c>
      <c r="C13" s="1592">
        <v>3341895.36</v>
      </c>
      <c r="D13" s="1592">
        <v>13527317.52</v>
      </c>
      <c r="E13" s="1599">
        <f t="shared" si="0"/>
        <v>27576697.559999999</v>
      </c>
    </row>
    <row r="14" spans="1:5" ht="15.75">
      <c r="A14" s="1590" t="s">
        <v>607</v>
      </c>
      <c r="B14" s="1593">
        <v>10737065.359999999</v>
      </c>
      <c r="C14" s="1592">
        <v>3354160.52</v>
      </c>
      <c r="D14" s="1592">
        <v>13526036.16</v>
      </c>
      <c r="E14" s="1599">
        <f t="shared" si="0"/>
        <v>27617262.039999999</v>
      </c>
    </row>
    <row r="15" spans="1:5" ht="15.75">
      <c r="A15" s="1590" t="s">
        <v>608</v>
      </c>
      <c r="B15" s="1593">
        <v>10804884.48</v>
      </c>
      <c r="C15" s="1592">
        <v>3455167.72</v>
      </c>
      <c r="D15" s="1592">
        <v>13519629.359999999</v>
      </c>
      <c r="E15" s="1599">
        <f t="shared" si="0"/>
        <v>27779681.559999999</v>
      </c>
    </row>
    <row r="16" spans="1:5" ht="15.75">
      <c r="A16" s="1590" t="s">
        <v>571</v>
      </c>
      <c r="B16" s="1593">
        <v>10853223.640000001</v>
      </c>
      <c r="C16" s="1592">
        <v>3467432.88</v>
      </c>
      <c r="D16" s="1592">
        <v>13505534.4</v>
      </c>
      <c r="E16" s="1599">
        <f t="shared" si="0"/>
        <v>27826190.920000002</v>
      </c>
    </row>
    <row r="17" spans="1:5" ht="15.75">
      <c r="A17" s="1590" t="s">
        <v>637</v>
      </c>
      <c r="B17" s="1593">
        <v>10769531.960000001</v>
      </c>
      <c r="C17" s="1592">
        <v>3468875.84</v>
      </c>
      <c r="D17" s="1592">
        <v>13456842.720000001</v>
      </c>
      <c r="E17" s="1599">
        <f t="shared" si="0"/>
        <v>27695250.520000003</v>
      </c>
    </row>
    <row r="18" spans="1:5" ht="15.75">
      <c r="A18" s="1590" t="s">
        <v>635</v>
      </c>
      <c r="B18" s="1593">
        <v>10900119.84</v>
      </c>
      <c r="C18" s="1592">
        <v>3483305.44</v>
      </c>
      <c r="D18" s="1592">
        <v>13497846.24</v>
      </c>
      <c r="E18" s="1599">
        <f t="shared" si="0"/>
        <v>27881271.52</v>
      </c>
    </row>
    <row r="19" spans="1:5" ht="15.75">
      <c r="A19" s="1591" t="s">
        <v>636</v>
      </c>
      <c r="B19" s="1594">
        <v>10901562.800000001</v>
      </c>
      <c r="C19" s="1595">
        <v>3489798.76</v>
      </c>
      <c r="D19" s="1595">
        <v>13502971.68</v>
      </c>
      <c r="E19" s="1600">
        <f t="shared" si="0"/>
        <v>27894333.239999998</v>
      </c>
    </row>
  </sheetData>
  <pageMargins left="0.7" right="0.7" top="0.75" bottom="0.75" header="0.3" footer="0.3"/>
  <pageSetup scale="6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A44"/>
  <sheetViews>
    <sheetView showGridLines="0" view="pageBreakPreview" zoomScale="85" zoomScaleNormal="100" zoomScaleSheetLayoutView="85" workbookViewId="0">
      <selection activeCell="L51" sqref="L51"/>
    </sheetView>
  </sheetViews>
  <sheetFormatPr baseColWidth="10" defaultRowHeight="15"/>
  <cols>
    <col min="2" max="2" width="17.85546875" customWidth="1"/>
    <col min="4" max="4" width="16.85546875" customWidth="1"/>
    <col min="6" max="6" width="15.5703125" customWidth="1"/>
    <col min="11" max="11" width="16" customWidth="1"/>
    <col min="12" max="12" width="28.85546875" customWidth="1"/>
  </cols>
  <sheetData>
    <row r="5" ht="21" customHeight="1"/>
    <row r="44" ht="141" customHeight="1"/>
  </sheetData>
  <pageMargins left="0.70866141732283472" right="0.70866141732283472" top="0.74803149606299213" bottom="0.74803149606299213" header="0.31496062992125984" footer="0.31496062992125984"/>
  <pageSetup scale="66"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70" zoomScaleNormal="85" zoomScaleSheetLayoutView="70" workbookViewId="0">
      <selection activeCell="B17" sqref="B17"/>
    </sheetView>
  </sheetViews>
  <sheetFormatPr baseColWidth="10" defaultColWidth="11.42578125" defaultRowHeight="15"/>
  <cols>
    <col min="1" max="1" width="20.140625" style="84" customWidth="1"/>
    <col min="2" max="2" width="27.85546875" style="84" customWidth="1"/>
    <col min="3" max="3" width="17.85546875" style="84" bestFit="1" customWidth="1"/>
    <col min="4" max="4" width="18.7109375" style="84" bestFit="1" customWidth="1"/>
    <col min="5" max="5" width="19.28515625" style="84" bestFit="1" customWidth="1"/>
    <col min="6" max="6" width="16.7109375" style="84" customWidth="1"/>
    <col min="7" max="8" width="11.42578125" style="84"/>
    <col min="9" max="9" width="19.42578125" style="84" customWidth="1"/>
    <col min="10" max="10" width="30.85546875" style="84" customWidth="1"/>
    <col min="11" max="16384" width="11.42578125" style="84"/>
  </cols>
  <sheetData>
    <row r="1" spans="1:12" ht="72.75" customHeight="1">
      <c r="A1" s="1847"/>
      <c r="B1" s="1847"/>
      <c r="C1" s="1847"/>
      <c r="D1" s="1847"/>
      <c r="E1" s="1847"/>
      <c r="F1" s="1847"/>
      <c r="G1" s="1847"/>
      <c r="H1" s="1847"/>
      <c r="I1" s="1847"/>
      <c r="J1" s="1847"/>
      <c r="K1" s="1847"/>
      <c r="L1" s="1847"/>
    </row>
    <row r="2" spans="1:12" ht="3.75" customHeight="1"/>
    <row r="3" spans="1:12" ht="21.75" customHeight="1">
      <c r="A3" s="1064" t="s">
        <v>25</v>
      </c>
      <c r="B3" s="1062" t="s">
        <v>172</v>
      </c>
      <c r="C3" s="9"/>
      <c r="D3" s="102"/>
      <c r="E3" s="102"/>
      <c r="F3" s="102"/>
      <c r="G3" s="102"/>
      <c r="H3" s="102"/>
      <c r="I3" s="102"/>
      <c r="J3" s="102"/>
      <c r="K3" s="102"/>
    </row>
    <row r="4" spans="1:12" ht="17.25">
      <c r="A4" s="1065">
        <v>2003</v>
      </c>
      <c r="B4" s="1061">
        <v>1813713639.4200003</v>
      </c>
      <c r="C4" s="9"/>
      <c r="D4" s="102"/>
      <c r="E4" s="102"/>
      <c r="F4" s="102"/>
      <c r="G4" s="102"/>
      <c r="H4" s="102"/>
      <c r="I4" s="102"/>
      <c r="J4" s="102"/>
      <c r="K4" s="102"/>
    </row>
    <row r="5" spans="1:12" ht="17.25">
      <c r="A5" s="1065">
        <v>2004</v>
      </c>
      <c r="B5" s="1061">
        <v>6547406092.9799976</v>
      </c>
      <c r="C5" s="9"/>
      <c r="D5" s="102"/>
      <c r="E5" s="102"/>
      <c r="F5" s="102"/>
      <c r="G5" s="102"/>
      <c r="H5" s="102"/>
      <c r="I5" s="102"/>
      <c r="J5" s="102"/>
      <c r="K5" s="102"/>
    </row>
    <row r="6" spans="1:12" ht="17.25">
      <c r="A6" s="1065" t="s">
        <v>265</v>
      </c>
      <c r="B6" s="1061">
        <v>8393553851.0549612</v>
      </c>
      <c r="C6" s="9"/>
      <c r="D6" s="102"/>
      <c r="E6" s="102"/>
      <c r="F6" s="102"/>
      <c r="G6" s="102"/>
      <c r="H6" s="102"/>
      <c r="I6" s="102"/>
      <c r="J6" s="102"/>
      <c r="K6" s="102"/>
    </row>
    <row r="7" spans="1:12" ht="17.25">
      <c r="A7" s="1065">
        <v>2006</v>
      </c>
      <c r="B7" s="1061">
        <v>9613650449.1000004</v>
      </c>
      <c r="C7" s="9"/>
      <c r="D7" s="102"/>
      <c r="E7" s="102"/>
      <c r="F7" s="102"/>
      <c r="G7" s="102"/>
      <c r="H7" s="102"/>
      <c r="I7" s="102"/>
      <c r="J7" s="102"/>
      <c r="K7" s="102"/>
    </row>
    <row r="8" spans="1:12" ht="17.25">
      <c r="A8" s="1065">
        <v>2007</v>
      </c>
      <c r="B8" s="1061">
        <v>14892605258.139002</v>
      </c>
      <c r="C8" s="9"/>
      <c r="D8" s="102"/>
      <c r="E8" s="102"/>
      <c r="F8" s="102"/>
      <c r="G8" s="102"/>
      <c r="H8" s="102"/>
      <c r="I8" s="102"/>
      <c r="J8" s="102"/>
      <c r="K8" s="102"/>
    </row>
    <row r="9" spans="1:12" ht="17.25">
      <c r="A9" s="1065">
        <v>2008</v>
      </c>
      <c r="B9" s="1061">
        <v>15887938438.049995</v>
      </c>
      <c r="C9" s="9"/>
      <c r="D9" s="102"/>
      <c r="E9" s="102"/>
      <c r="F9" s="102"/>
      <c r="G9" s="102"/>
      <c r="H9" s="102"/>
      <c r="I9" s="102"/>
      <c r="J9" s="102"/>
      <c r="K9" s="102"/>
    </row>
    <row r="10" spans="1:12" ht="17.25">
      <c r="A10" s="1065">
        <v>2009</v>
      </c>
      <c r="B10" s="1061">
        <v>18789773765.600002</v>
      </c>
      <c r="C10" s="9"/>
      <c r="D10" s="102"/>
      <c r="E10" s="102"/>
      <c r="F10" s="102"/>
      <c r="G10" s="102"/>
      <c r="H10" s="102"/>
      <c r="I10" s="102"/>
      <c r="J10" s="102"/>
      <c r="K10" s="102"/>
    </row>
    <row r="11" spans="1:12" ht="17.25">
      <c r="A11" s="1065">
        <v>2010</v>
      </c>
      <c r="B11" s="1061">
        <v>23938490112.329998</v>
      </c>
      <c r="C11" s="9"/>
      <c r="D11" s="102"/>
      <c r="E11" s="102"/>
      <c r="F11" s="102"/>
      <c r="G11" s="102"/>
      <c r="H11" s="102"/>
      <c r="I11" s="102"/>
      <c r="J11" s="102"/>
      <c r="K11" s="102"/>
    </row>
    <row r="12" spans="1:12" ht="17.25">
      <c r="A12" s="1065">
        <v>2011</v>
      </c>
      <c r="B12" s="1061">
        <v>23585106301.459995</v>
      </c>
      <c r="C12" s="9"/>
      <c r="D12" s="102"/>
      <c r="E12" s="102"/>
      <c r="F12" s="102"/>
      <c r="G12" s="102"/>
      <c r="H12" s="102"/>
      <c r="I12" s="102"/>
      <c r="J12" s="102"/>
      <c r="K12" s="102"/>
    </row>
    <row r="13" spans="1:12" ht="17.25">
      <c r="A13" s="1065" t="s">
        <v>499</v>
      </c>
      <c r="B13" s="1061">
        <v>26400473552.25</v>
      </c>
      <c r="C13" s="9"/>
      <c r="D13" s="102"/>
      <c r="E13" s="102"/>
      <c r="F13" s="102"/>
      <c r="G13" s="102"/>
      <c r="H13" s="102"/>
      <c r="I13" s="102"/>
      <c r="J13" s="102"/>
      <c r="K13" s="102"/>
    </row>
    <row r="14" spans="1:12" ht="17.25">
      <c r="A14" s="1065" t="s">
        <v>619</v>
      </c>
      <c r="B14" s="1061">
        <v>29506184318.739998</v>
      </c>
      <c r="C14" s="9"/>
      <c r="D14" s="102"/>
      <c r="E14" s="102"/>
      <c r="F14" s="102"/>
      <c r="G14" s="102"/>
      <c r="H14" s="102"/>
      <c r="I14" s="102"/>
      <c r="J14" s="102"/>
      <c r="K14" s="102"/>
    </row>
    <row r="15" spans="1:12" ht="17.25">
      <c r="A15" s="1065" t="s">
        <v>628</v>
      </c>
      <c r="B15" s="1061">
        <v>33591892120.470001</v>
      </c>
      <c r="C15" s="9"/>
      <c r="D15" s="102"/>
      <c r="E15" s="102"/>
      <c r="F15" s="102"/>
      <c r="G15" s="102"/>
      <c r="H15" s="102"/>
      <c r="I15" s="102"/>
      <c r="J15" s="102"/>
      <c r="K15" s="102"/>
    </row>
    <row r="16" spans="1:12" ht="17.25">
      <c r="A16" s="1065" t="s">
        <v>632</v>
      </c>
      <c r="B16" s="1061">
        <v>2870734332.0700002</v>
      </c>
      <c r="C16" s="9"/>
      <c r="D16" s="102"/>
      <c r="E16" s="102"/>
      <c r="F16" s="102"/>
      <c r="G16" s="102"/>
      <c r="H16" s="102"/>
      <c r="I16" s="102"/>
      <c r="J16" s="102"/>
      <c r="K16" s="102"/>
    </row>
    <row r="17" spans="1:11" ht="17.25">
      <c r="A17" s="1060" t="s">
        <v>23</v>
      </c>
      <c r="B17" s="1063">
        <f>SUM(B4:B16)</f>
        <v>215831522231.66397</v>
      </c>
      <c r="C17" s="1"/>
      <c r="D17" s="102"/>
      <c r="E17" s="102"/>
      <c r="F17" s="102"/>
      <c r="G17" s="102"/>
      <c r="H17" s="102"/>
      <c r="I17" s="102"/>
      <c r="J17" s="102"/>
      <c r="K17" s="102"/>
    </row>
    <row r="18" spans="1:11">
      <c r="A18" s="1"/>
      <c r="B18" s="1"/>
      <c r="C18" s="1"/>
      <c r="D18" s="102"/>
      <c r="E18" s="102"/>
      <c r="F18" s="102"/>
      <c r="G18" s="102"/>
      <c r="H18" s="102"/>
      <c r="I18" s="102"/>
      <c r="J18" s="102"/>
      <c r="K18" s="102"/>
    </row>
    <row r="19" spans="1:11">
      <c r="A19" s="1"/>
      <c r="B19" s="1"/>
      <c r="C19" s="1"/>
      <c r="D19" s="102"/>
      <c r="E19" s="102"/>
      <c r="F19" s="102"/>
      <c r="G19" s="102"/>
      <c r="H19" s="102"/>
      <c r="I19" s="102"/>
      <c r="J19" s="102"/>
      <c r="K19" s="102"/>
    </row>
    <row r="20" spans="1:11">
      <c r="A20" s="1"/>
      <c r="B20" s="1"/>
      <c r="C20" s="1"/>
      <c r="D20" s="1"/>
      <c r="E20" s="1"/>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5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R39"/>
  <sheetViews>
    <sheetView showGridLines="0" view="pageBreakPreview" zoomScale="85" zoomScaleNormal="70" zoomScaleSheetLayoutView="85" workbookViewId="0">
      <pane xSplit="3" ySplit="3" topLeftCell="J4" activePane="bottomRight" state="frozen"/>
      <selection pane="topRight" activeCell="D1" sqref="D1"/>
      <selection pane="bottomLeft" activeCell="A4" sqref="A4"/>
      <selection pane="bottomRight" activeCell="P1" sqref="P1:Q18"/>
    </sheetView>
  </sheetViews>
  <sheetFormatPr baseColWidth="10" defaultColWidth="11.5703125" defaultRowHeight="15"/>
  <cols>
    <col min="1" max="1" width="17.5703125" customWidth="1"/>
    <col min="2" max="2" width="16.28515625" style="84" customWidth="1"/>
    <col min="3" max="4" width="16.28515625" customWidth="1"/>
    <col min="5" max="5" width="16.7109375" customWidth="1"/>
    <col min="6" max="6" width="17.42578125" customWidth="1"/>
    <col min="7" max="9" width="17.28515625" customWidth="1"/>
    <col min="10" max="10" width="17.42578125" customWidth="1"/>
    <col min="11" max="12" width="17.85546875" bestFit="1" customWidth="1"/>
    <col min="13" max="13" width="17.85546875" style="84" bestFit="1" customWidth="1"/>
    <col min="14" max="14" width="16.85546875" style="84" bestFit="1" customWidth="1"/>
    <col min="15" max="15" width="18.85546875" bestFit="1" customWidth="1"/>
    <col min="16" max="16" width="20.85546875" bestFit="1" customWidth="1"/>
  </cols>
  <sheetData>
    <row r="1" spans="1:18" ht="77.25" customHeight="1">
      <c r="A1" s="1847"/>
      <c r="B1" s="1847"/>
      <c r="C1" s="1847"/>
      <c r="D1" s="1847"/>
      <c r="E1" s="1847"/>
      <c r="F1" s="1847"/>
      <c r="G1" s="1847"/>
      <c r="H1" s="1847"/>
      <c r="I1" s="1847"/>
      <c r="J1" s="1847"/>
      <c r="K1" s="1847"/>
      <c r="L1" s="1847"/>
      <c r="M1" s="1847"/>
      <c r="N1" s="1847"/>
      <c r="O1" s="1847"/>
    </row>
    <row r="2" spans="1:18" s="84" customFormat="1" ht="5.25" customHeight="1">
      <c r="A2" s="308"/>
      <c r="B2" s="307"/>
      <c r="C2" s="307"/>
      <c r="D2" s="307"/>
      <c r="E2" s="307"/>
      <c r="F2" s="307"/>
      <c r="G2" s="307"/>
      <c r="H2" s="307"/>
      <c r="I2" s="307"/>
      <c r="J2" s="307"/>
      <c r="K2" s="307"/>
      <c r="L2" s="307"/>
      <c r="M2" s="307"/>
      <c r="N2" s="307"/>
    </row>
    <row r="3" spans="1:18" ht="21" customHeight="1">
      <c r="A3" s="808" t="s">
        <v>183</v>
      </c>
      <c r="B3" s="714" t="s">
        <v>234</v>
      </c>
      <c r="C3" s="714">
        <v>2004</v>
      </c>
      <c r="D3" s="714">
        <v>2005</v>
      </c>
      <c r="E3" s="714">
        <v>2006</v>
      </c>
      <c r="F3" s="714">
        <v>2007</v>
      </c>
      <c r="G3" s="714">
        <v>2008</v>
      </c>
      <c r="H3" s="714">
        <v>2009</v>
      </c>
      <c r="I3" s="714">
        <v>2010</v>
      </c>
      <c r="J3" s="714" t="s">
        <v>252</v>
      </c>
      <c r="K3" s="714" t="s">
        <v>499</v>
      </c>
      <c r="L3" s="714" t="s">
        <v>619</v>
      </c>
      <c r="M3" s="714" t="s">
        <v>628</v>
      </c>
      <c r="N3" s="714" t="s">
        <v>669</v>
      </c>
      <c r="O3" s="725" t="s">
        <v>23</v>
      </c>
      <c r="P3" s="103"/>
      <c r="Q3" s="18"/>
    </row>
    <row r="4" spans="1:18" s="44" customFormat="1">
      <c r="A4" s="713" t="s">
        <v>78</v>
      </c>
      <c r="B4" s="711">
        <v>1450970911.5360003</v>
      </c>
      <c r="C4" s="711">
        <v>4388448532.5416241</v>
      </c>
      <c r="D4" s="711">
        <v>5761654867.9499998</v>
      </c>
      <c r="E4" s="711">
        <v>7098103492.750001</v>
      </c>
      <c r="F4" s="711">
        <v>9157024021.4599991</v>
      </c>
      <c r="G4" s="711">
        <v>10971688650.739998</v>
      </c>
      <c r="H4" s="711">
        <v>14102437235.269999</v>
      </c>
      <c r="I4" s="711">
        <v>18859679063.360001</v>
      </c>
      <c r="J4" s="711">
        <v>18145611295.329998</v>
      </c>
      <c r="K4" s="711">
        <v>20525176273.790001</v>
      </c>
      <c r="L4" s="711">
        <v>23041717787.599998</v>
      </c>
      <c r="M4" s="711">
        <v>26294772742.880001</v>
      </c>
      <c r="N4" s="711">
        <v>2254331445.0599999</v>
      </c>
      <c r="O4" s="726">
        <f>SUM(B4:N4)</f>
        <v>162051616320.26764</v>
      </c>
      <c r="P4" s="214"/>
      <c r="Q4" s="1579"/>
    </row>
    <row r="5" spans="1:18" s="44" customFormat="1">
      <c r="A5" s="713" t="s">
        <v>79</v>
      </c>
      <c r="B5" s="711">
        <v>0</v>
      </c>
      <c r="C5" s="711">
        <v>572745548.09000003</v>
      </c>
      <c r="D5" s="711">
        <v>801549025.60000014</v>
      </c>
      <c r="E5" s="711">
        <v>470524902.12</v>
      </c>
      <c r="F5" s="711">
        <v>726388233.41900003</v>
      </c>
      <c r="G5" s="711">
        <v>702593218.49000001</v>
      </c>
      <c r="H5" s="711">
        <v>791490784.11000001</v>
      </c>
      <c r="I5" s="711">
        <v>935805888.13999999</v>
      </c>
      <c r="J5" s="711">
        <v>1045138743.0899999</v>
      </c>
      <c r="K5" s="711">
        <v>1032095716.16</v>
      </c>
      <c r="L5" s="711">
        <v>1079979360.3499999</v>
      </c>
      <c r="M5" s="711">
        <v>1200713160.95</v>
      </c>
      <c r="N5" s="711">
        <v>96394755.359999999</v>
      </c>
      <c r="O5" s="726">
        <f t="shared" ref="O5:O10" si="0">SUM(B5:N5)</f>
        <v>9455419335.8790016</v>
      </c>
      <c r="P5" s="214"/>
      <c r="Q5" s="23"/>
    </row>
    <row r="6" spans="1:18" s="44" customFormat="1">
      <c r="A6" s="713" t="s">
        <v>80</v>
      </c>
      <c r="B6" s="711">
        <v>0</v>
      </c>
      <c r="C6" s="711">
        <v>0</v>
      </c>
      <c r="D6" s="711">
        <v>0</v>
      </c>
      <c r="E6" s="711">
        <v>0</v>
      </c>
      <c r="F6" s="711">
        <v>2506661252.1800003</v>
      </c>
      <c r="G6" s="711">
        <v>1248799551.6500001</v>
      </c>
      <c r="H6" s="711">
        <v>404625934.49000001</v>
      </c>
      <c r="I6" s="106">
        <v>0</v>
      </c>
      <c r="J6" s="711">
        <v>0</v>
      </c>
      <c r="K6" s="711">
        <v>0</v>
      </c>
      <c r="L6" s="711">
        <v>0</v>
      </c>
      <c r="M6" s="711">
        <v>0</v>
      </c>
      <c r="N6" s="711"/>
      <c r="O6" s="726">
        <f t="shared" si="0"/>
        <v>4160086738.3200006</v>
      </c>
      <c r="P6" s="214"/>
      <c r="Q6" s="23"/>
    </row>
    <row r="7" spans="1:18" s="44" customFormat="1">
      <c r="A7" s="713" t="s">
        <v>81</v>
      </c>
      <c r="B7" s="711">
        <v>181371363.94200003</v>
      </c>
      <c r="C7" s="711">
        <v>753930807.93586206</v>
      </c>
      <c r="D7" s="711">
        <v>787020865.17999995</v>
      </c>
      <c r="E7" s="711">
        <v>905145735.52999997</v>
      </c>
      <c r="F7" s="711">
        <v>1128937194.7399998</v>
      </c>
      <c r="G7" s="711">
        <v>1354809029.5900002</v>
      </c>
      <c r="H7" s="711">
        <v>1598791980.2700002</v>
      </c>
      <c r="I7" s="711">
        <v>1839177727.5999999</v>
      </c>
      <c r="J7" s="106">
        <v>2055053729.2299998</v>
      </c>
      <c r="K7" s="711">
        <v>2278168828.7800002</v>
      </c>
      <c r="L7" s="711">
        <v>2543371766.8299999</v>
      </c>
      <c r="M7" s="711">
        <v>2879320929.98</v>
      </c>
      <c r="N7" s="711">
        <v>246780225.86000001</v>
      </c>
      <c r="O7" s="726">
        <f t="shared" si="0"/>
        <v>18551880185.467865</v>
      </c>
      <c r="P7" s="214"/>
      <c r="Q7" s="1579"/>
    </row>
    <row r="8" spans="1:18" s="44" customFormat="1" ht="15.75" customHeight="1">
      <c r="A8" s="713" t="s">
        <v>82</v>
      </c>
      <c r="B8" s="711">
        <v>0</v>
      </c>
      <c r="C8" s="711">
        <v>0</v>
      </c>
      <c r="D8" s="711">
        <v>44554249.010000005</v>
      </c>
      <c r="E8" s="711">
        <v>50116429.870000005</v>
      </c>
      <c r="F8" s="711">
        <v>66693954.190000013</v>
      </c>
      <c r="G8" s="711">
        <v>70260729.659999996</v>
      </c>
      <c r="H8" s="711">
        <v>75325664.86999999</v>
      </c>
      <c r="I8" s="711">
        <v>87578847.120000005</v>
      </c>
      <c r="J8" s="711">
        <v>91807218.480000004</v>
      </c>
      <c r="K8" s="711">
        <v>92110689.790000007</v>
      </c>
      <c r="L8" s="711">
        <v>84379473.989999995</v>
      </c>
      <c r="M8" s="711">
        <v>98680828.370000005</v>
      </c>
      <c r="N8" s="711">
        <v>7267156.2699999996</v>
      </c>
      <c r="O8" s="726">
        <f t="shared" si="0"/>
        <v>768775241.62</v>
      </c>
      <c r="P8" s="214"/>
      <c r="Q8" s="23"/>
    </row>
    <row r="9" spans="1:18" s="44" customFormat="1">
      <c r="A9" s="713" t="s">
        <v>83</v>
      </c>
      <c r="B9" s="711">
        <v>90685681.971000016</v>
      </c>
      <c r="C9" s="711">
        <v>418581034.097597</v>
      </c>
      <c r="D9" s="711">
        <v>499326061.26086009</v>
      </c>
      <c r="E9" s="711">
        <v>539813903.23000002</v>
      </c>
      <c r="F9" s="711">
        <v>653915330.37</v>
      </c>
      <c r="G9" s="711">
        <v>775828907.30000007</v>
      </c>
      <c r="H9" s="711">
        <v>933206115.5</v>
      </c>
      <c r="I9" s="711">
        <v>1197840913.1600001</v>
      </c>
      <c r="J9" s="711">
        <v>1153613834.1200001</v>
      </c>
      <c r="K9" s="711">
        <v>1270496588.99</v>
      </c>
      <c r="L9" s="711">
        <v>1415686748.8699999</v>
      </c>
      <c r="M9" s="711">
        <v>1604198175.8299999</v>
      </c>
      <c r="N9" s="711">
        <v>136785324.27000001</v>
      </c>
      <c r="O9" s="726">
        <f t="shared" si="0"/>
        <v>10689978618.969458</v>
      </c>
      <c r="P9" s="214"/>
      <c r="Q9" s="1580"/>
    </row>
    <row r="10" spans="1:18" s="44" customFormat="1">
      <c r="A10" s="713" t="s">
        <v>84</v>
      </c>
      <c r="B10" s="711">
        <v>18137136.394200001</v>
      </c>
      <c r="C10" s="711">
        <v>82086304.309749991</v>
      </c>
      <c r="D10" s="711">
        <v>99075487.134100005</v>
      </c>
      <c r="E10" s="711">
        <v>109989360.61999997</v>
      </c>
      <c r="F10" s="711">
        <v>130598212.33</v>
      </c>
      <c r="G10" s="711">
        <v>140123264.7405</v>
      </c>
      <c r="H10" s="712">
        <v>132002937.52000001</v>
      </c>
      <c r="I10" s="711">
        <v>188169177.71000004</v>
      </c>
      <c r="J10" s="711">
        <v>162448764.51999998</v>
      </c>
      <c r="K10" s="711">
        <v>179079077.34999999</v>
      </c>
      <c r="L10" s="711">
        <v>199265984.22999999</v>
      </c>
      <c r="M10" s="711">
        <v>225520451.75999999</v>
      </c>
      <c r="N10" s="711">
        <v>19239051.079999998</v>
      </c>
      <c r="O10" s="726">
        <f t="shared" si="0"/>
        <v>1685735209.69855</v>
      </c>
      <c r="P10" s="214"/>
      <c r="Q10" s="1579"/>
    </row>
    <row r="11" spans="1:18" s="44" customFormat="1" ht="16.5" customHeight="1">
      <c r="A11" s="713" t="s">
        <v>475</v>
      </c>
      <c r="B11" s="711">
        <v>72548545.576800004</v>
      </c>
      <c r="C11" s="711">
        <v>331613866.00516498</v>
      </c>
      <c r="D11" s="711">
        <v>400373294.9199999</v>
      </c>
      <c r="E11" s="711">
        <v>439956624.98000002</v>
      </c>
      <c r="F11" s="711">
        <v>522387059.45000005</v>
      </c>
      <c r="G11" s="711">
        <v>623835085.87950003</v>
      </c>
      <c r="H11" s="711">
        <v>751893113.57000005</v>
      </c>
      <c r="I11" s="711">
        <v>830238495.24000001</v>
      </c>
      <c r="J11" s="711">
        <v>931432716.68999994</v>
      </c>
      <c r="K11" s="711">
        <v>1023346377.39</v>
      </c>
      <c r="L11" s="711">
        <v>1141783196.8699999</v>
      </c>
      <c r="M11" s="711">
        <v>1288685830.7</v>
      </c>
      <c r="N11" s="711">
        <v>109936374.17</v>
      </c>
      <c r="O11" s="726">
        <f>SUM(B11:N11)</f>
        <v>8468030581.4414644</v>
      </c>
      <c r="P11" s="214"/>
      <c r="Q11" s="1579"/>
    </row>
    <row r="12" spans="1:18" s="44" customFormat="1" ht="18.75" customHeight="1">
      <c r="A12" s="715" t="s">
        <v>23</v>
      </c>
      <c r="B12" s="716">
        <f t="shared" ref="B12:M12" si="1">SUM(B4:B11)</f>
        <v>1813713639.4200003</v>
      </c>
      <c r="C12" s="716">
        <f t="shared" si="1"/>
        <v>6547406092.9799976</v>
      </c>
      <c r="D12" s="716">
        <f t="shared" si="1"/>
        <v>8393553851.0549612</v>
      </c>
      <c r="E12" s="716">
        <f t="shared" si="1"/>
        <v>9613650449.1000004</v>
      </c>
      <c r="F12" s="716">
        <f t="shared" si="1"/>
        <v>14892605258.139002</v>
      </c>
      <c r="G12" s="716">
        <f t="shared" si="1"/>
        <v>15887938438.049995</v>
      </c>
      <c r="H12" s="716">
        <f t="shared" si="1"/>
        <v>18789773765.600002</v>
      </c>
      <c r="I12" s="716">
        <f t="shared" si="1"/>
        <v>23938490112.329998</v>
      </c>
      <c r="J12" s="716">
        <f t="shared" si="1"/>
        <v>23585106301.459995</v>
      </c>
      <c r="K12" s="716">
        <f t="shared" si="1"/>
        <v>26400473552.25</v>
      </c>
      <c r="L12" s="716">
        <f t="shared" si="1"/>
        <v>29506184318.739998</v>
      </c>
      <c r="M12" s="716">
        <f t="shared" si="1"/>
        <v>33591892120.470001</v>
      </c>
      <c r="N12" s="716">
        <f>SUM(N4:N11)</f>
        <v>2870734332.0700002</v>
      </c>
      <c r="O12" s="1418">
        <f>SUM(O4:O11)</f>
        <v>215831522231.66397</v>
      </c>
      <c r="P12"/>
      <c r="Q12"/>
      <c r="R12" s="23"/>
    </row>
    <row r="13" spans="1:18" s="44" customFormat="1" ht="12" customHeight="1">
      <c r="A13" s="116"/>
      <c r="B13" s="116"/>
      <c r="C13" s="116"/>
      <c r="D13" s="116"/>
      <c r="E13" s="116"/>
      <c r="F13" s="116"/>
      <c r="G13" s="116"/>
      <c r="H13" s="116"/>
      <c r="I13" s="116"/>
      <c r="J13" s="116"/>
      <c r="K13"/>
      <c r="L13"/>
      <c r="M13" s="84"/>
      <c r="N13" s="84"/>
      <c r="O13"/>
    </row>
    <row r="14" spans="1:18">
      <c r="A14" s="116"/>
      <c r="B14" s="116"/>
      <c r="C14" s="116"/>
      <c r="D14" s="116"/>
      <c r="E14" s="116"/>
      <c r="F14" s="116"/>
      <c r="H14" s="116"/>
      <c r="I14" s="116"/>
      <c r="J14" s="116"/>
    </row>
    <row r="15" spans="1:18">
      <c r="A15" s="42"/>
      <c r="B15" s="104"/>
      <c r="C15" s="42"/>
      <c r="D15" s="168">
        <f t="shared" ref="D15:L15" si="2">+(E12-D12)/D12</f>
        <v>0.14536114495669661</v>
      </c>
      <c r="E15" s="168">
        <f t="shared" si="2"/>
        <v>0.54911033399734233</v>
      </c>
      <c r="F15" s="168">
        <f t="shared" si="2"/>
        <v>6.6834053723879586E-2</v>
      </c>
      <c r="G15" s="168">
        <f t="shared" si="2"/>
        <v>0.18264391814361558</v>
      </c>
      <c r="H15" s="168">
        <f t="shared" si="2"/>
        <v>0.27401694192594156</v>
      </c>
      <c r="I15" s="168">
        <f t="shared" si="2"/>
        <v>-1.4762159568618129E-2</v>
      </c>
      <c r="J15" s="168">
        <f t="shared" si="2"/>
        <v>0.11937055592646298</v>
      </c>
      <c r="K15" s="168">
        <f t="shared" si="2"/>
        <v>0.11763844918703405</v>
      </c>
      <c r="L15" s="168">
        <f t="shared" si="2"/>
        <v>0.1384695410831242</v>
      </c>
      <c r="M15" s="168"/>
      <c r="N15" s="168">
        <f>AVERAGE(D15:L15)</f>
        <v>0.17540919770838659</v>
      </c>
    </row>
    <row r="16" spans="1:18">
      <c r="A16" s="42"/>
      <c r="B16" s="104"/>
      <c r="C16" s="42"/>
      <c r="D16" s="168">
        <f>+(E4-D4)/D4</f>
        <v>0.23195568902160055</v>
      </c>
      <c r="E16" s="168">
        <f t="shared" ref="E16:L16" si="3">+(F4-E4)/E4</f>
        <v>0.29006628753905583</v>
      </c>
      <c r="F16" s="168">
        <f t="shared" si="3"/>
        <v>0.19817187604042868</v>
      </c>
      <c r="G16" s="168" t="e">
        <f>+(#REF!-G4)/G4</f>
        <v>#REF!</v>
      </c>
      <c r="H16" s="168" t="e">
        <f>+(I4-#REF!)/#REF!</f>
        <v>#REF!</v>
      </c>
      <c r="I16" s="168">
        <f t="shared" si="3"/>
        <v>-3.7862137824883312E-2</v>
      </c>
      <c r="J16" s="168">
        <f t="shared" si="3"/>
        <v>0.13113721768483017</v>
      </c>
      <c r="K16" s="168">
        <f t="shared" si="3"/>
        <v>0.12260754695800305</v>
      </c>
      <c r="L16" s="168">
        <f t="shared" si="3"/>
        <v>0.14118109531879816</v>
      </c>
      <c r="N16" s="168" t="e">
        <f>AVERAGE(D16:L16)</f>
        <v>#REF!</v>
      </c>
    </row>
    <row r="17" spans="1:17">
      <c r="A17" s="42"/>
      <c r="B17" s="104"/>
      <c r="C17" s="42"/>
      <c r="D17" s="42"/>
      <c r="E17" s="42"/>
      <c r="F17" s="42"/>
      <c r="G17" s="42"/>
      <c r="H17" s="42"/>
      <c r="I17" s="42"/>
      <c r="J17" s="42"/>
    </row>
    <row r="18" spans="1:17">
      <c r="A18" s="42"/>
      <c r="B18" s="104"/>
      <c r="C18" s="42"/>
      <c r="D18" s="42"/>
      <c r="E18" s="42"/>
      <c r="F18" s="42"/>
      <c r="G18" s="42"/>
      <c r="H18" s="42"/>
      <c r="I18" s="42"/>
      <c r="J18" s="42"/>
    </row>
    <row r="19" spans="1:17">
      <c r="A19" s="42"/>
      <c r="B19" s="104"/>
      <c r="C19" s="42"/>
      <c r="D19" s="42"/>
      <c r="E19" s="42"/>
      <c r="F19" s="42"/>
      <c r="G19" s="42"/>
      <c r="H19" s="42"/>
      <c r="I19" s="42"/>
      <c r="J19" s="42"/>
    </row>
    <row r="20" spans="1:17">
      <c r="C20" s="42"/>
      <c r="D20" s="42"/>
      <c r="E20" s="42"/>
      <c r="F20" s="42"/>
      <c r="G20" s="42"/>
      <c r="H20" s="42"/>
      <c r="I20" s="42"/>
      <c r="J20" s="42"/>
      <c r="K20" s="42"/>
      <c r="L20" s="42"/>
      <c r="M20" s="104"/>
      <c r="N20" s="104"/>
      <c r="O20" s="42"/>
      <c r="P20" s="42"/>
      <c r="Q20" s="42"/>
    </row>
    <row r="22" spans="1:17">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showGridLines="0" view="pageBreakPreview" zoomScale="70" zoomScaleNormal="100" zoomScaleSheetLayoutView="70" workbookViewId="0">
      <selection activeCell="M3" sqref="M3:O24"/>
    </sheetView>
  </sheetViews>
  <sheetFormatPr baseColWidth="10" defaultColWidth="11.42578125" defaultRowHeight="15"/>
  <cols>
    <col min="1" max="1" width="26.140625" style="177" customWidth="1"/>
    <col min="2" max="2" width="20.7109375" style="1489" customWidth="1"/>
    <col min="3" max="3" width="21" style="1489" customWidth="1"/>
    <col min="4" max="4" width="21.5703125" style="1489" bestFit="1" customWidth="1"/>
    <col min="5" max="6" width="21.140625" style="1489" bestFit="1" customWidth="1"/>
    <col min="7" max="7" width="22" style="1489" bestFit="1" customWidth="1"/>
    <col min="8" max="9" width="21.140625" style="1489" bestFit="1" customWidth="1"/>
    <col min="10" max="10" width="20.28515625" style="1489" bestFit="1" customWidth="1"/>
    <col min="11" max="11" width="22" style="1489" customWidth="1"/>
    <col min="12" max="12" width="0.140625" style="177" customWidth="1"/>
    <col min="13" max="16384" width="11.42578125" style="177"/>
  </cols>
  <sheetData>
    <row r="1" spans="1:14" ht="60" customHeight="1">
      <c r="A1" s="1858"/>
      <c r="B1" s="1859"/>
      <c r="C1" s="1859"/>
      <c r="D1" s="1859"/>
      <c r="E1" s="1860"/>
      <c r="F1" s="1860"/>
      <c r="G1" s="1860"/>
      <c r="H1" s="1860"/>
      <c r="I1" s="1860"/>
      <c r="J1" s="1860"/>
      <c r="K1" s="1860"/>
    </row>
    <row r="2" spans="1:14" ht="3" customHeight="1">
      <c r="A2" s="1861"/>
      <c r="B2" s="1862"/>
      <c r="C2" s="1862"/>
      <c r="D2" s="1862"/>
      <c r="E2" s="1862"/>
      <c r="F2" s="1722"/>
      <c r="G2" s="1722"/>
      <c r="H2" s="1722"/>
      <c r="I2" s="1722"/>
      <c r="J2" s="1722"/>
      <c r="K2" s="1723"/>
    </row>
    <row r="3" spans="1:14" ht="15.75">
      <c r="A3" s="755" t="s">
        <v>854</v>
      </c>
      <c r="B3" s="1724">
        <v>2007</v>
      </c>
      <c r="C3" s="1724">
        <v>2008</v>
      </c>
      <c r="D3" s="1724">
        <v>2009</v>
      </c>
      <c r="E3" s="1724">
        <v>2010</v>
      </c>
      <c r="F3" s="1724">
        <v>2011</v>
      </c>
      <c r="G3" s="1724">
        <v>2012</v>
      </c>
      <c r="H3" s="1724">
        <v>2013</v>
      </c>
      <c r="I3" s="1724">
        <v>2014</v>
      </c>
      <c r="J3" s="1724" t="s">
        <v>649</v>
      </c>
      <c r="K3" s="1718" t="s">
        <v>23</v>
      </c>
    </row>
    <row r="4" spans="1:14">
      <c r="A4" s="1726" t="s">
        <v>855</v>
      </c>
      <c r="B4" s="1720">
        <v>3896639289.1799998</v>
      </c>
      <c r="C4" s="1720">
        <v>4570903792.9299994</v>
      </c>
      <c r="D4" s="1720">
        <v>5127213702.0100002</v>
      </c>
      <c r="E4" s="1720">
        <v>5965945993.5299997</v>
      </c>
      <c r="F4" s="1720">
        <v>6792749911.8199997</v>
      </c>
      <c r="G4" s="1720">
        <v>7567165884.04</v>
      </c>
      <c r="H4" s="1720">
        <v>8351861912.6199999</v>
      </c>
      <c r="I4" s="1720">
        <v>9372228723.6000004</v>
      </c>
      <c r="J4" s="1720">
        <v>795502664.91999996</v>
      </c>
      <c r="K4" s="1727">
        <f t="shared" ref="K4:K16" si="0">SUM(B4:J4)</f>
        <v>52440211874.649994</v>
      </c>
      <c r="M4" s="1493"/>
    </row>
    <row r="5" spans="1:14">
      <c r="A5" s="1726" t="s">
        <v>856</v>
      </c>
      <c r="B5" s="1720">
        <v>2551754118.0300002</v>
      </c>
      <c r="C5" s="1720">
        <v>3168698601.8099999</v>
      </c>
      <c r="D5" s="1720">
        <v>3771931923.9200001</v>
      </c>
      <c r="E5" s="1721">
        <v>4450570154.0799999</v>
      </c>
      <c r="F5" s="1721">
        <v>5054903417.1899996</v>
      </c>
      <c r="G5" s="1721">
        <v>5603825462.54</v>
      </c>
      <c r="H5" s="1721">
        <v>6226328941.2299995</v>
      </c>
      <c r="I5" s="1721">
        <v>7037206925.1000004</v>
      </c>
      <c r="J5" s="1721">
        <v>601207247.80999994</v>
      </c>
      <c r="K5" s="1727">
        <f t="shared" si="0"/>
        <v>38466426791.709999</v>
      </c>
      <c r="M5" s="1493"/>
      <c r="N5" s="1494"/>
    </row>
    <row r="6" spans="1:14">
      <c r="A6" s="1726" t="s">
        <v>857</v>
      </c>
      <c r="B6" s="1720">
        <v>2266873888.1500001</v>
      </c>
      <c r="C6" s="1720">
        <v>2863767247.7999997</v>
      </c>
      <c r="D6" s="1720">
        <v>3229505512.04</v>
      </c>
      <c r="E6" s="1720">
        <v>3718695634.1799998</v>
      </c>
      <c r="F6" s="1720">
        <v>4137582105.3299999</v>
      </c>
      <c r="G6" s="1720">
        <v>4502729418.6199999</v>
      </c>
      <c r="H6" s="1720">
        <v>4925810752.3199997</v>
      </c>
      <c r="I6" s="1720">
        <v>5446047936.6899996</v>
      </c>
      <c r="J6" s="1720">
        <v>454619721.72000003</v>
      </c>
      <c r="K6" s="1727">
        <f t="shared" si="0"/>
        <v>31545632216.849998</v>
      </c>
      <c r="M6" s="1493"/>
    </row>
    <row r="7" spans="1:14">
      <c r="A7" s="1726" t="s">
        <v>858</v>
      </c>
      <c r="B7" s="1720">
        <v>2149146697.4099998</v>
      </c>
      <c r="C7" s="1720">
        <v>2679324664.4199996</v>
      </c>
      <c r="D7" s="1720">
        <v>3096887625.7399998</v>
      </c>
      <c r="E7" s="1720">
        <v>3519159080.6300001</v>
      </c>
      <c r="F7" s="1720">
        <v>3941063818.23</v>
      </c>
      <c r="G7" s="1720">
        <v>4330972853.0100002</v>
      </c>
      <c r="H7" s="1720">
        <v>4805863540.1999998</v>
      </c>
      <c r="I7" s="1720">
        <v>5484476424.1499996</v>
      </c>
      <c r="J7" s="1720">
        <v>462074617.69999999</v>
      </c>
      <c r="K7" s="1727">
        <f t="shared" si="0"/>
        <v>30468969321.490002</v>
      </c>
      <c r="M7" s="1493"/>
    </row>
    <row r="8" spans="1:14">
      <c r="A8" s="1726" t="s">
        <v>859</v>
      </c>
      <c r="B8" s="1720">
        <v>2506661252.1799998</v>
      </c>
      <c r="C8" s="1720">
        <v>1248802102.6499996</v>
      </c>
      <c r="D8" s="1720">
        <v>2073405799.4000001</v>
      </c>
      <c r="E8" s="1720">
        <v>4533600158.2799997</v>
      </c>
      <c r="F8" s="1720">
        <v>1778670755.26</v>
      </c>
      <c r="G8" s="1720">
        <v>2480628728.6799998</v>
      </c>
      <c r="H8" s="1720">
        <v>3222408620.1399999</v>
      </c>
      <c r="I8" s="1720">
        <v>4034197568.6300001</v>
      </c>
      <c r="J8" s="1720">
        <v>371115151.19</v>
      </c>
      <c r="K8" s="1727">
        <f t="shared" si="0"/>
        <v>22249490136.41</v>
      </c>
      <c r="M8" s="1493"/>
    </row>
    <row r="9" spans="1:14">
      <c r="A9" s="1726" t="s">
        <v>860</v>
      </c>
      <c r="B9" s="1720">
        <v>774512624.44000006</v>
      </c>
      <c r="C9" s="1720">
        <v>748630146.91999948</v>
      </c>
      <c r="D9" s="1720">
        <v>840977009.04999995</v>
      </c>
      <c r="E9" s="1720">
        <v>992213304.35000002</v>
      </c>
      <c r="F9" s="1720">
        <v>1107733950.95</v>
      </c>
      <c r="G9" s="1720">
        <v>1094022671.29</v>
      </c>
      <c r="H9" s="1720">
        <v>1144491746.49</v>
      </c>
      <c r="I9" s="1720">
        <v>1272122891.76</v>
      </c>
      <c r="J9" s="1720">
        <v>102115355.04000001</v>
      </c>
      <c r="K9" s="1727">
        <f t="shared" si="0"/>
        <v>8076819700.29</v>
      </c>
      <c r="M9" s="1493"/>
    </row>
    <row r="10" spans="1:14">
      <c r="A10" s="1726" t="s">
        <v>861</v>
      </c>
      <c r="B10" s="1720">
        <v>127079644.02</v>
      </c>
      <c r="C10" s="1720">
        <v>141249516.77999949</v>
      </c>
      <c r="D10" s="1720">
        <v>158219635.06999999</v>
      </c>
      <c r="E10" s="1720">
        <v>174095495.24000001</v>
      </c>
      <c r="F10" s="1720">
        <v>190728829.88999999</v>
      </c>
      <c r="G10" s="1720">
        <v>206568120.59</v>
      </c>
      <c r="H10" s="1720">
        <v>208202387.41</v>
      </c>
      <c r="I10" s="1720">
        <v>222180882.56999999</v>
      </c>
      <c r="J10" s="1720">
        <v>19240050.559999999</v>
      </c>
      <c r="K10" s="1727">
        <f t="shared" si="0"/>
        <v>1447564562.1299994</v>
      </c>
      <c r="M10" s="1493"/>
    </row>
    <row r="11" spans="1:14">
      <c r="A11" s="1726" t="s">
        <v>862</v>
      </c>
      <c r="B11" s="1720">
        <v>130598212.33</v>
      </c>
      <c r="C11" s="1720">
        <v>140120167.419999</v>
      </c>
      <c r="D11" s="1720">
        <v>132002937.52</v>
      </c>
      <c r="E11" s="1720">
        <v>188169177.71000001</v>
      </c>
      <c r="F11" s="1720">
        <v>162448764.52000001</v>
      </c>
      <c r="G11" s="1720">
        <v>179079077.34999999</v>
      </c>
      <c r="H11" s="1720">
        <v>199265984.22999999</v>
      </c>
      <c r="I11" s="1720">
        <v>225520451.75999999</v>
      </c>
      <c r="J11" s="1720">
        <v>19239051.079999998</v>
      </c>
      <c r="K11" s="1727">
        <f t="shared" si="0"/>
        <v>1376443823.9199989</v>
      </c>
      <c r="M11" s="1493"/>
    </row>
    <row r="12" spans="1:14">
      <c r="A12" s="1726" t="s">
        <v>863</v>
      </c>
      <c r="B12" s="1720">
        <v>116728695.88</v>
      </c>
      <c r="C12" s="1720">
        <v>128835738.549999</v>
      </c>
      <c r="D12" s="1720">
        <v>141712961.19</v>
      </c>
      <c r="E12" s="1720">
        <v>151761692.43000001</v>
      </c>
      <c r="F12" s="1720">
        <v>158251341.78999999</v>
      </c>
      <c r="G12" s="1720">
        <v>167851347.52000001</v>
      </c>
      <c r="H12" s="1720">
        <v>180758062.49000001</v>
      </c>
      <c r="I12" s="1720">
        <v>232726430.84</v>
      </c>
      <c r="J12" s="1720">
        <v>24567519.690000001</v>
      </c>
      <c r="K12" s="1727">
        <f t="shared" si="0"/>
        <v>1303193790.3799989</v>
      </c>
      <c r="M12" s="1493"/>
    </row>
    <row r="13" spans="1:14">
      <c r="A13" s="1726" t="s">
        <v>864</v>
      </c>
      <c r="B13" s="1720">
        <v>125606436.54000001</v>
      </c>
      <c r="C13" s="1720">
        <v>127343178.10999948</v>
      </c>
      <c r="D13" s="1720">
        <v>142590994.78999999</v>
      </c>
      <c r="E13" s="1720">
        <v>156700574.58000001</v>
      </c>
      <c r="F13" s="1720">
        <v>169166188</v>
      </c>
      <c r="G13" s="1720">
        <v>175519298.81999999</v>
      </c>
      <c r="H13" s="1720">
        <v>156812897.62</v>
      </c>
      <c r="I13" s="1720">
        <v>166503057</v>
      </c>
      <c r="J13" s="1720">
        <v>13785796.09</v>
      </c>
      <c r="K13" s="1727">
        <f t="shared" si="0"/>
        <v>1234028421.5499995</v>
      </c>
      <c r="M13" s="1493"/>
    </row>
    <row r="14" spans="1:14">
      <c r="A14" s="1726" t="s">
        <v>865</v>
      </c>
      <c r="B14" s="1720">
        <v>66693954.189999998</v>
      </c>
      <c r="C14" s="1720">
        <v>70263280.659999475</v>
      </c>
      <c r="D14" s="1720">
        <v>75325664.870000005</v>
      </c>
      <c r="E14" s="1720">
        <v>87578847.319999993</v>
      </c>
      <c r="F14" s="1720">
        <v>91807218.480000004</v>
      </c>
      <c r="G14" s="1720">
        <v>92110689.790000007</v>
      </c>
      <c r="H14" s="1720">
        <v>84379473.989999995</v>
      </c>
      <c r="I14" s="1720">
        <v>98680828.370000005</v>
      </c>
      <c r="J14" s="1720">
        <v>7267156.2699999996</v>
      </c>
      <c r="K14" s="1727">
        <f t="shared" si="0"/>
        <v>674107113.93999946</v>
      </c>
      <c r="M14" s="1493"/>
    </row>
    <row r="15" spans="1:14">
      <c r="A15" s="1726" t="s">
        <v>866</v>
      </c>
      <c r="B15" s="1720">
        <v>116692988.65000001</v>
      </c>
      <c r="C15" s="1720">
        <v>0</v>
      </c>
      <c r="D15" s="1720">
        <v>0</v>
      </c>
      <c r="E15" s="1720">
        <v>0</v>
      </c>
      <c r="F15" s="1720">
        <v>0</v>
      </c>
      <c r="G15" s="1720">
        <v>0</v>
      </c>
      <c r="H15" s="1720">
        <v>0</v>
      </c>
      <c r="I15" s="1720">
        <v>0</v>
      </c>
      <c r="J15" s="1720">
        <v>0</v>
      </c>
      <c r="K15" s="1727">
        <f t="shared" si="0"/>
        <v>116692988.65000001</v>
      </c>
      <c r="M15" s="1495"/>
    </row>
    <row r="16" spans="1:14">
      <c r="A16" s="1726" t="s">
        <v>867</v>
      </c>
      <c r="B16" s="1720">
        <v>63617457.140000001</v>
      </c>
      <c r="C16" s="1720">
        <v>0</v>
      </c>
      <c r="D16" s="1720">
        <v>0</v>
      </c>
      <c r="E16" s="1720">
        <v>0</v>
      </c>
      <c r="F16" s="1720">
        <v>0</v>
      </c>
      <c r="G16" s="1720">
        <v>0</v>
      </c>
      <c r="H16" s="1720">
        <v>0</v>
      </c>
      <c r="I16" s="1720">
        <v>0</v>
      </c>
      <c r="J16" s="1720">
        <v>0</v>
      </c>
      <c r="K16" s="1727">
        <f t="shared" si="0"/>
        <v>63617457.140000001</v>
      </c>
      <c r="M16" s="1495"/>
    </row>
    <row r="17" spans="1:13" ht="15.75">
      <c r="A17" s="755" t="s">
        <v>854</v>
      </c>
      <c r="B17" s="1725">
        <f t="shared" ref="B17:K17" si="1">SUM(B4:B16)</f>
        <v>14892605258.140001</v>
      </c>
      <c r="C17" s="1725">
        <f t="shared" si="1"/>
        <v>15887938438.049994</v>
      </c>
      <c r="D17" s="1725">
        <f t="shared" si="1"/>
        <v>18789773765.599998</v>
      </c>
      <c r="E17" s="1725">
        <f t="shared" si="1"/>
        <v>23938490112.330002</v>
      </c>
      <c r="F17" s="1725">
        <f t="shared" si="1"/>
        <v>23585106301.459999</v>
      </c>
      <c r="G17" s="1725">
        <f t="shared" si="1"/>
        <v>26400473552.25</v>
      </c>
      <c r="H17" s="1725">
        <f t="shared" si="1"/>
        <v>29506184318.740002</v>
      </c>
      <c r="I17" s="1725">
        <f t="shared" si="1"/>
        <v>33591892120.469997</v>
      </c>
      <c r="J17" s="1725">
        <f t="shared" si="1"/>
        <v>2870734332.0700002</v>
      </c>
      <c r="K17" s="1719">
        <f t="shared" si="1"/>
        <v>189463198199.11002</v>
      </c>
      <c r="M17" s="1493"/>
    </row>
    <row r="18" spans="1:13">
      <c r="A18" s="1863" t="s">
        <v>869</v>
      </c>
      <c r="B18" s="1863"/>
      <c r="C18" s="1863"/>
      <c r="D18" s="1863"/>
      <c r="E18" s="1863"/>
      <c r="F18" s="1863"/>
      <c r="G18" s="1863"/>
      <c r="H18" s="1863"/>
    </row>
    <row r="19" spans="1:13">
      <c r="A19" s="230" t="s">
        <v>868</v>
      </c>
      <c r="C19" s="1490"/>
      <c r="E19" s="1491"/>
    </row>
    <row r="20" spans="1:13">
      <c r="C20" s="1492"/>
      <c r="D20" s="1492"/>
      <c r="E20" s="1491"/>
    </row>
    <row r="21" spans="1:13">
      <c r="E21" s="1491"/>
    </row>
    <row r="22" spans="1:13">
      <c r="E22" s="1491"/>
    </row>
    <row r="23" spans="1:13">
      <c r="E23" s="1491"/>
    </row>
    <row r="24" spans="1:13">
      <c r="E24" s="1491"/>
    </row>
    <row r="25" spans="1:13">
      <c r="E25" s="1491"/>
    </row>
    <row r="26" spans="1:13">
      <c r="E26" s="1491"/>
    </row>
    <row r="27" spans="1:13">
      <c r="E27" s="1491"/>
    </row>
    <row r="28" spans="1:13">
      <c r="E28" s="1491"/>
    </row>
    <row r="29" spans="1:13">
      <c r="E29" s="1491"/>
    </row>
    <row r="30" spans="1:13">
      <c r="E30" s="1491"/>
    </row>
    <row r="31" spans="1:13">
      <c r="E31" s="1491"/>
    </row>
    <row r="32" spans="1:13">
      <c r="E32" s="1491"/>
    </row>
    <row r="33" spans="5:5">
      <c r="E33" s="1491"/>
    </row>
  </sheetData>
  <mergeCells count="3">
    <mergeCell ref="A1:K1"/>
    <mergeCell ref="A2:E2"/>
    <mergeCell ref="A18:H18"/>
  </mergeCells>
  <pageMargins left="0.7" right="0.7" top="0.75" bottom="0.75" header="0.3" footer="0.3"/>
  <pageSetup scale="5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18"/>
  <sheetViews>
    <sheetView showGridLines="0" view="pageBreakPreview" topLeftCell="C1" zoomScale="70" zoomScaleNormal="100" zoomScaleSheetLayoutView="70" workbookViewId="0">
      <selection activeCell="N1" sqref="N1:N1048576"/>
    </sheetView>
  </sheetViews>
  <sheetFormatPr baseColWidth="10" defaultColWidth="11.42578125" defaultRowHeight="22.5" customHeight="1"/>
  <cols>
    <col min="1" max="1" width="14.85546875" style="90" customWidth="1"/>
    <col min="2" max="2" width="24" style="90" customWidth="1"/>
    <col min="3" max="3" width="14.28515625" style="90" customWidth="1"/>
    <col min="4" max="4" width="22.42578125" style="90" customWidth="1"/>
    <col min="5" max="5" width="19" style="90" customWidth="1"/>
    <col min="6" max="6" width="14" style="90" customWidth="1"/>
    <col min="7" max="8" width="18.5703125" style="90" bestFit="1" customWidth="1"/>
    <col min="9" max="9" width="13.28515625" style="90" customWidth="1"/>
    <col min="10" max="11" width="11.42578125" style="90"/>
    <col min="12" max="12" width="4.28515625" style="90" customWidth="1"/>
    <col min="13" max="13" width="44" style="90" customWidth="1"/>
    <col min="14" max="14" width="18.5703125" style="90" bestFit="1" customWidth="1"/>
    <col min="15" max="16384" width="11.42578125" style="90"/>
  </cols>
  <sheetData>
    <row r="1" spans="1:15" ht="71.25" customHeight="1">
      <c r="A1" s="1864"/>
      <c r="B1" s="1864"/>
      <c r="C1" s="1864"/>
      <c r="D1" s="1864"/>
      <c r="E1" s="1864"/>
      <c r="F1" s="1864"/>
      <c r="G1" s="1864"/>
      <c r="H1" s="1864"/>
      <c r="I1" s="1864"/>
      <c r="J1" s="1864"/>
      <c r="K1" s="1864"/>
      <c r="L1" s="1864"/>
      <c r="M1" s="1864"/>
    </row>
    <row r="2" spans="1:15" ht="3.75" customHeight="1">
      <c r="A2" s="1865"/>
      <c r="B2" s="1865"/>
      <c r="C2" s="1865"/>
      <c r="D2" s="1865"/>
      <c r="E2" s="1865"/>
      <c r="F2" s="1865"/>
      <c r="G2" s="1865"/>
      <c r="H2" s="1865"/>
      <c r="I2" s="1865"/>
      <c r="J2" s="1865"/>
      <c r="K2" s="1865"/>
      <c r="L2" s="1865"/>
      <c r="M2" s="131"/>
    </row>
    <row r="3" spans="1:15" ht="45" customHeight="1">
      <c r="A3" s="748" t="s">
        <v>47</v>
      </c>
      <c r="B3" s="1642" t="s">
        <v>175</v>
      </c>
      <c r="C3" s="1643" t="s">
        <v>905</v>
      </c>
      <c r="D3" s="1643" t="s">
        <v>226</v>
      </c>
      <c r="E3" s="1644" t="s">
        <v>227</v>
      </c>
    </row>
    <row r="4" spans="1:15" ht="16.5" customHeight="1">
      <c r="A4" s="1581">
        <v>2005</v>
      </c>
      <c r="B4" s="753">
        <v>23031.69</v>
      </c>
      <c r="C4" s="750"/>
      <c r="D4" s="747">
        <v>1020002</v>
      </c>
      <c r="E4" s="749">
        <f t="shared" ref="E4:E11" si="0">B4/D4</f>
        <v>2.2580043960698116E-2</v>
      </c>
      <c r="F4" s="132"/>
    </row>
    <row r="5" spans="1:15" ht="16.5" customHeight="1">
      <c r="A5" s="1581">
        <v>2006</v>
      </c>
      <c r="B5" s="753">
        <v>33521.17</v>
      </c>
      <c r="C5" s="750">
        <f>B5/B4-1</f>
        <v>0.45543683507376143</v>
      </c>
      <c r="D5" s="747">
        <v>1189801.8999999999</v>
      </c>
      <c r="E5" s="749">
        <f t="shared" si="0"/>
        <v>2.817374051932511E-2</v>
      </c>
      <c r="F5" s="132"/>
      <c r="M5" s="747"/>
    </row>
    <row r="6" spans="1:15" ht="16.5" customHeight="1">
      <c r="A6" s="1581">
        <v>2007</v>
      </c>
      <c r="B6" s="753">
        <v>48918.54</v>
      </c>
      <c r="C6" s="750">
        <f t="shared" ref="C6:C9" si="1">B6/B5-1</f>
        <v>0.45933271422208732</v>
      </c>
      <c r="D6" s="747">
        <v>1364210.3</v>
      </c>
      <c r="E6" s="749">
        <f t="shared" si="0"/>
        <v>3.5858503633933857E-2</v>
      </c>
      <c r="F6" s="132"/>
      <c r="G6" s="184"/>
    </row>
    <row r="7" spans="1:15" ht="16.5" customHeight="1">
      <c r="A7" s="1581">
        <v>2008</v>
      </c>
      <c r="B7" s="753">
        <v>68371.91</v>
      </c>
      <c r="C7" s="750">
        <f t="shared" si="1"/>
        <v>0.39766865486991243</v>
      </c>
      <c r="D7" s="747">
        <v>1576162.8</v>
      </c>
      <c r="E7" s="749">
        <f t="shared" si="0"/>
        <v>4.3378710625577514E-2</v>
      </c>
      <c r="F7" s="132"/>
      <c r="H7" s="184"/>
    </row>
    <row r="8" spans="1:15" ht="16.5" customHeight="1">
      <c r="A8" s="1581">
        <v>2009</v>
      </c>
      <c r="B8" s="753">
        <v>94318.74</v>
      </c>
      <c r="C8" s="750">
        <f t="shared" si="1"/>
        <v>0.37949546824127034</v>
      </c>
      <c r="D8" s="747">
        <v>1678762.6</v>
      </c>
      <c r="E8" s="749">
        <f>B8/D8</f>
        <v>5.6183488957878856E-2</v>
      </c>
      <c r="F8" s="132"/>
    </row>
    <row r="9" spans="1:15" ht="16.5" customHeight="1">
      <c r="A9" s="1581">
        <v>2010</v>
      </c>
      <c r="B9" s="753">
        <v>120339.19</v>
      </c>
      <c r="C9" s="750">
        <f t="shared" si="1"/>
        <v>0.27587783721453452</v>
      </c>
      <c r="D9" s="747">
        <v>1901896.7</v>
      </c>
      <c r="E9" s="749">
        <f t="shared" si="0"/>
        <v>6.3273252432689955E-2</v>
      </c>
      <c r="F9" s="132"/>
      <c r="G9" s="91" t="s">
        <v>221</v>
      </c>
      <c r="H9" s="91"/>
      <c r="I9" s="91"/>
      <c r="J9" s="91"/>
      <c r="K9" s="91"/>
      <c r="L9" s="91"/>
      <c r="M9" s="91"/>
    </row>
    <row r="10" spans="1:15" s="84" customFormat="1" ht="16.5" customHeight="1">
      <c r="A10" s="1581">
        <v>2011</v>
      </c>
      <c r="B10" s="753">
        <v>154672.16</v>
      </c>
      <c r="C10" s="750">
        <f>B10/B9-1</f>
        <v>0.28530165443194355</v>
      </c>
      <c r="D10" s="747">
        <v>2119301.7999999998</v>
      </c>
      <c r="E10" s="749">
        <f t="shared" si="0"/>
        <v>7.2982602100370983E-2</v>
      </c>
      <c r="F10" s="132"/>
      <c r="N10" s="90"/>
      <c r="O10" s="90"/>
    </row>
    <row r="11" spans="1:15" s="84" customFormat="1" ht="16.5" customHeight="1">
      <c r="A11" s="1581">
        <v>2012</v>
      </c>
      <c r="B11" s="753">
        <v>198249.65</v>
      </c>
      <c r="C11" s="750">
        <f>B11/B10-1</f>
        <v>0.28174100626770837</v>
      </c>
      <c r="D11" s="747">
        <v>2316783.7000000002</v>
      </c>
      <c r="E11" s="749">
        <f t="shared" si="0"/>
        <v>8.5571065611347308E-2</v>
      </c>
      <c r="F11" s="132"/>
      <c r="N11" s="90"/>
      <c r="O11" s="90"/>
    </row>
    <row r="12" spans="1:15" s="84" customFormat="1" ht="16.5" customHeight="1">
      <c r="A12" s="1581">
        <v>2013</v>
      </c>
      <c r="B12" s="753">
        <v>248516.38566900001</v>
      </c>
      <c r="C12" s="750">
        <f>B12/B11-1</f>
        <v>0.25355270825951015</v>
      </c>
      <c r="D12" s="747">
        <v>2534067.7999999998</v>
      </c>
      <c r="E12" s="749">
        <f>B12/D12</f>
        <v>9.8070140691973604E-2</v>
      </c>
      <c r="F12" s="132"/>
      <c r="N12" s="90"/>
      <c r="O12" s="90"/>
    </row>
    <row r="13" spans="1:15" s="84" customFormat="1" ht="16.5" customHeight="1">
      <c r="A13" s="1581">
        <v>2014</v>
      </c>
      <c r="B13" s="753">
        <v>305297.32352799998</v>
      </c>
      <c r="C13" s="750">
        <f>B13/B12-1</f>
        <v>0.2284796541932117</v>
      </c>
      <c r="D13" s="747">
        <v>2786229.7</v>
      </c>
      <c r="E13" s="749">
        <f>B13/D13</f>
        <v>0.10957363763942361</v>
      </c>
      <c r="F13" s="132"/>
      <c r="N13" s="90"/>
      <c r="O13" s="90"/>
    </row>
    <row r="14" spans="1:15" s="84" customFormat="1" ht="16.5" customHeight="1">
      <c r="A14" s="1582" t="s">
        <v>897</v>
      </c>
      <c r="B14" s="754">
        <f>310482227690/1000000</f>
        <v>310482.22769000003</v>
      </c>
      <c r="C14" s="1221"/>
      <c r="D14" s="751">
        <v>2786229.7</v>
      </c>
      <c r="E14" s="752">
        <f>B14/D14</f>
        <v>0.1114345409820303</v>
      </c>
      <c r="F14" s="1583"/>
      <c r="N14" s="90"/>
      <c r="O14" s="90"/>
    </row>
    <row r="15" spans="1:15" ht="15" customHeight="1">
      <c r="A15" s="1866" t="s">
        <v>906</v>
      </c>
      <c r="B15" s="1866"/>
      <c r="C15" s="1866"/>
      <c r="D15" s="1866"/>
      <c r="E15" s="1866"/>
    </row>
    <row r="17" spans="12:13" ht="22.5" customHeight="1">
      <c r="L17" s="92"/>
      <c r="M17" s="93"/>
    </row>
    <row r="18" spans="12:13" ht="22.5" customHeight="1">
      <c r="L18" s="94"/>
      <c r="M18" s="94"/>
    </row>
  </sheetData>
  <mergeCells count="3">
    <mergeCell ref="A1:M1"/>
    <mergeCell ref="A2:L2"/>
    <mergeCell ref="A15:E15"/>
  </mergeCells>
  <printOptions horizontalCentered="1" verticalCentered="1"/>
  <pageMargins left="0.39370078740157483" right="0.39370078740157483" top="0.23622047244094491" bottom="0.23622047244094491"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P7:S31"/>
  <sheetViews>
    <sheetView showGridLines="0" view="pageBreakPreview" zoomScale="85" zoomScaleNormal="100" zoomScaleSheetLayoutView="85" workbookViewId="0">
      <selection activeCell="O34" sqref="O34"/>
    </sheetView>
  </sheetViews>
  <sheetFormatPr baseColWidth="10" defaultColWidth="11.42578125" defaultRowHeight="15"/>
  <cols>
    <col min="1" max="3" width="11.42578125" style="84"/>
    <col min="4" max="11" width="11.5703125" style="84" customWidth="1"/>
    <col min="12" max="12" width="4.28515625" style="84" customWidth="1"/>
    <col min="13" max="14" width="11.5703125" style="84" customWidth="1"/>
    <col min="15" max="16384" width="11.42578125" style="84"/>
  </cols>
  <sheetData>
    <row r="7" spans="16:16" ht="24.75" customHeight="1"/>
    <row r="8" spans="16:16" ht="12" customHeight="1"/>
    <row r="9" spans="16:16" ht="16.5" customHeight="1"/>
    <row r="11" spans="16:16">
      <c r="P11" s="185"/>
    </row>
    <row r="12" spans="16:16">
      <c r="P12" s="185"/>
    </row>
    <row r="13" spans="16:16">
      <c r="P13" s="185"/>
    </row>
    <row r="14" spans="16:16">
      <c r="P14" s="185"/>
    </row>
    <row r="15" spans="16:16">
      <c r="P15" s="185"/>
    </row>
    <row r="16" spans="16:16">
      <c r="P16" s="185"/>
    </row>
    <row r="17" spans="16:19">
      <c r="P17" s="185"/>
    </row>
    <row r="18" spans="16:19">
      <c r="P18" s="185"/>
      <c r="S18" s="154"/>
    </row>
    <row r="28" spans="16:19">
      <c r="Q28" s="1250"/>
    </row>
    <row r="31" spans="16:19">
      <c r="Q31" s="293"/>
    </row>
  </sheetData>
  <pageMargins left="0.70866141732283472" right="0.70866141732283472" top="0.74803149606299213" bottom="0.74803149606299213" header="0.31496062992125984" footer="0.31496062992125984"/>
  <pageSetup scale="8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topLeftCell="B1" zoomScale="85" zoomScaleNormal="100" zoomScaleSheetLayoutView="85" workbookViewId="0">
      <selection activeCell="D9" sqref="D9"/>
    </sheetView>
  </sheetViews>
  <sheetFormatPr baseColWidth="10" defaultColWidth="11.42578125" defaultRowHeight="15"/>
  <cols>
    <col min="1" max="1" width="43.42578125" style="760" customWidth="1"/>
    <col min="2" max="2" width="27.140625" style="760" customWidth="1"/>
    <col min="3" max="3" width="21.140625" style="760" customWidth="1"/>
    <col min="4" max="4" width="26.140625" style="760" customWidth="1"/>
    <col min="5" max="5" width="25.7109375" style="760" customWidth="1"/>
    <col min="6" max="6" width="10.7109375" style="760" customWidth="1"/>
    <col min="7" max="7" width="17.140625" style="760" customWidth="1"/>
    <col min="8" max="8" width="20.85546875" style="760" customWidth="1"/>
    <col min="9" max="16384" width="11.42578125" style="760"/>
  </cols>
  <sheetData>
    <row r="1" spans="1:9" ht="64.5" customHeight="1">
      <c r="A1" s="1794"/>
      <c r="B1" s="1794"/>
      <c r="C1" s="1794"/>
      <c r="D1" s="1794"/>
      <c r="E1" s="1794"/>
      <c r="F1" s="1794"/>
      <c r="G1" s="1794"/>
      <c r="H1" s="1794"/>
    </row>
    <row r="2" spans="1:9" ht="3.75" customHeight="1"/>
    <row r="3" spans="1:9" ht="18.75" customHeight="1">
      <c r="A3" s="766" t="s">
        <v>670</v>
      </c>
      <c r="B3" s="768" t="s">
        <v>443</v>
      </c>
      <c r="C3" s="766" t="s">
        <v>671</v>
      </c>
    </row>
    <row r="4" spans="1:9" ht="15.75">
      <c r="A4" s="770" t="s">
        <v>672</v>
      </c>
      <c r="B4" s="767">
        <v>135479396486.03</v>
      </c>
      <c r="C4" s="1728">
        <f t="shared" ref="C4:C11" si="0">B4/$B$12</f>
        <v>0.4816765247867833</v>
      </c>
    </row>
    <row r="5" spans="1:9" ht="15.75">
      <c r="A5" s="770" t="s">
        <v>673</v>
      </c>
      <c r="B5" s="767">
        <v>8070986387.1199999</v>
      </c>
      <c r="C5" s="1728">
        <f t="shared" si="0"/>
        <v>2.8695172663765658E-2</v>
      </c>
      <c r="I5" s="1584"/>
    </row>
    <row r="6" spans="1:9" ht="15.75">
      <c r="A6" s="770" t="s">
        <v>674</v>
      </c>
      <c r="B6" s="767">
        <v>80281162177.850006</v>
      </c>
      <c r="C6" s="1728">
        <f t="shared" si="0"/>
        <v>0.28542754253897462</v>
      </c>
    </row>
    <row r="7" spans="1:9" ht="15.75">
      <c r="A7" s="770" t="s">
        <v>675</v>
      </c>
      <c r="B7" s="767">
        <v>1106434663.6700001</v>
      </c>
      <c r="C7" s="1728">
        <f t="shared" si="0"/>
        <v>3.9337612767942447E-3</v>
      </c>
    </row>
    <row r="8" spans="1:9" ht="15.75">
      <c r="A8" s="770" t="s">
        <v>676</v>
      </c>
      <c r="B8" s="767">
        <v>881120643.5</v>
      </c>
      <c r="C8" s="1728">
        <f t="shared" si="0"/>
        <v>3.1326913205045014E-3</v>
      </c>
    </row>
    <row r="9" spans="1:9" ht="15.75">
      <c r="A9" s="770" t="s">
        <v>229</v>
      </c>
      <c r="B9" s="767">
        <v>4355582984.9799995</v>
      </c>
      <c r="C9" s="1728">
        <f t="shared" si="0"/>
        <v>1.5485617223294499E-2</v>
      </c>
    </row>
    <row r="10" spans="1:9" ht="15.75">
      <c r="A10" s="770" t="s">
        <v>677</v>
      </c>
      <c r="B10" s="767">
        <v>50748656194.580002</v>
      </c>
      <c r="C10" s="1728">
        <f t="shared" si="0"/>
        <v>0.18042917954631688</v>
      </c>
    </row>
    <row r="11" spans="1:9" ht="15.75">
      <c r="A11" s="770" t="s">
        <v>678</v>
      </c>
      <c r="B11" s="767">
        <v>343007303.39999998</v>
      </c>
      <c r="C11" s="1729">
        <f t="shared" si="0"/>
        <v>1.2195106426772012E-3</v>
      </c>
    </row>
    <row r="12" spans="1:9" ht="15.75">
      <c r="A12" s="766" t="s">
        <v>23</v>
      </c>
      <c r="B12" s="769">
        <f>SUM(B4:B11)+0.25</f>
        <v>281266346841.38007</v>
      </c>
      <c r="C12" s="1730">
        <f>SUM(C4:C11)</f>
        <v>0.99999999999911093</v>
      </c>
    </row>
    <row r="13" spans="1:9">
      <c r="A13" s="761" t="s">
        <v>681</v>
      </c>
      <c r="B13" s="51"/>
      <c r="C13" s="762"/>
    </row>
    <row r="21" spans="10:10">
      <c r="J21" s="761"/>
    </row>
    <row r="27" spans="10:10">
      <c r="J27" s="761"/>
    </row>
    <row r="29" spans="10:10">
      <c r="J29" s="761"/>
    </row>
  </sheetData>
  <mergeCells count="1">
    <mergeCell ref="A1:H1"/>
  </mergeCells>
  <printOptions horizontalCentered="1" verticalCentered="1"/>
  <pageMargins left="0.4" right="0.4" top="0.25" bottom="0.25" header="0.3" footer="0.3"/>
  <pageSetup scale="6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1"/>
  <sheetViews>
    <sheetView showGridLines="0" view="pageBreakPreview" zoomScale="85" zoomScaleNormal="100" zoomScaleSheetLayoutView="85" workbookViewId="0">
      <selection activeCell="F11" sqref="F11"/>
    </sheetView>
  </sheetViews>
  <sheetFormatPr baseColWidth="10" defaultColWidth="11.42578125" defaultRowHeight="15"/>
  <cols>
    <col min="1" max="1" width="27.28515625" style="177" customWidth="1"/>
    <col min="2" max="2" width="22.140625" style="177" customWidth="1"/>
    <col min="3" max="3" width="15" style="177" customWidth="1"/>
    <col min="4" max="4" width="21.28515625" style="177" customWidth="1"/>
    <col min="5" max="5" width="18.85546875" style="177" bestFit="1" customWidth="1"/>
    <col min="6" max="6" width="20" style="177" customWidth="1"/>
    <col min="7" max="7" width="28.140625" style="177" customWidth="1"/>
    <col min="8" max="8" width="23.42578125" style="177" customWidth="1"/>
    <col min="9" max="9" width="5.7109375" style="177" customWidth="1"/>
    <col min="10" max="16384" width="11.42578125" style="177"/>
  </cols>
  <sheetData>
    <row r="1" spans="1:10" ht="68.25" customHeight="1">
      <c r="A1" s="1867"/>
      <c r="B1" s="1868"/>
      <c r="C1" s="1868"/>
      <c r="D1" s="1868"/>
      <c r="E1" s="1868"/>
      <c r="F1" s="1868"/>
      <c r="G1" s="1868"/>
      <c r="H1" s="1868"/>
      <c r="I1" s="1868"/>
      <c r="J1" s="176"/>
    </row>
    <row r="2" spans="1:10" ht="6.75" customHeight="1">
      <c r="A2" s="1869"/>
      <c r="B2" s="1869"/>
      <c r="C2" s="1869"/>
    </row>
    <row r="3" spans="1:10" ht="15.75">
      <c r="A3" s="755" t="s">
        <v>442</v>
      </c>
      <c r="B3" s="758" t="s">
        <v>443</v>
      </c>
      <c r="C3" s="759" t="s">
        <v>44</v>
      </c>
    </row>
    <row r="4" spans="1:10">
      <c r="A4" s="773" t="s">
        <v>444</v>
      </c>
      <c r="B4" s="757">
        <v>50748656194.580002</v>
      </c>
      <c r="C4" s="774">
        <f>B4/$B$13</f>
        <v>0.18042917954616297</v>
      </c>
      <c r="D4" s="757"/>
    </row>
    <row r="5" spans="1:10">
      <c r="A5" s="773" t="s">
        <v>467</v>
      </c>
      <c r="B5" s="757">
        <v>18080285358.290001</v>
      </c>
      <c r="C5" s="774">
        <f t="shared" ref="C5:C12" si="0">B5/$B$13</f>
        <v>6.4281722862745971E-2</v>
      </c>
      <c r="D5" s="757"/>
    </row>
    <row r="6" spans="1:10">
      <c r="A6" s="773" t="s">
        <v>469</v>
      </c>
      <c r="B6" s="757">
        <v>1306581082.5</v>
      </c>
      <c r="C6" s="774">
        <f t="shared" si="0"/>
        <v>4.6453516290583131E-3</v>
      </c>
      <c r="D6" s="757"/>
    </row>
    <row r="7" spans="1:10">
      <c r="A7" s="773" t="s">
        <v>468</v>
      </c>
      <c r="B7" s="771">
        <v>116092530045.24001</v>
      </c>
      <c r="C7" s="774">
        <f>B7/$B$13</f>
        <v>0.41274945029456817</v>
      </c>
      <c r="D7" s="757"/>
      <c r="E7" s="178"/>
      <c r="F7" s="178"/>
    </row>
    <row r="8" spans="1:10">
      <c r="A8" s="773" t="s">
        <v>454</v>
      </c>
      <c r="B8" s="757">
        <v>66672357809.140015</v>
      </c>
      <c r="C8" s="774">
        <f t="shared" si="0"/>
        <v>0.23704349474373115</v>
      </c>
      <c r="D8" s="757"/>
    </row>
    <row r="9" spans="1:10">
      <c r="A9" s="773" t="s">
        <v>679</v>
      </c>
      <c r="B9" s="757">
        <v>11050979212.110001</v>
      </c>
      <c r="C9" s="774">
        <f t="shared" si="0"/>
        <v>3.9290086909447311E-2</v>
      </c>
      <c r="D9" s="757"/>
      <c r="E9" s="178"/>
    </row>
    <row r="10" spans="1:10">
      <c r="A10" s="773" t="s">
        <v>445</v>
      </c>
      <c r="B10" s="757">
        <v>16090829192.370001</v>
      </c>
      <c r="C10" s="774">
        <f t="shared" si="0"/>
        <v>5.7208512049366098E-2</v>
      </c>
      <c r="D10" s="757"/>
    </row>
    <row r="11" spans="1:10">
      <c r="A11" s="773" t="s">
        <v>446</v>
      </c>
      <c r="B11" s="757">
        <v>343007303.39999998</v>
      </c>
      <c r="C11" s="774">
        <f t="shared" si="0"/>
        <v>1.2195106426761608E-3</v>
      </c>
      <c r="D11" s="757"/>
      <c r="E11" s="178"/>
    </row>
    <row r="12" spans="1:10">
      <c r="A12" s="773" t="s">
        <v>447</v>
      </c>
      <c r="B12" s="757">
        <v>881120643.75</v>
      </c>
      <c r="C12" s="774">
        <f t="shared" si="0"/>
        <v>3.1326913213906662E-3</v>
      </c>
      <c r="D12" s="757"/>
    </row>
    <row r="13" spans="1:10">
      <c r="A13" s="756" t="s">
        <v>448</v>
      </c>
      <c r="B13" s="772">
        <f>SUM(B4:B12)+0.24</f>
        <v>281266346841.62</v>
      </c>
      <c r="C13" s="775">
        <f>SUM(C4:C12)</f>
        <v>0.99999999999914679</v>
      </c>
      <c r="D13" s="178"/>
    </row>
    <row r="14" spans="1:10">
      <c r="A14" s="230" t="s">
        <v>680</v>
      </c>
      <c r="B14" s="179"/>
      <c r="F14" s="178"/>
    </row>
    <row r="15" spans="1:10">
      <c r="B15" s="179"/>
    </row>
    <row r="16" spans="1:10">
      <c r="B16" s="179"/>
    </row>
    <row r="17" spans="2:2">
      <c r="B17" s="179"/>
    </row>
    <row r="18" spans="2:2">
      <c r="B18" s="179"/>
    </row>
    <row r="19" spans="2:2">
      <c r="B19" s="179"/>
    </row>
    <row r="20" spans="2:2">
      <c r="B20" s="179"/>
    </row>
    <row r="21" spans="2:2">
      <c r="B21" s="179"/>
    </row>
    <row r="22" spans="2:2">
      <c r="B22" s="179"/>
    </row>
    <row r="23" spans="2:2">
      <c r="B23" s="179"/>
    </row>
    <row r="24" spans="2:2">
      <c r="B24" s="179"/>
    </row>
    <row r="25" spans="2:2">
      <c r="B25" s="179"/>
    </row>
    <row r="26" spans="2:2">
      <c r="B26" s="179"/>
    </row>
    <row r="27" spans="2:2">
      <c r="B27" s="179"/>
    </row>
    <row r="28" spans="2:2">
      <c r="B28" s="179"/>
    </row>
    <row r="29" spans="2:2">
      <c r="B29" s="179"/>
    </row>
    <row r="30" spans="2:2">
      <c r="B30" s="179"/>
    </row>
    <row r="31" spans="2:2">
      <c r="B31" s="179"/>
    </row>
  </sheetData>
  <mergeCells count="2">
    <mergeCell ref="A1:I1"/>
    <mergeCell ref="A2:C2"/>
  </mergeCells>
  <pageMargins left="0.7" right="0.7" top="0.75" bottom="0.75" header="0.3" footer="0.3"/>
  <pageSetup scale="6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57"/>
  <sheetViews>
    <sheetView showGridLines="0" view="pageBreakPreview" zoomScale="70" zoomScaleNormal="100" zoomScaleSheetLayoutView="70" workbookViewId="0">
      <selection activeCell="M15" sqref="M15"/>
    </sheetView>
  </sheetViews>
  <sheetFormatPr baseColWidth="10" defaultColWidth="11.42578125" defaultRowHeight="15"/>
  <cols>
    <col min="1" max="1" width="13.42578125" style="95" customWidth="1"/>
    <col min="2" max="2" width="17.7109375" style="95" customWidth="1"/>
    <col min="3" max="3" width="21.140625" style="95" customWidth="1"/>
    <col min="4" max="12" width="11.42578125" style="95"/>
    <col min="13" max="13" width="10.85546875" style="95" customWidth="1"/>
    <col min="14" max="14" width="18" style="95" customWidth="1"/>
    <col min="15" max="15" width="11.140625" style="95" customWidth="1"/>
    <col min="16" max="16" width="11.42578125" style="95" hidden="1" customWidth="1"/>
    <col min="17" max="17" width="0.28515625" style="95" customWidth="1"/>
    <col min="18" max="16384" width="11.42578125" style="95"/>
  </cols>
  <sheetData>
    <row r="1" spans="1:19" ht="72" customHeight="1">
      <c r="A1" s="1794"/>
      <c r="B1" s="1794"/>
      <c r="C1" s="1794"/>
      <c r="D1" s="1794"/>
      <c r="E1" s="1794"/>
      <c r="F1" s="1794"/>
      <c r="G1" s="1794"/>
      <c r="H1" s="1794"/>
      <c r="I1" s="1794"/>
      <c r="J1" s="1794"/>
      <c r="K1" s="1794"/>
      <c r="L1" s="1794"/>
      <c r="M1" s="1794"/>
      <c r="N1" s="1794"/>
      <c r="O1" s="1794"/>
      <c r="P1" s="1794"/>
      <c r="Q1" s="1794"/>
      <c r="R1" s="1794"/>
      <c r="S1" s="1794"/>
    </row>
    <row r="2" spans="1:19" ht="17.25" customHeight="1">
      <c r="A2" s="1873" t="s">
        <v>699</v>
      </c>
      <c r="B2" s="1873"/>
      <c r="C2" s="1873"/>
      <c r="D2" s="1873"/>
      <c r="E2" s="1873"/>
      <c r="F2" s="1873"/>
      <c r="G2" s="1873"/>
      <c r="H2" s="1873"/>
      <c r="I2" s="1873"/>
      <c r="J2" s="1873"/>
      <c r="K2" s="1873"/>
      <c r="L2" s="1873"/>
      <c r="M2" s="1873"/>
      <c r="N2" s="1873"/>
      <c r="O2" s="1873"/>
      <c r="P2" s="1873"/>
      <c r="Q2" s="1873"/>
      <c r="R2" s="1873"/>
      <c r="S2" s="1873"/>
    </row>
    <row r="3" spans="1:19" ht="39.75" customHeight="1">
      <c r="A3" s="1870" t="s">
        <v>178</v>
      </c>
      <c r="B3" s="1871"/>
      <c r="C3" s="1872"/>
      <c r="D3" s="113"/>
      <c r="E3" s="113"/>
      <c r="F3" s="113"/>
      <c r="G3" s="113"/>
      <c r="H3" s="113"/>
      <c r="I3" s="113"/>
      <c r="J3" s="113"/>
      <c r="K3" s="113"/>
      <c r="L3" s="113"/>
      <c r="M3" s="113"/>
      <c r="N3" s="113"/>
      <c r="O3" s="113"/>
      <c r="P3" s="113"/>
      <c r="Q3" s="113"/>
    </row>
    <row r="4" spans="1:19" ht="39.75" customHeight="1">
      <c r="A4" s="1101" t="s">
        <v>47</v>
      </c>
      <c r="B4" s="1102" t="s">
        <v>177</v>
      </c>
      <c r="C4" s="1103" t="s">
        <v>176</v>
      </c>
      <c r="D4" s="113"/>
      <c r="E4" s="113"/>
      <c r="F4" s="113"/>
      <c r="G4" s="778"/>
      <c r="H4" s="778"/>
      <c r="I4" s="778"/>
      <c r="J4" s="778"/>
      <c r="K4" s="778"/>
      <c r="L4" s="113"/>
      <c r="M4" s="113"/>
      <c r="N4" s="113"/>
      <c r="O4" s="113"/>
      <c r="P4" s="113"/>
      <c r="Q4" s="113"/>
    </row>
    <row r="5" spans="1:19" ht="15.75" customHeight="1">
      <c r="A5" s="1104">
        <v>37956</v>
      </c>
      <c r="B5" s="1105">
        <v>0.24099999999999999</v>
      </c>
      <c r="C5" s="1106">
        <v>0.23569999999999999</v>
      </c>
      <c r="D5" s="113"/>
      <c r="E5" s="113"/>
      <c r="F5" s="113"/>
      <c r="G5" s="778"/>
      <c r="H5" s="778"/>
      <c r="I5" s="778"/>
      <c r="J5" s="778"/>
      <c r="K5" s="778"/>
      <c r="L5" s="113"/>
      <c r="M5" s="113"/>
      <c r="N5" s="113"/>
      <c r="O5" s="113"/>
      <c r="P5" s="113"/>
      <c r="Q5" s="113"/>
    </row>
    <row r="6" spans="1:19" ht="15.75" customHeight="1">
      <c r="A6" s="1104">
        <v>38139</v>
      </c>
      <c r="B6" s="1105">
        <v>0.25180000000000002</v>
      </c>
      <c r="C6" s="1106">
        <v>0.24979999999999999</v>
      </c>
      <c r="D6" s="113"/>
      <c r="E6" s="113"/>
      <c r="F6" s="113"/>
      <c r="G6" s="778"/>
      <c r="H6" s="778"/>
      <c r="I6" s="778"/>
      <c r="J6" s="778"/>
      <c r="K6" s="778"/>
      <c r="L6" s="113"/>
      <c r="M6" s="113"/>
      <c r="N6" s="113"/>
      <c r="O6" s="113"/>
      <c r="P6" s="113"/>
      <c r="Q6" s="113"/>
    </row>
    <row r="7" spans="1:19" ht="15.75" customHeight="1">
      <c r="A7" s="1104">
        <v>38322</v>
      </c>
      <c r="B7" s="1105">
        <v>0.22989999999999999</v>
      </c>
      <c r="C7" s="1106">
        <v>0.2384</v>
      </c>
      <c r="D7" s="113"/>
      <c r="E7" s="113"/>
      <c r="F7" s="113"/>
      <c r="G7" s="778"/>
      <c r="H7" s="778"/>
      <c r="I7" s="778"/>
      <c r="J7" s="778"/>
      <c r="K7" s="778"/>
      <c r="L7" s="113"/>
      <c r="M7" s="113"/>
      <c r="N7" s="113"/>
      <c r="O7" s="113"/>
      <c r="P7" s="113"/>
      <c r="Q7" s="113"/>
    </row>
    <row r="8" spans="1:19" ht="1.5" customHeight="1">
      <c r="A8" s="1104">
        <v>38504</v>
      </c>
      <c r="B8" s="1105">
        <v>0.19919999999999999</v>
      </c>
      <c r="C8" s="1106">
        <v>0.2041</v>
      </c>
      <c r="D8" s="113"/>
      <c r="E8" s="113"/>
      <c r="F8" s="113"/>
      <c r="G8" s="778"/>
      <c r="H8" s="778"/>
      <c r="I8" s="778"/>
      <c r="J8" s="778"/>
      <c r="K8" s="778"/>
      <c r="L8" s="113"/>
      <c r="M8" s="113"/>
      <c r="N8" s="113"/>
      <c r="O8" s="113"/>
      <c r="P8" s="113"/>
      <c r="Q8" s="113"/>
    </row>
    <row r="9" spans="1:19" ht="18.75">
      <c r="A9" s="1104">
        <v>38687</v>
      </c>
      <c r="B9" s="1105">
        <v>0.1709</v>
      </c>
      <c r="C9" s="1106">
        <v>0.1696</v>
      </c>
      <c r="D9" s="113"/>
      <c r="E9" s="113"/>
      <c r="F9" s="113"/>
      <c r="G9" s="778"/>
      <c r="H9" s="778"/>
      <c r="I9" s="778"/>
      <c r="J9" s="778"/>
      <c r="K9" s="778"/>
      <c r="L9" s="113"/>
      <c r="M9" s="113"/>
      <c r="N9" s="113"/>
      <c r="O9" s="113"/>
      <c r="P9" s="113"/>
      <c r="Q9" s="113"/>
    </row>
    <row r="10" spans="1:19" ht="15.75" hidden="1" customHeight="1">
      <c r="A10" s="1104">
        <v>38869</v>
      </c>
      <c r="B10" s="1105">
        <v>0.13300000000000001</v>
      </c>
      <c r="C10" s="1106">
        <v>0.13469999999999999</v>
      </c>
      <c r="D10" s="113"/>
      <c r="E10" s="113"/>
      <c r="F10" s="113"/>
      <c r="G10" s="778"/>
      <c r="H10" s="778"/>
      <c r="I10" s="778"/>
      <c r="J10" s="778"/>
      <c r="K10" s="778"/>
      <c r="L10" s="113"/>
      <c r="M10" s="113"/>
      <c r="N10" s="113"/>
      <c r="O10" s="113"/>
      <c r="P10" s="113"/>
      <c r="Q10" s="113"/>
    </row>
    <row r="11" spans="1:19" ht="18.75">
      <c r="A11" s="1104">
        <v>39052</v>
      </c>
      <c r="B11" s="1105">
        <v>0.1147</v>
      </c>
      <c r="C11" s="1106">
        <v>0.1148</v>
      </c>
      <c r="D11" s="113"/>
      <c r="E11" s="113"/>
      <c r="F11" s="113"/>
      <c r="G11" s="778"/>
      <c r="H11" s="778"/>
      <c r="I11" s="778"/>
      <c r="J11" s="778"/>
      <c r="K11" s="778"/>
      <c r="L11" s="113"/>
      <c r="M11" s="113"/>
      <c r="N11" s="113"/>
      <c r="O11" s="113"/>
      <c r="P11" s="113"/>
      <c r="Q11" s="113"/>
    </row>
    <row r="12" spans="1:19" ht="15.75" hidden="1" customHeight="1">
      <c r="A12" s="1104">
        <v>39234</v>
      </c>
      <c r="B12" s="1105">
        <v>9.4399999999999998E-2</v>
      </c>
      <c r="C12" s="1106">
        <v>9.4200000000000006E-2</v>
      </c>
      <c r="D12" s="113"/>
      <c r="E12" s="113"/>
      <c r="F12" s="113"/>
      <c r="G12" s="778"/>
      <c r="H12" s="778"/>
      <c r="I12" s="778"/>
      <c r="J12" s="778"/>
      <c r="K12" s="778"/>
      <c r="L12" s="113"/>
      <c r="M12" s="113"/>
      <c r="N12" s="113"/>
      <c r="O12" s="113"/>
      <c r="P12" s="113"/>
      <c r="Q12" s="113"/>
    </row>
    <row r="13" spans="1:19" ht="15.75" hidden="1" customHeight="1">
      <c r="A13" s="1104">
        <v>39417</v>
      </c>
      <c r="B13" s="1105">
        <v>8.48E-2</v>
      </c>
      <c r="C13" s="1106">
        <v>8.4400000000000003E-2</v>
      </c>
      <c r="D13" s="113"/>
      <c r="E13" s="113"/>
      <c r="F13" s="113"/>
      <c r="G13" s="778"/>
      <c r="H13" s="778"/>
      <c r="I13" s="778"/>
      <c r="J13" s="778"/>
      <c r="K13" s="778"/>
      <c r="L13" s="113"/>
      <c r="M13" s="113"/>
      <c r="N13" s="113"/>
      <c r="O13" s="113"/>
      <c r="P13" s="113"/>
      <c r="Q13" s="113"/>
    </row>
    <row r="14" spans="1:19" ht="18.75">
      <c r="A14" s="1104">
        <v>39600</v>
      </c>
      <c r="B14" s="1105">
        <v>8.6699999999999999E-2</v>
      </c>
      <c r="C14" s="1106">
        <v>9.06E-2</v>
      </c>
      <c r="D14" s="113"/>
      <c r="E14" s="113"/>
      <c r="F14" s="113"/>
      <c r="G14" s="778"/>
      <c r="H14" s="778"/>
      <c r="I14" s="778"/>
      <c r="J14" s="778"/>
      <c r="K14" s="778"/>
      <c r="L14" s="113"/>
      <c r="M14" s="113"/>
      <c r="N14" s="113"/>
      <c r="O14" s="113"/>
      <c r="P14" s="113"/>
      <c r="Q14" s="113"/>
    </row>
    <row r="15" spans="1:19" ht="18.75">
      <c r="A15" s="1104">
        <v>39783</v>
      </c>
      <c r="B15" s="1105">
        <v>0.1208</v>
      </c>
      <c r="C15" s="1106">
        <v>0.13009999999999999</v>
      </c>
      <c r="D15" s="113"/>
      <c r="E15" s="113"/>
      <c r="F15" s="113"/>
      <c r="G15" s="778"/>
      <c r="H15" s="778"/>
      <c r="I15" s="778"/>
      <c r="J15" s="778"/>
      <c r="K15" s="778"/>
      <c r="L15" s="113"/>
      <c r="M15" s="113"/>
      <c r="N15" s="113"/>
      <c r="O15" s="113"/>
      <c r="P15" s="113"/>
      <c r="Q15" s="113"/>
    </row>
    <row r="16" spans="1:19" ht="18.75">
      <c r="A16" s="1104">
        <v>39965</v>
      </c>
      <c r="B16" s="1105">
        <v>0.15529999999999999</v>
      </c>
      <c r="C16" s="1106">
        <v>0.161</v>
      </c>
      <c r="D16" s="113"/>
      <c r="E16" s="113"/>
      <c r="F16" s="113"/>
      <c r="G16" s="778"/>
      <c r="H16" s="778"/>
      <c r="I16" s="778"/>
      <c r="J16" s="778"/>
      <c r="K16" s="778"/>
      <c r="L16" s="113"/>
      <c r="M16" s="113"/>
      <c r="N16" s="113"/>
      <c r="O16" s="113"/>
      <c r="P16" s="113"/>
      <c r="Q16" s="113"/>
    </row>
    <row r="17" spans="1:17" ht="18.75">
      <c r="A17" s="1104">
        <v>40148</v>
      </c>
      <c r="B17" s="1105">
        <v>0.1404</v>
      </c>
      <c r="C17" s="1106">
        <v>0.14330000000000001</v>
      </c>
      <c r="D17" s="113"/>
      <c r="E17" s="113"/>
      <c r="F17" s="113"/>
      <c r="G17" s="113"/>
      <c r="H17" s="113"/>
      <c r="I17" s="113"/>
      <c r="J17" s="113"/>
      <c r="K17" s="113"/>
      <c r="L17" s="113"/>
      <c r="M17" s="113"/>
      <c r="N17" s="113"/>
      <c r="O17" s="113"/>
      <c r="P17" s="113"/>
      <c r="Q17" s="113"/>
    </row>
    <row r="18" spans="1:17" ht="18.75">
      <c r="A18" s="1104">
        <v>40330</v>
      </c>
      <c r="B18" s="1105">
        <v>0.11609999999999999</v>
      </c>
      <c r="C18" s="1106">
        <v>0.1183</v>
      </c>
      <c r="D18" s="113"/>
      <c r="E18" s="113"/>
      <c r="F18" s="113"/>
      <c r="G18" s="113"/>
      <c r="H18" s="113"/>
      <c r="I18" s="113"/>
      <c r="J18" s="113"/>
      <c r="K18" s="113"/>
      <c r="L18" s="113"/>
      <c r="M18" s="113"/>
      <c r="N18" s="113"/>
      <c r="O18" s="113"/>
      <c r="P18" s="113"/>
      <c r="Q18" s="113"/>
    </row>
    <row r="19" spans="1:17" s="84" customFormat="1" ht="18.75">
      <c r="A19" s="1104">
        <v>40513</v>
      </c>
      <c r="B19" s="1105">
        <v>0.108409960162953</v>
      </c>
      <c r="C19" s="1106">
        <v>0.11057333531076501</v>
      </c>
      <c r="D19" s="102"/>
      <c r="E19" s="102"/>
      <c r="F19" s="102"/>
      <c r="G19" s="102"/>
      <c r="H19" s="102"/>
      <c r="I19" s="102"/>
      <c r="J19" s="102"/>
      <c r="K19" s="102"/>
      <c r="L19" s="102"/>
      <c r="M19" s="102"/>
      <c r="N19" s="102"/>
      <c r="O19" s="114"/>
      <c r="P19" s="102"/>
      <c r="Q19" s="102"/>
    </row>
    <row r="20" spans="1:17" ht="18.75">
      <c r="A20" s="1104">
        <v>40695</v>
      </c>
      <c r="B20" s="1105">
        <v>0.113957126516463</v>
      </c>
      <c r="C20" s="1106">
        <v>0.115288967128472</v>
      </c>
      <c r="D20" s="113"/>
      <c r="E20" s="114"/>
      <c r="F20" s="114"/>
      <c r="G20" s="114"/>
      <c r="H20" s="114"/>
      <c r="I20" s="114"/>
      <c r="J20" s="114"/>
      <c r="K20" s="114"/>
      <c r="L20" s="114"/>
      <c r="M20" s="114"/>
      <c r="N20" s="114"/>
      <c r="O20" s="113"/>
      <c r="P20" s="113"/>
      <c r="Q20" s="113"/>
    </row>
    <row r="21" spans="1:17" ht="18.75">
      <c r="A21" s="1104">
        <v>40878</v>
      </c>
      <c r="B21" s="1105">
        <v>0.12479999999999999</v>
      </c>
      <c r="C21" s="1106">
        <v>0.12659999999999999</v>
      </c>
      <c r="D21" s="102"/>
      <c r="E21" s="102"/>
      <c r="F21" s="102"/>
      <c r="G21" s="102"/>
      <c r="H21" s="102"/>
      <c r="I21" s="102"/>
      <c r="J21" s="102"/>
      <c r="K21" s="102"/>
      <c r="L21" s="102"/>
      <c r="M21" s="102"/>
      <c r="N21" s="102"/>
      <c r="O21" s="102"/>
      <c r="P21" s="113"/>
      <c r="Q21" s="113"/>
    </row>
    <row r="22" spans="1:17" ht="18.75" hidden="1">
      <c r="A22" s="1104">
        <v>40909</v>
      </c>
      <c r="B22" s="1105">
        <v>0.1268</v>
      </c>
      <c r="C22" s="1106">
        <v>0.12740000000000001</v>
      </c>
      <c r="D22" s="113"/>
      <c r="E22" s="113"/>
      <c r="F22" s="113"/>
      <c r="G22" s="113"/>
      <c r="H22" s="113"/>
      <c r="I22" s="113"/>
      <c r="J22" s="113"/>
      <c r="K22" s="113"/>
      <c r="L22" s="113"/>
      <c r="M22" s="113"/>
      <c r="N22" s="113"/>
      <c r="O22" s="113"/>
      <c r="P22" s="113"/>
      <c r="Q22" s="113"/>
    </row>
    <row r="23" spans="1:17" ht="18.75" hidden="1">
      <c r="A23" s="1104">
        <v>40940</v>
      </c>
      <c r="B23" s="1105">
        <v>0.12870000000000001</v>
      </c>
      <c r="C23" s="1106">
        <v>0.13070000000000001</v>
      </c>
      <c r="D23" s="113"/>
      <c r="E23" s="113"/>
      <c r="F23" s="113"/>
      <c r="G23" s="113"/>
      <c r="H23" s="113"/>
      <c r="I23" s="113"/>
      <c r="J23" s="113"/>
      <c r="K23" s="113"/>
      <c r="L23" s="113"/>
      <c r="M23" s="113"/>
      <c r="N23" s="113"/>
      <c r="O23" s="113"/>
      <c r="P23" s="113"/>
      <c r="Q23" s="113"/>
    </row>
    <row r="24" spans="1:17" ht="18.75" hidden="1">
      <c r="A24" s="1104">
        <v>40969</v>
      </c>
      <c r="B24" s="1105">
        <v>0.13020000000000001</v>
      </c>
      <c r="C24" s="1106">
        <v>0.13250000000000001</v>
      </c>
      <c r="D24" s="113"/>
      <c r="E24" s="113"/>
      <c r="F24" s="113"/>
      <c r="G24" s="113"/>
      <c r="H24" s="113"/>
      <c r="I24" s="113"/>
      <c r="J24" s="113"/>
      <c r="K24" s="113"/>
      <c r="L24" s="113"/>
      <c r="M24" s="113"/>
      <c r="N24" s="113"/>
      <c r="O24" s="113"/>
      <c r="P24" s="113"/>
      <c r="Q24" s="113"/>
    </row>
    <row r="25" spans="1:17" ht="18.75" hidden="1">
      <c r="A25" s="1104">
        <v>41000</v>
      </c>
      <c r="B25" s="1105">
        <v>0.12909999999999999</v>
      </c>
      <c r="C25" s="1106">
        <v>0.13170000000000001</v>
      </c>
      <c r="D25" s="113"/>
      <c r="E25" s="113"/>
      <c r="F25" s="113"/>
      <c r="G25" s="113"/>
      <c r="H25" s="113"/>
      <c r="I25" s="113"/>
      <c r="J25" s="113"/>
      <c r="K25" s="113"/>
      <c r="L25" s="113"/>
      <c r="M25" s="113"/>
      <c r="N25" s="113"/>
      <c r="O25" s="113"/>
      <c r="P25" s="113"/>
      <c r="Q25" s="113"/>
    </row>
    <row r="26" spans="1:17" ht="18.75" hidden="1">
      <c r="A26" s="1104">
        <v>41030</v>
      </c>
      <c r="B26" s="1105">
        <v>0.13</v>
      </c>
      <c r="C26" s="1106">
        <v>0.13289999999999999</v>
      </c>
      <c r="D26" s="113"/>
      <c r="E26" s="113"/>
      <c r="F26" s="113"/>
      <c r="G26" s="113"/>
      <c r="H26" s="113"/>
      <c r="I26" s="113"/>
      <c r="J26" s="113"/>
      <c r="K26" s="113"/>
      <c r="L26" s="113"/>
      <c r="M26" s="113"/>
      <c r="N26" s="113"/>
      <c r="O26" s="113"/>
      <c r="P26" s="113"/>
      <c r="Q26" s="113"/>
    </row>
    <row r="27" spans="1:17" ht="18.75">
      <c r="A27" s="1104">
        <v>41061</v>
      </c>
      <c r="B27" s="1105">
        <v>0.13100000000000001</v>
      </c>
      <c r="C27" s="1106">
        <v>0.1343</v>
      </c>
      <c r="D27" s="113"/>
      <c r="E27" s="113"/>
      <c r="F27" s="113"/>
      <c r="G27" s="113"/>
      <c r="H27" s="113"/>
      <c r="I27" s="113"/>
      <c r="J27" s="113"/>
      <c r="K27" s="113"/>
      <c r="L27" s="113"/>
      <c r="M27" s="113"/>
      <c r="N27" s="113"/>
      <c r="O27" s="113"/>
      <c r="P27" s="113"/>
      <c r="Q27" s="113"/>
    </row>
    <row r="28" spans="1:17" ht="18.75" hidden="1">
      <c r="A28" s="1104">
        <v>41091</v>
      </c>
      <c r="B28" s="1105">
        <v>0.13519999999999999</v>
      </c>
      <c r="C28" s="1106">
        <v>0.13800000000000001</v>
      </c>
      <c r="D28" s="113"/>
      <c r="E28" s="113"/>
      <c r="F28" s="113"/>
      <c r="G28" s="113"/>
      <c r="H28" s="113"/>
      <c r="I28" s="113"/>
      <c r="J28" s="113"/>
      <c r="K28" s="113"/>
      <c r="L28" s="113"/>
      <c r="M28" s="113"/>
      <c r="N28" s="113"/>
      <c r="O28" s="113"/>
      <c r="P28" s="113"/>
      <c r="Q28" s="113"/>
    </row>
    <row r="29" spans="1:17" ht="18.75" hidden="1">
      <c r="A29" s="1104">
        <v>41122</v>
      </c>
      <c r="B29" s="1105">
        <v>0.1346</v>
      </c>
      <c r="C29" s="1106">
        <v>0.13800000000000001</v>
      </c>
      <c r="D29" s="113"/>
      <c r="E29" s="113"/>
      <c r="F29" s="113"/>
      <c r="G29" s="113"/>
      <c r="H29" s="113"/>
      <c r="I29" s="113"/>
      <c r="J29" s="113"/>
      <c r="K29" s="113"/>
      <c r="L29" s="113"/>
      <c r="M29" s="113"/>
      <c r="N29" s="113"/>
      <c r="O29" s="113"/>
      <c r="P29" s="113"/>
      <c r="Q29" s="113"/>
    </row>
    <row r="30" spans="1:17" ht="18.75" hidden="1">
      <c r="A30" s="1104">
        <v>41153</v>
      </c>
      <c r="B30" s="1105">
        <v>0.1351</v>
      </c>
      <c r="C30" s="1106">
        <v>0.1386</v>
      </c>
      <c r="D30" s="113"/>
      <c r="E30" s="113"/>
      <c r="F30" s="113"/>
      <c r="G30" s="113"/>
      <c r="H30" s="113"/>
      <c r="I30" s="113"/>
      <c r="J30" s="113"/>
      <c r="K30" s="113"/>
      <c r="L30" s="113"/>
      <c r="M30" s="113"/>
      <c r="N30" s="113"/>
      <c r="O30" s="113"/>
      <c r="P30" s="113"/>
      <c r="Q30" s="113"/>
    </row>
    <row r="31" spans="1:17" ht="18.75" hidden="1">
      <c r="A31" s="1104">
        <v>41183</v>
      </c>
      <c r="B31" s="1105">
        <v>0.13669999999999999</v>
      </c>
      <c r="C31" s="1106">
        <v>0.14080000000000001</v>
      </c>
      <c r="D31" s="113"/>
      <c r="E31" s="113"/>
      <c r="F31" s="113"/>
      <c r="G31" s="113"/>
      <c r="H31" s="113"/>
      <c r="I31" s="113"/>
      <c r="J31" s="113"/>
      <c r="K31" s="113"/>
      <c r="L31" s="113"/>
      <c r="M31" s="113"/>
      <c r="N31" s="113"/>
      <c r="O31" s="113"/>
      <c r="P31" s="113"/>
      <c r="Q31" s="113"/>
    </row>
    <row r="32" spans="1:17" ht="18.75" hidden="1">
      <c r="A32" s="1104">
        <v>41214</v>
      </c>
      <c r="B32" s="1105">
        <v>0.1447</v>
      </c>
      <c r="C32" s="1106">
        <v>0.1472</v>
      </c>
      <c r="D32" s="113"/>
      <c r="E32" s="113"/>
      <c r="F32" s="113"/>
      <c r="G32" s="113"/>
      <c r="H32" s="113"/>
      <c r="I32" s="113"/>
      <c r="J32" s="113"/>
      <c r="K32" s="113"/>
      <c r="L32" s="113"/>
      <c r="M32" s="113"/>
      <c r="N32" s="113"/>
      <c r="O32" s="113"/>
      <c r="P32" s="113"/>
      <c r="Q32" s="113"/>
    </row>
    <row r="33" spans="1:17" ht="18.75">
      <c r="A33" s="1104">
        <v>41244</v>
      </c>
      <c r="B33" s="1105">
        <v>0.14269999999999999</v>
      </c>
      <c r="C33" s="1106">
        <v>0.1454</v>
      </c>
      <c r="D33" s="113"/>
      <c r="E33" s="113"/>
      <c r="F33" s="113"/>
      <c r="G33" s="113"/>
      <c r="H33" s="113"/>
      <c r="I33" s="113"/>
      <c r="J33" s="113"/>
      <c r="K33" s="113"/>
      <c r="L33" s="113"/>
      <c r="M33" s="113"/>
      <c r="N33" s="113"/>
      <c r="O33" s="113"/>
      <c r="P33" s="113"/>
      <c r="Q33" s="113"/>
    </row>
    <row r="34" spans="1:17" ht="18.75" hidden="1">
      <c r="A34" s="1104">
        <v>41275</v>
      </c>
      <c r="B34" s="1105">
        <v>0.1409</v>
      </c>
      <c r="C34" s="1106">
        <v>0.14360000000000001</v>
      </c>
      <c r="D34" s="113"/>
      <c r="E34" s="113"/>
      <c r="F34" s="113"/>
      <c r="G34" s="113"/>
      <c r="H34" s="113"/>
      <c r="I34" s="113"/>
      <c r="J34" s="113"/>
      <c r="K34" s="113"/>
      <c r="L34" s="113"/>
      <c r="M34" s="113"/>
      <c r="N34" s="113"/>
      <c r="O34" s="113"/>
      <c r="P34" s="113"/>
      <c r="Q34" s="113"/>
    </row>
    <row r="35" spans="1:17" ht="18.75" hidden="1">
      <c r="A35" s="1104">
        <v>41306</v>
      </c>
      <c r="B35" s="1105">
        <v>0.14199999999999999</v>
      </c>
      <c r="C35" s="1106">
        <v>0.14580000000000001</v>
      </c>
      <c r="D35" s="113"/>
      <c r="E35" s="113"/>
      <c r="F35" s="113"/>
      <c r="G35" s="113"/>
      <c r="H35" s="113"/>
      <c r="I35" s="113"/>
      <c r="J35" s="113"/>
      <c r="K35" s="113"/>
      <c r="L35" s="113"/>
      <c r="M35" s="113"/>
      <c r="N35" s="113"/>
      <c r="O35" s="113"/>
      <c r="P35" s="113"/>
      <c r="Q35" s="113"/>
    </row>
    <row r="36" spans="1:17" ht="18.75" hidden="1">
      <c r="A36" s="1104">
        <v>41334</v>
      </c>
      <c r="B36" s="1105">
        <v>0.14480000000000001</v>
      </c>
      <c r="C36" s="1106">
        <v>0.1479</v>
      </c>
    </row>
    <row r="37" spans="1:17" ht="18.75" hidden="1">
      <c r="A37" s="1104">
        <v>41365</v>
      </c>
      <c r="B37" s="1105">
        <v>0.1477</v>
      </c>
      <c r="C37" s="1106">
        <v>0.15110000000000001</v>
      </c>
    </row>
    <row r="38" spans="1:17" ht="18.75" hidden="1">
      <c r="A38" s="1104">
        <v>41395</v>
      </c>
      <c r="B38" s="1105">
        <v>0.14810000000000001</v>
      </c>
      <c r="C38" s="1106">
        <v>0.15129999999999999</v>
      </c>
    </row>
    <row r="39" spans="1:17" ht="18.75">
      <c r="A39" s="1104">
        <v>41426</v>
      </c>
      <c r="B39" s="1105">
        <v>0.15329999999999999</v>
      </c>
      <c r="C39" s="1106">
        <v>0.15759999999999999</v>
      </c>
    </row>
    <row r="40" spans="1:17" ht="18.75" hidden="1">
      <c r="A40" s="1104">
        <v>41456</v>
      </c>
      <c r="B40" s="1105">
        <v>0.15479999999999999</v>
      </c>
      <c r="C40" s="1106">
        <v>0.15840000000000001</v>
      </c>
    </row>
    <row r="41" spans="1:17" ht="18.75" hidden="1">
      <c r="A41" s="1104">
        <v>41487</v>
      </c>
      <c r="B41" s="1105">
        <v>0.1517</v>
      </c>
      <c r="C41" s="1106">
        <v>0.1545</v>
      </c>
    </row>
    <row r="42" spans="1:17" ht="18.75" hidden="1">
      <c r="A42" s="1104">
        <v>41518</v>
      </c>
      <c r="B42" s="1105">
        <v>0.14349999999999999</v>
      </c>
      <c r="C42" s="1106">
        <v>0.14680000000000001</v>
      </c>
    </row>
    <row r="43" spans="1:17" ht="18.75" hidden="1">
      <c r="A43" s="1104">
        <v>41548</v>
      </c>
      <c r="B43" s="1105">
        <v>0.13850000000000001</v>
      </c>
      <c r="C43" s="1106">
        <v>0.1411</v>
      </c>
    </row>
    <row r="44" spans="1:17" ht="18.75" hidden="1">
      <c r="A44" s="1104">
        <v>41579</v>
      </c>
      <c r="B44" s="1105">
        <v>0.13170000000000001</v>
      </c>
      <c r="C44" s="1106">
        <v>0.13519999999999999</v>
      </c>
    </row>
    <row r="45" spans="1:17" ht="18.75">
      <c r="A45" s="1104">
        <v>41609</v>
      </c>
      <c r="B45" s="1105">
        <v>0.132289709655253</v>
      </c>
      <c r="C45" s="1106">
        <v>0.133732017269869</v>
      </c>
    </row>
    <row r="46" spans="1:17" ht="18.75" hidden="1">
      <c r="A46" s="1104">
        <v>41640</v>
      </c>
      <c r="B46" s="1105">
        <v>0.13262888735529499</v>
      </c>
      <c r="C46" s="1106">
        <v>0.13435685682335999</v>
      </c>
    </row>
    <row r="47" spans="1:17" ht="18.75" hidden="1">
      <c r="A47" s="1104">
        <v>41671</v>
      </c>
      <c r="B47" s="1105">
        <v>0.13070000000000001</v>
      </c>
      <c r="C47" s="1106">
        <v>0.13150000000000001</v>
      </c>
    </row>
    <row r="48" spans="1:17" ht="18.75" hidden="1">
      <c r="A48" s="1104">
        <v>41699</v>
      </c>
      <c r="B48" s="1105">
        <v>0.12620000000000001</v>
      </c>
      <c r="C48" s="1106">
        <v>0.12820000000000001</v>
      </c>
      <c r="I48" s="210"/>
    </row>
    <row r="49" spans="1:3" ht="18.75" hidden="1">
      <c r="A49" s="1104">
        <v>41760</v>
      </c>
      <c r="B49" s="1105">
        <v>0.1179</v>
      </c>
      <c r="C49" s="1106">
        <v>0.1203</v>
      </c>
    </row>
    <row r="50" spans="1:3" ht="18.75">
      <c r="A50" s="1104">
        <v>41791</v>
      </c>
      <c r="B50" s="1105">
        <v>0.116663916655663</v>
      </c>
      <c r="C50" s="1106">
        <v>0.117645839774349</v>
      </c>
    </row>
    <row r="51" spans="1:3" ht="18.75">
      <c r="A51" s="1104">
        <v>41821</v>
      </c>
      <c r="B51" s="1105">
        <v>0.116796791263615</v>
      </c>
      <c r="C51" s="1106">
        <v>0.118568283938031</v>
      </c>
    </row>
    <row r="52" spans="1:3" ht="18.75">
      <c r="A52" s="1104">
        <v>41852</v>
      </c>
      <c r="B52" s="1105">
        <v>0.1173</v>
      </c>
      <c r="C52" s="1106">
        <v>0.1198</v>
      </c>
    </row>
    <row r="53" spans="1:3" ht="18.75">
      <c r="A53" s="1104">
        <v>41883</v>
      </c>
      <c r="B53" s="1105">
        <v>0.122677017308136</v>
      </c>
      <c r="C53" s="1106">
        <v>0.124578929225971</v>
      </c>
    </row>
    <row r="54" spans="1:3" ht="18.75">
      <c r="A54" s="1104">
        <v>41913</v>
      </c>
      <c r="B54" s="1105">
        <v>0.123037759368956</v>
      </c>
      <c r="C54" s="1106">
        <v>0.125103490001607</v>
      </c>
    </row>
    <row r="55" spans="1:3" ht="18.75">
      <c r="A55" s="1104">
        <v>41944</v>
      </c>
      <c r="B55" s="1105">
        <v>0.1196</v>
      </c>
      <c r="C55" s="1106">
        <v>0.12239999999999999</v>
      </c>
    </row>
    <row r="56" spans="1:3" ht="18.75">
      <c r="A56" s="1104">
        <v>41974</v>
      </c>
      <c r="B56" s="1105">
        <v>0.1202</v>
      </c>
      <c r="C56" s="1106">
        <v>0.12479999999999999</v>
      </c>
    </row>
    <row r="57" spans="1:3" ht="18.75">
      <c r="A57" s="1107">
        <v>42005</v>
      </c>
      <c r="B57" s="1108">
        <v>0.12089999999999999</v>
      </c>
      <c r="C57" s="1109">
        <v>0.125</v>
      </c>
    </row>
  </sheetData>
  <mergeCells count="3">
    <mergeCell ref="A1:S1"/>
    <mergeCell ref="A3:C3"/>
    <mergeCell ref="A2:S2"/>
  </mergeCells>
  <printOptions horizontalCentered="1" verticalCentered="1"/>
  <pageMargins left="0.4" right="0.4" top="0.25" bottom="0.25" header="0.3" footer="0.3"/>
  <pageSetup scale="45"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topLeftCell="B1" zoomScale="70" zoomScaleNormal="100" zoomScaleSheetLayoutView="70" workbookViewId="0">
      <selection activeCell="J8" sqref="J8"/>
    </sheetView>
  </sheetViews>
  <sheetFormatPr baseColWidth="10" defaultColWidth="11.42578125" defaultRowHeight="15"/>
  <cols>
    <col min="1" max="1" width="11.42578125" style="301"/>
    <col min="2" max="4" width="18.42578125" style="301" customWidth="1"/>
    <col min="5" max="5" width="14.28515625" style="301" customWidth="1"/>
    <col min="6" max="15" width="13.5703125" style="301" customWidth="1"/>
    <col min="16" max="16" width="11.42578125" style="301" hidden="1" customWidth="1"/>
    <col min="17" max="17" width="0.28515625" style="301" customWidth="1"/>
    <col min="18" max="18" width="11.42578125" style="301"/>
    <col min="19" max="19" width="12.7109375" style="301" customWidth="1"/>
    <col min="20" max="21" width="15.28515625" style="301" customWidth="1"/>
    <col min="22" max="22" width="15.85546875" style="301" customWidth="1"/>
    <col min="23" max="16384" width="11.42578125" style="301"/>
  </cols>
  <sheetData>
    <row r="1" spans="1:17" ht="72" customHeight="1">
      <c r="A1" s="1874"/>
      <c r="B1" s="1874"/>
      <c r="C1" s="1874"/>
      <c r="D1" s="1874"/>
      <c r="E1" s="1874"/>
      <c r="F1" s="1874"/>
      <c r="G1" s="1874"/>
      <c r="H1" s="1874"/>
      <c r="I1" s="1874"/>
      <c r="J1" s="1874"/>
      <c r="K1" s="1874"/>
      <c r="L1" s="1874"/>
      <c r="M1" s="1874"/>
      <c r="N1" s="1874"/>
      <c r="O1" s="1874"/>
      <c r="P1" s="1874"/>
      <c r="Q1" s="1874"/>
    </row>
    <row r="2" spans="1:17" ht="3.75" customHeight="1">
      <c r="A2" s="1875"/>
      <c r="B2" s="1875"/>
      <c r="C2" s="1875"/>
      <c r="D2" s="1875"/>
      <c r="E2" s="1875"/>
      <c r="F2" s="1875"/>
      <c r="G2" s="1875"/>
      <c r="H2" s="1875"/>
      <c r="I2" s="1875"/>
      <c r="J2" s="1875"/>
      <c r="K2" s="1875"/>
      <c r="L2" s="1875"/>
      <c r="M2" s="1875"/>
      <c r="N2" s="1875"/>
      <c r="O2" s="1875"/>
      <c r="P2" s="302"/>
      <c r="Q2" s="302"/>
    </row>
    <row r="3" spans="1:17" ht="27.75" customHeight="1">
      <c r="A3" s="1876" t="s">
        <v>622</v>
      </c>
      <c r="B3" s="1877"/>
      <c r="C3" s="1877"/>
      <c r="D3" s="1878"/>
      <c r="E3" s="302"/>
      <c r="F3" s="302"/>
      <c r="G3" s="302"/>
      <c r="H3" s="302"/>
      <c r="I3" s="302"/>
      <c r="J3" s="302"/>
      <c r="K3" s="302"/>
      <c r="L3" s="302"/>
      <c r="M3" s="302"/>
      <c r="N3" s="302"/>
      <c r="O3" s="302"/>
      <c r="P3" s="302"/>
      <c r="Q3" s="302"/>
    </row>
    <row r="4" spans="1:17" ht="45.75" customHeight="1">
      <c r="A4" s="785" t="s">
        <v>47</v>
      </c>
      <c r="B4" s="783" t="s">
        <v>623</v>
      </c>
      <c r="C4" s="783" t="s">
        <v>624</v>
      </c>
      <c r="D4" s="784" t="s">
        <v>625</v>
      </c>
      <c r="E4" s="302"/>
      <c r="F4" s="302"/>
      <c r="G4" s="302"/>
      <c r="H4" s="302"/>
      <c r="I4" s="302"/>
      <c r="J4" s="302"/>
      <c r="K4" s="302"/>
      <c r="L4" s="302"/>
      <c r="M4" s="302"/>
      <c r="N4" s="302"/>
      <c r="O4" s="302"/>
      <c r="P4" s="302"/>
      <c r="Q4" s="302"/>
    </row>
    <row r="5" spans="1:17" ht="18.75">
      <c r="A5" s="786">
        <v>37956</v>
      </c>
      <c r="B5" s="779">
        <v>0.23569999999999999</v>
      </c>
      <c r="C5" s="779">
        <v>0.42655027092113201</v>
      </c>
      <c r="D5" s="780">
        <f>B5-C5</f>
        <v>-0.19085027092113202</v>
      </c>
      <c r="E5" s="302"/>
      <c r="F5" s="302"/>
      <c r="G5" s="302"/>
      <c r="H5" s="302"/>
      <c r="I5" s="302"/>
      <c r="J5" s="302"/>
      <c r="K5" s="302"/>
      <c r="L5" s="302"/>
      <c r="M5" s="302"/>
      <c r="N5" s="302"/>
      <c r="O5" s="302"/>
      <c r="P5" s="302"/>
      <c r="Q5" s="302"/>
    </row>
    <row r="6" spans="1:17" ht="18.75">
      <c r="A6" s="786">
        <v>38322</v>
      </c>
      <c r="B6" s="779">
        <v>0.2384</v>
      </c>
      <c r="C6" s="779">
        <v>0.28740240557079555</v>
      </c>
      <c r="D6" s="780">
        <f t="shared" ref="D6:D16" si="0">B6-C6</f>
        <v>-4.9002405570795549E-2</v>
      </c>
      <c r="E6" s="302"/>
      <c r="F6" s="302"/>
      <c r="G6" s="302"/>
      <c r="H6" s="302"/>
      <c r="I6" s="302"/>
      <c r="J6" s="302"/>
      <c r="K6" s="302"/>
      <c r="L6" s="302"/>
      <c r="M6" s="302"/>
      <c r="N6" s="302"/>
      <c r="O6" s="302"/>
      <c r="P6" s="302"/>
      <c r="Q6" s="302"/>
    </row>
    <row r="7" spans="1:17" ht="18.75">
      <c r="A7" s="786">
        <v>38687</v>
      </c>
      <c r="B7" s="779">
        <v>0.1696</v>
      </c>
      <c r="C7" s="779">
        <v>7.4373053597770911E-2</v>
      </c>
      <c r="D7" s="780">
        <f t="shared" si="0"/>
        <v>9.522694640222909E-2</v>
      </c>
      <c r="E7" s="302"/>
      <c r="F7" s="302"/>
      <c r="G7" s="302"/>
      <c r="H7" s="302"/>
      <c r="I7" s="302"/>
      <c r="J7" s="302"/>
      <c r="K7" s="302"/>
      <c r="L7" s="302"/>
      <c r="M7" s="302"/>
      <c r="N7" s="302"/>
      <c r="O7" s="302"/>
      <c r="P7" s="302"/>
      <c r="Q7" s="302"/>
    </row>
    <row r="8" spans="1:17" ht="18.75">
      <c r="A8" s="786">
        <v>39052</v>
      </c>
      <c r="B8" s="779">
        <v>0.1148</v>
      </c>
      <c r="C8" s="779">
        <v>5.0001907013997426E-2</v>
      </c>
      <c r="D8" s="780">
        <f t="shared" si="0"/>
        <v>6.4798092986002573E-2</v>
      </c>
      <c r="E8" s="302"/>
      <c r="F8" s="302"/>
      <c r="G8" s="302"/>
      <c r="H8" s="303"/>
      <c r="I8" s="302"/>
      <c r="J8" s="302"/>
      <c r="K8" s="302"/>
      <c r="L8" s="302"/>
      <c r="M8" s="302"/>
      <c r="N8" s="302"/>
      <c r="O8" s="302"/>
      <c r="P8" s="302"/>
      <c r="Q8" s="302"/>
    </row>
    <row r="9" spans="1:17" ht="18.75">
      <c r="A9" s="786">
        <v>39417</v>
      </c>
      <c r="B9" s="779">
        <v>8.4400000000000003E-2</v>
      </c>
      <c r="C9" s="779">
        <v>8.8775880857246747E-2</v>
      </c>
      <c r="D9" s="780">
        <f t="shared" si="0"/>
        <v>-4.3758808572467445E-3</v>
      </c>
      <c r="E9" s="302"/>
      <c r="F9" s="302"/>
      <c r="G9" s="302"/>
      <c r="H9" s="302"/>
      <c r="I9" s="302"/>
      <c r="J9" s="302"/>
      <c r="K9" s="302"/>
      <c r="L9" s="302"/>
      <c r="M9" s="302"/>
      <c r="N9" s="302"/>
      <c r="O9" s="302"/>
      <c r="P9" s="302"/>
      <c r="Q9" s="302"/>
    </row>
    <row r="10" spans="1:17" ht="18.75">
      <c r="A10" s="786">
        <v>39783</v>
      </c>
      <c r="B10" s="779">
        <v>0.13009999999999999</v>
      </c>
      <c r="C10" s="779">
        <v>4.517248281844255E-2</v>
      </c>
      <c r="D10" s="780">
        <f t="shared" si="0"/>
        <v>8.4927517181557444E-2</v>
      </c>
      <c r="E10" s="302"/>
      <c r="F10" s="302"/>
      <c r="G10" s="302"/>
      <c r="H10" s="302"/>
      <c r="I10" s="302"/>
      <c r="J10" s="302"/>
      <c r="K10" s="302"/>
      <c r="L10" s="302"/>
      <c r="M10" s="302"/>
      <c r="N10" s="302"/>
      <c r="O10" s="302"/>
      <c r="P10" s="302"/>
      <c r="Q10" s="302"/>
    </row>
    <row r="11" spans="1:17" ht="18.75">
      <c r="A11" s="786">
        <v>40148</v>
      </c>
      <c r="B11" s="779">
        <v>0.14330000000000001</v>
      </c>
      <c r="C11" s="779">
        <v>5.7648110316649515E-2</v>
      </c>
      <c r="D11" s="780">
        <f t="shared" si="0"/>
        <v>8.5651889683350496E-2</v>
      </c>
      <c r="E11" s="302"/>
      <c r="F11" s="302"/>
      <c r="G11" s="302"/>
      <c r="H11" s="302"/>
      <c r="I11" s="302"/>
      <c r="J11" s="302"/>
      <c r="K11" s="302"/>
      <c r="L11" s="302"/>
      <c r="M11" s="302"/>
      <c r="N11" s="302"/>
      <c r="O11" s="302"/>
      <c r="P11" s="302"/>
      <c r="Q11" s="302"/>
    </row>
    <row r="12" spans="1:17" s="306" customFormat="1" ht="18.75">
      <c r="A12" s="786">
        <v>40513</v>
      </c>
      <c r="B12" s="779">
        <v>0.11057333531076501</v>
      </c>
      <c r="C12" s="779">
        <v>6.2383050642844218E-2</v>
      </c>
      <c r="D12" s="780">
        <f t="shared" si="0"/>
        <v>4.8190284667920788E-2</v>
      </c>
      <c r="E12" s="304"/>
      <c r="F12" s="304"/>
      <c r="G12" s="304"/>
      <c r="H12" s="304"/>
      <c r="I12" s="304"/>
      <c r="J12" s="304"/>
      <c r="K12" s="304"/>
      <c r="L12" s="304"/>
      <c r="M12" s="304"/>
      <c r="N12" s="304"/>
      <c r="O12" s="305"/>
      <c r="P12" s="304"/>
      <c r="Q12" s="304"/>
    </row>
    <row r="13" spans="1:17" ht="18.75">
      <c r="A13" s="786">
        <v>40878</v>
      </c>
      <c r="B13" s="779">
        <v>0.12659999999999999</v>
      </c>
      <c r="C13" s="779">
        <v>7.7600000000000002E-2</v>
      </c>
      <c r="D13" s="780">
        <f t="shared" si="0"/>
        <v>4.8999999999999988E-2</v>
      </c>
      <c r="E13" s="304"/>
      <c r="F13" s="304"/>
      <c r="G13" s="304"/>
      <c r="H13" s="304"/>
      <c r="I13" s="304"/>
      <c r="J13" s="304"/>
      <c r="K13" s="304"/>
      <c r="L13" s="304"/>
      <c r="M13" s="304"/>
      <c r="N13" s="304"/>
      <c r="O13" s="304"/>
      <c r="P13" s="302"/>
      <c r="Q13" s="302"/>
    </row>
    <row r="14" spans="1:17" ht="18.75">
      <c r="A14" s="786">
        <v>41244</v>
      </c>
      <c r="B14" s="779">
        <v>0.14269999999999999</v>
      </c>
      <c r="C14" s="779">
        <v>3.9100000000000003E-2</v>
      </c>
      <c r="D14" s="780">
        <f t="shared" si="0"/>
        <v>0.1036</v>
      </c>
      <c r="E14" s="302"/>
      <c r="F14" s="302"/>
      <c r="G14" s="302"/>
      <c r="H14" s="302"/>
      <c r="I14" s="302"/>
      <c r="J14" s="302"/>
      <c r="K14" s="302"/>
      <c r="L14" s="302"/>
      <c r="M14" s="302"/>
      <c r="N14" s="302"/>
      <c r="O14" s="302"/>
      <c r="P14" s="302"/>
      <c r="Q14" s="302"/>
    </row>
    <row r="15" spans="1:17" ht="18.75">
      <c r="A15" s="786">
        <v>41609</v>
      </c>
      <c r="B15" s="779">
        <f>+'[4]V.5.3 Rent. nom. de los FP'!B45</f>
        <v>0.132289709655253</v>
      </c>
      <c r="C15" s="779">
        <v>3.8800000000000001E-2</v>
      </c>
      <c r="D15" s="780">
        <f t="shared" si="0"/>
        <v>9.3489709655252995E-2</v>
      </c>
      <c r="E15" s="302"/>
      <c r="F15" s="302"/>
      <c r="G15" s="302"/>
      <c r="H15" s="302"/>
      <c r="I15" s="302"/>
      <c r="J15" s="302"/>
      <c r="K15" s="302"/>
      <c r="L15" s="302"/>
      <c r="M15" s="302"/>
      <c r="N15" s="302"/>
      <c r="O15" s="302"/>
      <c r="P15" s="302"/>
      <c r="Q15" s="302"/>
    </row>
    <row r="16" spans="1:17" ht="18.75">
      <c r="A16" s="786">
        <v>41974</v>
      </c>
      <c r="B16" s="779">
        <v>0.1202</v>
      </c>
      <c r="C16" s="779">
        <v>1.5800000000000002E-2</v>
      </c>
      <c r="D16" s="780">
        <f t="shared" si="0"/>
        <v>0.10439999999999999</v>
      </c>
      <c r="E16" s="302"/>
      <c r="F16" s="302"/>
      <c r="G16" s="302"/>
      <c r="H16" s="302"/>
      <c r="I16" s="302"/>
      <c r="J16" s="302"/>
      <c r="K16" s="302"/>
      <c r="L16" s="302"/>
      <c r="M16" s="302"/>
      <c r="N16" s="302"/>
      <c r="O16" s="302"/>
      <c r="P16" s="302"/>
      <c r="Q16" s="302"/>
    </row>
    <row r="17" spans="1:20" ht="18.75">
      <c r="A17" s="787">
        <v>42005</v>
      </c>
      <c r="B17" s="781">
        <v>0.12089999999999999</v>
      </c>
      <c r="C17" s="781">
        <v>1.1599999999999999E-2</v>
      </c>
      <c r="D17" s="782">
        <f>B17-C17</f>
        <v>0.10929999999999999</v>
      </c>
      <c r="E17" s="302"/>
      <c r="F17" s="302"/>
      <c r="G17" s="302"/>
      <c r="H17" s="302"/>
      <c r="I17" s="302"/>
      <c r="J17" s="302"/>
      <c r="K17" s="302"/>
      <c r="L17" s="302"/>
      <c r="M17" s="302"/>
      <c r="N17" s="302"/>
      <c r="O17" s="302"/>
      <c r="P17" s="302"/>
      <c r="Q17" s="302"/>
    </row>
    <row r="18" spans="1:20">
      <c r="A18" s="302"/>
      <c r="B18" s="302"/>
      <c r="C18" s="302"/>
      <c r="D18" s="302"/>
      <c r="E18" s="302"/>
      <c r="F18" s="302"/>
      <c r="G18" s="302"/>
      <c r="H18" s="302"/>
      <c r="I18" s="302"/>
      <c r="J18" s="302"/>
      <c r="K18" s="302"/>
      <c r="L18" s="302"/>
      <c r="M18" s="302"/>
      <c r="N18" s="302"/>
      <c r="O18" s="302"/>
      <c r="P18" s="302"/>
      <c r="Q18" s="302"/>
    </row>
    <row r="19" spans="1:20">
      <c r="A19" s="302"/>
      <c r="B19" s="302"/>
      <c r="C19" s="302"/>
      <c r="D19" s="302"/>
      <c r="E19" s="302"/>
      <c r="F19" s="302"/>
      <c r="G19" s="302"/>
      <c r="H19" s="302"/>
      <c r="I19" s="302"/>
      <c r="J19" s="302"/>
      <c r="K19" s="302"/>
      <c r="L19" s="302"/>
      <c r="M19" s="302"/>
      <c r="N19" s="302"/>
      <c r="O19" s="302"/>
      <c r="P19" s="302"/>
      <c r="Q19" s="302"/>
    </row>
    <row r="20" spans="1:20">
      <c r="A20" s="302"/>
      <c r="B20" s="302"/>
      <c r="C20" s="302"/>
      <c r="D20" s="302"/>
      <c r="E20" s="302"/>
      <c r="F20" s="302"/>
      <c r="G20" s="302"/>
      <c r="H20" s="302"/>
      <c r="I20" s="302"/>
      <c r="J20" s="302"/>
      <c r="K20" s="302"/>
      <c r="L20" s="302"/>
      <c r="M20" s="302"/>
      <c r="N20" s="302"/>
      <c r="O20" s="302"/>
      <c r="P20" s="302"/>
      <c r="Q20" s="302"/>
      <c r="S20" s="53"/>
      <c r="T20" s="53"/>
    </row>
    <row r="21" spans="1:20">
      <c r="S21" s="53"/>
      <c r="T21" s="53"/>
    </row>
    <row r="27" spans="1:20">
      <c r="S27" s="763"/>
    </row>
    <row r="28" spans="1:20">
      <c r="S28" s="763"/>
    </row>
    <row r="29" spans="1:20">
      <c r="S29" s="763"/>
    </row>
    <row r="30" spans="1:20">
      <c r="S30" s="763"/>
    </row>
    <row r="31" spans="1:20">
      <c r="S31" s="763"/>
    </row>
    <row r="32" spans="1:20">
      <c r="S32" s="763"/>
    </row>
    <row r="33" spans="19:19">
      <c r="S33" s="764"/>
    </row>
    <row r="34" spans="19:19">
      <c r="S34" s="764"/>
    </row>
    <row r="35" spans="19:19">
      <c r="S35" s="764"/>
    </row>
    <row r="36" spans="19:19">
      <c r="S36" s="764"/>
    </row>
    <row r="37" spans="19:19">
      <c r="S37" s="765"/>
    </row>
    <row r="38" spans="19:19">
      <c r="S38" s="765"/>
    </row>
  </sheetData>
  <mergeCells count="3">
    <mergeCell ref="A1:Q1"/>
    <mergeCell ref="A2:O2"/>
    <mergeCell ref="A3:D3"/>
  </mergeCells>
  <printOptions horizontalCentered="1" verticalCentered="1"/>
  <pageMargins left="0.4" right="0.4" top="0.25" bottom="0.25" header="0.3" footer="0.3"/>
  <pageSetup scale="5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view="pageBreakPreview" zoomScale="85" zoomScaleNormal="100" zoomScaleSheetLayoutView="85" workbookViewId="0">
      <selection activeCell="K27" sqref="K27"/>
    </sheetView>
  </sheetViews>
  <sheetFormatPr baseColWidth="10" defaultRowHeight="15"/>
  <cols>
    <col min="8" max="8" width="8" customWidth="1"/>
  </cols>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00B0F0"/>
  </sheetPr>
  <dimension ref="A1:N50"/>
  <sheetViews>
    <sheetView showGridLines="0" view="pageBreakPreview" topLeftCell="D1" zoomScale="85" zoomScaleNormal="100" zoomScaleSheetLayoutView="85" workbookViewId="0">
      <selection activeCell="M2" sqref="M2:N27"/>
    </sheetView>
  </sheetViews>
  <sheetFormatPr baseColWidth="10" defaultColWidth="11.42578125" defaultRowHeight="15"/>
  <cols>
    <col min="1" max="1" width="14.140625" style="44" customWidth="1"/>
    <col min="2" max="2" width="21.7109375" style="44" customWidth="1"/>
    <col min="3" max="3" width="11.140625" style="44" customWidth="1"/>
    <col min="4" max="4" width="18.42578125" style="44" customWidth="1"/>
    <col min="5" max="5" width="12" style="44" customWidth="1"/>
    <col min="6" max="6" width="19.5703125" style="44" customWidth="1"/>
    <col min="7" max="7" width="13.140625" style="44" customWidth="1"/>
    <col min="8" max="8" width="24.42578125" style="44" customWidth="1"/>
    <col min="9" max="11" width="17.42578125" style="44" customWidth="1"/>
    <col min="12" max="12" width="19.28515625" style="44" customWidth="1"/>
    <col min="13" max="13" width="14.42578125" style="44" customWidth="1"/>
    <col min="14" max="14" width="14.28515625" style="44" customWidth="1"/>
    <col min="15" max="15" width="13.85546875" style="44" customWidth="1"/>
    <col min="16" max="16384" width="11.42578125" style="44"/>
  </cols>
  <sheetData>
    <row r="1" spans="1:14" customFormat="1" ht="64.5" customHeight="1">
      <c r="A1" s="1879"/>
      <c r="B1" s="1879"/>
      <c r="C1" s="1879"/>
      <c r="D1" s="1879"/>
      <c r="E1" s="1879"/>
      <c r="F1" s="1879"/>
      <c r="G1" s="1879"/>
      <c r="H1" s="1879"/>
      <c r="I1" s="1879"/>
      <c r="J1" s="1879"/>
      <c r="K1" s="1879"/>
      <c r="L1" s="1879"/>
    </row>
    <row r="2" spans="1:14" customFormat="1" ht="13.5" customHeight="1">
      <c r="A2" s="1880"/>
      <c r="B2" s="1880"/>
      <c r="C2" s="1880"/>
      <c r="D2" s="1880"/>
      <c r="E2" s="1880"/>
      <c r="F2" s="1880"/>
      <c r="G2" s="1880"/>
      <c r="H2" s="1880"/>
      <c r="I2" s="1880"/>
      <c r="J2" s="1880"/>
      <c r="K2" s="1880"/>
      <c r="L2" s="1880"/>
    </row>
    <row r="3" spans="1:14" customFormat="1" ht="15.75" customHeight="1">
      <c r="A3" s="44"/>
      <c r="B3" s="1881" t="s">
        <v>152</v>
      </c>
      <c r="C3" s="1882"/>
      <c r="D3" s="1882"/>
      <c r="E3" s="1882"/>
      <c r="F3" s="1882"/>
      <c r="G3" s="1882"/>
      <c r="H3" s="1883"/>
      <c r="I3" s="44"/>
      <c r="J3" s="44"/>
      <c r="K3" s="44"/>
      <c r="L3" s="97"/>
      <c r="M3" s="97"/>
    </row>
    <row r="4" spans="1:14" customFormat="1" ht="15.75">
      <c r="A4" s="788" t="s">
        <v>49</v>
      </c>
      <c r="B4" s="793" t="s">
        <v>137</v>
      </c>
      <c r="C4" s="793" t="s">
        <v>164</v>
      </c>
      <c r="D4" s="793" t="s">
        <v>138</v>
      </c>
      <c r="E4" s="793" t="s">
        <v>164</v>
      </c>
      <c r="F4" s="794" t="s">
        <v>139</v>
      </c>
      <c r="G4" s="793" t="s">
        <v>164</v>
      </c>
      <c r="H4" s="795" t="s">
        <v>148</v>
      </c>
      <c r="I4" s="97"/>
      <c r="J4" s="97"/>
      <c r="K4" s="97"/>
      <c r="L4" s="97"/>
      <c r="M4" s="97"/>
    </row>
    <row r="5" spans="1:14" customFormat="1" ht="15.75">
      <c r="A5" s="796" t="s">
        <v>907</v>
      </c>
      <c r="B5" s="790">
        <v>1182369144.5599999</v>
      </c>
      <c r="C5" s="800">
        <f t="shared" ref="C5:C14" si="0">B5/H5</f>
        <v>0.94107399436081784</v>
      </c>
      <c r="D5" s="790">
        <v>45221952.840000004</v>
      </c>
      <c r="E5" s="800">
        <f t="shared" ref="E5:E16" si="1">D5/H5</f>
        <v>3.5993161685365468E-2</v>
      </c>
      <c r="F5" s="790">
        <v>28812917.210000001</v>
      </c>
      <c r="G5" s="800">
        <f t="shared" ref="G5:G16" si="2">F5/H5</f>
        <v>2.2932843953816728E-2</v>
      </c>
      <c r="H5" s="792">
        <f t="shared" ref="H5:H14" si="3">B5+D5+F5</f>
        <v>1256404014.6099999</v>
      </c>
      <c r="I5" s="97"/>
      <c r="J5" s="44"/>
      <c r="K5" s="97"/>
      <c r="L5" s="97"/>
      <c r="M5" s="171"/>
    </row>
    <row r="6" spans="1:14" customFormat="1" ht="15.75">
      <c r="A6" s="796">
        <v>2006</v>
      </c>
      <c r="B6" s="790">
        <v>1292735922.04</v>
      </c>
      <c r="C6" s="800">
        <f t="shared" si="0"/>
        <v>0.9378154266333486</v>
      </c>
      <c r="D6" s="790">
        <v>53017895.640000001</v>
      </c>
      <c r="E6" s="800">
        <f t="shared" si="1"/>
        <v>3.8461838625453222E-2</v>
      </c>
      <c r="F6" s="791">
        <v>32700711.139999997</v>
      </c>
      <c r="G6" s="800">
        <f t="shared" si="2"/>
        <v>2.3722734741198043E-2</v>
      </c>
      <c r="H6" s="792">
        <f t="shared" si="3"/>
        <v>1378454528.8200002</v>
      </c>
      <c r="I6" s="97"/>
      <c r="J6" s="44"/>
      <c r="K6" s="97"/>
      <c r="L6" s="97"/>
      <c r="M6" s="171"/>
    </row>
    <row r="7" spans="1:14" customFormat="1" ht="15.75">
      <c r="A7" s="796">
        <v>2007</v>
      </c>
      <c r="B7" s="790">
        <v>1635826213.1600001</v>
      </c>
      <c r="C7" s="800">
        <f t="shared" si="0"/>
        <v>0.94578819961072813</v>
      </c>
      <c r="D7" s="790">
        <v>70883463.600000009</v>
      </c>
      <c r="E7" s="800">
        <f t="shared" si="1"/>
        <v>4.0982802990368349E-2</v>
      </c>
      <c r="F7" s="791">
        <v>22880747.219999999</v>
      </c>
      <c r="G7" s="800">
        <f t="shared" si="2"/>
        <v>1.3228997398903602E-2</v>
      </c>
      <c r="H7" s="792">
        <f t="shared" si="3"/>
        <v>1729590423.98</v>
      </c>
      <c r="I7" s="97"/>
      <c r="J7" s="44"/>
      <c r="K7" s="97"/>
      <c r="L7" s="97"/>
      <c r="M7" s="171"/>
    </row>
    <row r="8" spans="1:14" customFormat="1" ht="15.75">
      <c r="A8" s="796">
        <v>2008</v>
      </c>
      <c r="B8" s="791">
        <v>1581393650.8599999</v>
      </c>
      <c r="C8" s="800">
        <f t="shared" si="0"/>
        <v>0.94890566872483018</v>
      </c>
      <c r="D8" s="791">
        <v>68964104.809999987</v>
      </c>
      <c r="E8" s="800">
        <f t="shared" si="1"/>
        <v>4.1381492809936499E-2</v>
      </c>
      <c r="F8" s="791">
        <v>16186878.83</v>
      </c>
      <c r="G8" s="800">
        <f t="shared" si="2"/>
        <v>9.7128384652334383E-3</v>
      </c>
      <c r="H8" s="792">
        <f t="shared" si="3"/>
        <v>1666544634.4999998</v>
      </c>
      <c r="I8" s="97"/>
      <c r="J8" s="44"/>
      <c r="K8" s="97"/>
      <c r="M8" s="171"/>
    </row>
    <row r="9" spans="1:14" customFormat="1" ht="15.75">
      <c r="A9" s="796">
        <v>2009</v>
      </c>
      <c r="B9" s="790">
        <v>1687099942.1400001</v>
      </c>
      <c r="C9" s="800">
        <f t="shared" si="0"/>
        <v>0.95230043356878247</v>
      </c>
      <c r="D9" s="790">
        <v>73407508.640000001</v>
      </c>
      <c r="E9" s="800">
        <f t="shared" si="1"/>
        <v>4.1435602336873975E-2</v>
      </c>
      <c r="F9" s="791">
        <v>11097268.350000001</v>
      </c>
      <c r="G9" s="800">
        <f t="shared" si="2"/>
        <v>6.263964094343601E-3</v>
      </c>
      <c r="H9" s="792">
        <f t="shared" si="3"/>
        <v>1771604719.1300001</v>
      </c>
      <c r="I9" s="97"/>
      <c r="J9" s="44"/>
      <c r="K9" s="97"/>
      <c r="L9" s="25"/>
      <c r="M9" s="171"/>
    </row>
    <row r="10" spans="1:14" customFormat="1" ht="15.75">
      <c r="A10" s="796">
        <v>2010</v>
      </c>
      <c r="B10" s="790">
        <v>1922473262.4300001</v>
      </c>
      <c r="C10" s="800">
        <f t="shared" si="0"/>
        <v>0.95304420065592299</v>
      </c>
      <c r="D10" s="790">
        <v>83809693.36999999</v>
      </c>
      <c r="E10" s="800">
        <f t="shared" si="1"/>
        <v>4.1547699926951773E-2</v>
      </c>
      <c r="F10" s="791">
        <v>10909175.590000002</v>
      </c>
      <c r="G10" s="800">
        <f t="shared" si="2"/>
        <v>5.4080994171253009E-3</v>
      </c>
      <c r="H10" s="792">
        <f t="shared" si="3"/>
        <v>2017192131.3899999</v>
      </c>
      <c r="I10" s="99"/>
      <c r="J10" s="44"/>
      <c r="K10" s="99"/>
      <c r="L10" s="25"/>
      <c r="M10" s="171"/>
      <c r="N10" s="222"/>
    </row>
    <row r="11" spans="1:14" s="84" customFormat="1" ht="15.75">
      <c r="A11" s="796">
        <v>2011</v>
      </c>
      <c r="B11" s="790">
        <v>2175109581.8400002</v>
      </c>
      <c r="C11" s="800">
        <f t="shared" si="0"/>
        <v>0.95103367657376847</v>
      </c>
      <c r="D11" s="790">
        <v>94554070.570000008</v>
      </c>
      <c r="E11" s="800">
        <f t="shared" si="1"/>
        <v>4.1342333333446481E-2</v>
      </c>
      <c r="F11" s="791">
        <v>17436831.43</v>
      </c>
      <c r="G11" s="800">
        <f t="shared" si="2"/>
        <v>7.623990092785026E-3</v>
      </c>
      <c r="H11" s="792">
        <f t="shared" si="3"/>
        <v>2287100483.8400002</v>
      </c>
      <c r="I11" s="99"/>
      <c r="K11" s="99"/>
      <c r="L11" s="25"/>
      <c r="M11" s="171"/>
    </row>
    <row r="12" spans="1:14" s="84" customFormat="1" ht="15.75">
      <c r="A12" s="796">
        <v>2012</v>
      </c>
      <c r="B12" s="790">
        <v>2411674911.5</v>
      </c>
      <c r="C12" s="800">
        <f t="shared" si="0"/>
        <v>0.95211214546597178</v>
      </c>
      <c r="D12" s="790">
        <v>104789518.08999999</v>
      </c>
      <c r="E12" s="800">
        <f t="shared" si="1"/>
        <v>4.1370158314148531E-2</v>
      </c>
      <c r="F12" s="791">
        <v>16509152.34</v>
      </c>
      <c r="G12" s="800">
        <f t="shared" si="2"/>
        <v>6.5176962198795789E-3</v>
      </c>
      <c r="H12" s="792">
        <f t="shared" si="3"/>
        <v>2532973581.9300003</v>
      </c>
      <c r="I12" s="99"/>
      <c r="K12" s="99"/>
      <c r="L12" s="25"/>
      <c r="M12" s="171"/>
    </row>
    <row r="13" spans="1:14" s="84" customFormat="1" ht="15.75">
      <c r="A13" s="796">
        <v>2013</v>
      </c>
      <c r="B13" s="790">
        <v>2663186569.8199997</v>
      </c>
      <c r="C13" s="800">
        <f t="shared" si="0"/>
        <v>0.95177416884053523</v>
      </c>
      <c r="D13" s="790">
        <v>115834844.37000003</v>
      </c>
      <c r="E13" s="800">
        <f t="shared" si="1"/>
        <v>4.1397254691953878E-2</v>
      </c>
      <c r="F13" s="791">
        <v>19107235.449999999</v>
      </c>
      <c r="G13" s="800">
        <f t="shared" si="2"/>
        <v>6.8285764675109885E-3</v>
      </c>
      <c r="H13" s="792">
        <f t="shared" si="3"/>
        <v>2798128649.6399994</v>
      </c>
      <c r="I13" s="99"/>
      <c r="K13" s="99"/>
      <c r="L13" s="25"/>
      <c r="M13" s="171"/>
    </row>
    <row r="14" spans="1:14" s="84" customFormat="1" ht="15.75">
      <c r="A14" s="796">
        <v>2014</v>
      </c>
      <c r="B14" s="790">
        <v>3005088863.5</v>
      </c>
      <c r="C14" s="800">
        <f t="shared" si="0"/>
        <v>0.95169285075746779</v>
      </c>
      <c r="D14" s="790">
        <v>131454109.10000002</v>
      </c>
      <c r="E14" s="800">
        <f t="shared" si="1"/>
        <v>4.1630694304146058E-2</v>
      </c>
      <c r="F14" s="791">
        <v>21081739.099999998</v>
      </c>
      <c r="G14" s="800">
        <f t="shared" si="2"/>
        <v>6.6764549383862741E-3</v>
      </c>
      <c r="H14" s="792">
        <f t="shared" si="3"/>
        <v>3157624711.6999998</v>
      </c>
      <c r="I14" s="99"/>
      <c r="K14" s="99"/>
      <c r="L14" s="25"/>
      <c r="M14" s="171"/>
    </row>
    <row r="15" spans="1:14" s="84" customFormat="1" ht="15.75">
      <c r="A15" s="796" t="s">
        <v>636</v>
      </c>
      <c r="B15" s="790">
        <v>267983569.22999999</v>
      </c>
      <c r="C15" s="800">
        <f t="shared" ref="C15" si="4">B15/H15</f>
        <v>0.9545079078098081</v>
      </c>
      <c r="D15" s="790">
        <v>11225916.75</v>
      </c>
      <c r="E15" s="800">
        <f t="shared" si="1"/>
        <v>3.9984639136935722E-2</v>
      </c>
      <c r="F15" s="791">
        <v>1546249.03</v>
      </c>
      <c r="G15" s="800">
        <f t="shared" si="2"/>
        <v>5.5074530532561537E-3</v>
      </c>
      <c r="H15" s="792">
        <f>B15+D15+F15</f>
        <v>280755735.00999999</v>
      </c>
      <c r="I15" s="99"/>
      <c r="K15" s="99"/>
      <c r="L15" s="25"/>
      <c r="M15" s="1227"/>
    </row>
    <row r="16" spans="1:14" customFormat="1" ht="15.75">
      <c r="A16" s="789" t="s">
        <v>23</v>
      </c>
      <c r="B16" s="797">
        <f>SUM(B5:B15)</f>
        <v>19824941631.079998</v>
      </c>
      <c r="C16" s="798">
        <f>B16/H16</f>
        <v>0.94963531488355835</v>
      </c>
      <c r="D16" s="797">
        <f>SUM(D5:D15)</f>
        <v>853163077.77999997</v>
      </c>
      <c r="E16" s="798">
        <f t="shared" si="1"/>
        <v>4.0867398406080419E-2</v>
      </c>
      <c r="F16" s="797">
        <f>SUM(F5:F15)</f>
        <v>198268905.69</v>
      </c>
      <c r="G16" s="798">
        <f t="shared" si="2"/>
        <v>9.4972867103611559E-3</v>
      </c>
      <c r="H16" s="799">
        <f>SUM(H5:H15)</f>
        <v>20876373614.549999</v>
      </c>
      <c r="I16" s="98"/>
      <c r="J16" s="98"/>
      <c r="K16" s="98"/>
      <c r="L16" s="44"/>
      <c r="M16" s="44"/>
    </row>
    <row r="17" spans="3:14" customFormat="1">
      <c r="C17" s="25"/>
      <c r="D17" s="25"/>
      <c r="E17" s="25"/>
      <c r="F17" s="25"/>
      <c r="G17" s="25"/>
      <c r="H17" s="25"/>
      <c r="I17" s="25"/>
      <c r="J17" s="25"/>
      <c r="K17" s="25"/>
      <c r="L17" s="44"/>
      <c r="M17" s="44"/>
      <c r="N17" s="25"/>
    </row>
    <row r="18" spans="3:14" customFormat="1">
      <c r="C18" s="25"/>
      <c r="D18" s="25"/>
      <c r="E18" s="25"/>
      <c r="F18" s="25"/>
      <c r="G18" s="25"/>
      <c r="H18" s="25"/>
      <c r="I18" s="25"/>
      <c r="J18" s="25"/>
      <c r="K18" s="25"/>
      <c r="L18" s="25"/>
      <c r="M18" s="25"/>
      <c r="N18" s="25"/>
    </row>
    <row r="19" spans="3:14" customFormat="1">
      <c r="C19" s="25"/>
      <c r="D19" s="25"/>
      <c r="E19" s="25"/>
      <c r="F19" s="25"/>
      <c r="G19" s="25"/>
      <c r="H19" s="25"/>
      <c r="I19" s="25"/>
      <c r="J19" s="25"/>
      <c r="K19" s="25"/>
      <c r="L19" s="25"/>
      <c r="M19" s="25"/>
      <c r="N19" s="25"/>
    </row>
    <row r="20" spans="3:14" customFormat="1">
      <c r="C20" s="25"/>
      <c r="D20" s="25"/>
      <c r="E20" s="25"/>
      <c r="F20" s="25"/>
      <c r="G20" s="25"/>
      <c r="H20" s="25"/>
      <c r="I20" s="25"/>
      <c r="J20" s="25"/>
      <c r="K20" s="25"/>
      <c r="L20" s="25"/>
      <c r="M20" s="25"/>
      <c r="N20" s="25"/>
    </row>
    <row r="21" spans="3:14" customFormat="1">
      <c r="C21" s="25"/>
      <c r="D21" s="25"/>
      <c r="E21" s="25"/>
      <c r="F21" s="25"/>
      <c r="G21" s="25"/>
      <c r="H21" s="25"/>
      <c r="I21" s="25"/>
      <c r="J21" s="25"/>
      <c r="K21" s="25"/>
      <c r="L21" s="25"/>
      <c r="M21" s="25"/>
      <c r="N21" s="25"/>
    </row>
    <row r="22" spans="3:14" customFormat="1">
      <c r="C22" s="25"/>
      <c r="D22" s="25"/>
      <c r="E22" s="25"/>
      <c r="F22" s="25"/>
      <c r="G22" s="25"/>
      <c r="H22" s="25"/>
      <c r="I22" s="25"/>
      <c r="J22" s="25"/>
      <c r="K22" s="25"/>
      <c r="L22" s="25"/>
      <c r="M22" s="25"/>
      <c r="N22" s="25"/>
    </row>
    <row r="23" spans="3:14" customFormat="1">
      <c r="C23" s="25"/>
      <c r="D23" s="25"/>
      <c r="E23" s="25"/>
      <c r="F23" s="25"/>
      <c r="G23" s="25"/>
      <c r="H23" s="25"/>
      <c r="I23" s="25"/>
      <c r="J23" s="25"/>
      <c r="K23" s="25"/>
      <c r="L23" s="25"/>
      <c r="M23" s="25"/>
      <c r="N23" s="25"/>
    </row>
    <row r="24" spans="3:14" customFormat="1">
      <c r="C24" s="25"/>
      <c r="D24" s="25"/>
      <c r="E24" s="25"/>
      <c r="F24" s="25"/>
      <c r="G24" s="25"/>
      <c r="H24" s="25"/>
      <c r="I24" s="25"/>
      <c r="J24" s="25"/>
      <c r="K24" s="25"/>
      <c r="L24" s="25"/>
      <c r="M24" s="25"/>
      <c r="N24" s="25"/>
    </row>
    <row r="25" spans="3:14" customFormat="1">
      <c r="C25" s="25"/>
      <c r="D25" s="25"/>
      <c r="E25" s="25"/>
      <c r="F25" s="25"/>
      <c r="G25" s="25"/>
      <c r="H25" s="25"/>
      <c r="I25" s="25"/>
      <c r="J25" s="25"/>
      <c r="K25" s="25"/>
      <c r="L25" s="25"/>
      <c r="M25" s="25"/>
      <c r="N25" s="25"/>
    </row>
    <row r="26" spans="3:14" customFormat="1">
      <c r="C26" s="25"/>
      <c r="D26" s="25"/>
      <c r="E26" s="25"/>
      <c r="F26" s="25"/>
      <c r="G26" s="25"/>
      <c r="H26" s="25"/>
      <c r="I26" s="25"/>
      <c r="J26" s="25"/>
      <c r="K26" s="25"/>
      <c r="L26" s="25"/>
      <c r="M26" s="25"/>
      <c r="N26" s="25"/>
    </row>
    <row r="27" spans="3:14" customFormat="1">
      <c r="C27" s="25"/>
      <c r="D27" s="25"/>
      <c r="E27" s="25"/>
      <c r="F27" s="25"/>
      <c r="G27" s="25"/>
      <c r="H27" s="25"/>
      <c r="I27" s="25"/>
      <c r="J27" s="25"/>
      <c r="K27" s="25"/>
      <c r="L27" s="25"/>
      <c r="M27" s="25"/>
      <c r="N27" s="25"/>
    </row>
    <row r="28" spans="3:14" customFormat="1">
      <c r="C28" s="25"/>
      <c r="D28" s="25"/>
      <c r="E28" s="25"/>
      <c r="F28" s="25"/>
      <c r="G28" s="25"/>
      <c r="H28" s="25"/>
      <c r="I28" s="25"/>
      <c r="J28" s="25"/>
      <c r="K28" s="25"/>
      <c r="L28" s="25"/>
      <c r="M28" s="25"/>
      <c r="N28" s="25"/>
    </row>
    <row r="29" spans="3:14" customFormat="1">
      <c r="C29" s="25"/>
      <c r="D29" s="25"/>
      <c r="E29" s="25"/>
      <c r="F29" s="25"/>
      <c r="G29" s="25"/>
      <c r="H29" s="25"/>
      <c r="I29" s="25"/>
      <c r="J29" s="25"/>
      <c r="K29" s="25"/>
      <c r="L29" s="25"/>
      <c r="M29" s="25"/>
      <c r="N29" s="25"/>
    </row>
    <row r="30" spans="3:14" customFormat="1">
      <c r="C30" s="25"/>
      <c r="D30" s="25"/>
      <c r="E30" s="25"/>
      <c r="F30" s="25"/>
      <c r="G30" s="25"/>
      <c r="H30" s="25"/>
      <c r="I30" s="25"/>
      <c r="J30" s="25"/>
      <c r="K30" s="25"/>
      <c r="L30" s="25"/>
      <c r="M30" s="25"/>
      <c r="N30" s="25"/>
    </row>
    <row r="31" spans="3:14" customFormat="1">
      <c r="C31" s="25"/>
      <c r="D31" s="25"/>
      <c r="E31" s="25"/>
      <c r="F31" s="25"/>
      <c r="G31" s="25"/>
      <c r="H31" s="25"/>
      <c r="I31" s="25"/>
      <c r="J31" s="25"/>
      <c r="K31" s="25"/>
      <c r="L31" s="25"/>
      <c r="M31" s="25"/>
      <c r="N31" s="25"/>
    </row>
    <row r="32" spans="3:14" customFormat="1">
      <c r="C32" s="25"/>
      <c r="D32" s="25"/>
      <c r="E32" s="25"/>
      <c r="F32" s="25"/>
      <c r="G32" s="25"/>
      <c r="H32" s="25"/>
      <c r="I32" s="25"/>
      <c r="J32" s="25"/>
      <c r="K32" s="25"/>
      <c r="L32" s="25"/>
      <c r="M32" s="25"/>
      <c r="N32" s="25"/>
    </row>
    <row r="33" spans="3:14" customFormat="1">
      <c r="C33" s="25"/>
      <c r="D33" s="25"/>
      <c r="E33" s="25"/>
      <c r="F33" s="25"/>
      <c r="G33" s="25"/>
      <c r="H33" s="25"/>
      <c r="I33" s="25"/>
      <c r="J33" s="25"/>
      <c r="K33" s="25"/>
      <c r="L33" s="25"/>
      <c r="M33" s="25"/>
      <c r="N33" s="25"/>
    </row>
    <row r="34" spans="3:14" customFormat="1">
      <c r="C34" s="25"/>
      <c r="D34" s="25"/>
      <c r="E34" s="25"/>
      <c r="F34" s="25"/>
      <c r="G34" s="25"/>
      <c r="H34" s="25"/>
      <c r="I34" s="25"/>
      <c r="J34" s="25"/>
      <c r="K34" s="25"/>
      <c r="L34" s="25"/>
      <c r="M34" s="25"/>
      <c r="N34" s="25"/>
    </row>
    <row r="35" spans="3:14" customFormat="1">
      <c r="C35" s="25"/>
      <c r="D35" s="25"/>
      <c r="E35" s="25"/>
      <c r="F35" s="25"/>
      <c r="G35" s="25"/>
      <c r="H35" s="25"/>
      <c r="I35" s="25"/>
      <c r="J35" s="25"/>
      <c r="K35" s="25"/>
      <c r="L35" s="25"/>
      <c r="M35" s="25"/>
      <c r="N35" s="25"/>
    </row>
    <row r="36" spans="3:14" customFormat="1">
      <c r="J36" s="84"/>
      <c r="K36" s="84"/>
    </row>
    <row r="37" spans="3:14" customFormat="1">
      <c r="J37" s="84"/>
      <c r="K37" s="84"/>
    </row>
    <row r="38" spans="3:14" customFormat="1">
      <c r="J38" s="84"/>
      <c r="K38" s="84"/>
    </row>
    <row r="39" spans="3:14" customFormat="1">
      <c r="J39" s="84"/>
      <c r="K39" s="84"/>
    </row>
    <row r="40" spans="3:14" customFormat="1">
      <c r="J40" s="84"/>
      <c r="K40" s="84"/>
    </row>
    <row r="41" spans="3:14" customFormat="1">
      <c r="J41" s="84"/>
      <c r="K41" s="84"/>
    </row>
    <row r="42" spans="3:14" customFormat="1">
      <c r="J42" s="84"/>
      <c r="K42" s="84"/>
    </row>
    <row r="43" spans="3:14" customFormat="1">
      <c r="J43" s="84"/>
      <c r="K43" s="84"/>
    </row>
    <row r="44" spans="3:14" customFormat="1">
      <c r="J44" s="84"/>
      <c r="K44" s="84"/>
    </row>
    <row r="45" spans="3:14" customFormat="1">
      <c r="J45" s="84"/>
      <c r="K45" s="84"/>
    </row>
    <row r="46" spans="3:14" customFormat="1">
      <c r="J46" s="84"/>
      <c r="K46" s="84"/>
    </row>
    <row r="47" spans="3:14" customFormat="1">
      <c r="J47" s="84"/>
      <c r="K47" s="84"/>
    </row>
    <row r="48" spans="3:14" customFormat="1">
      <c r="J48" s="84"/>
      <c r="K48" s="84"/>
    </row>
    <row r="49" spans="10:11" customFormat="1">
      <c r="J49" s="84"/>
      <c r="K49" s="84"/>
    </row>
    <row r="50" spans="10:11" customFormat="1">
      <c r="J50" s="84"/>
      <c r="K50" s="84"/>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3"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zoomScale="70" zoomScaleNormal="100" zoomScaleSheetLayoutView="70" workbookViewId="0">
      <selection activeCell="P39" sqref="P39"/>
    </sheetView>
  </sheetViews>
  <sheetFormatPr baseColWidth="10" defaultColWidth="11.42578125" defaultRowHeight="15"/>
  <cols>
    <col min="1" max="1" width="11.85546875" style="60" customWidth="1"/>
    <col min="2" max="2" width="23.28515625" style="60" customWidth="1"/>
    <col min="3" max="3" width="10.42578125" style="60" bestFit="1" customWidth="1"/>
    <col min="4" max="4" width="18.5703125" style="60" customWidth="1"/>
    <col min="5" max="5" width="11.85546875" style="60" customWidth="1"/>
    <col min="6" max="6" width="21.85546875" style="60" customWidth="1"/>
    <col min="7" max="7" width="11.85546875" style="60" customWidth="1"/>
    <col min="8" max="8" width="22.42578125" style="60" customWidth="1"/>
    <col min="9" max="9" width="8.42578125" style="60" customWidth="1"/>
    <col min="10" max="10" width="12.5703125" style="60" bestFit="1" customWidth="1"/>
    <col min="11" max="11" width="16.28515625" style="60" bestFit="1" customWidth="1"/>
    <col min="12" max="12" width="15.140625" style="60" customWidth="1"/>
    <col min="13" max="13" width="8.42578125" style="60" customWidth="1"/>
    <col min="14" max="14" width="4.28515625" style="60" customWidth="1"/>
    <col min="15" max="16384" width="11.42578125" style="60"/>
  </cols>
  <sheetData>
    <row r="1" spans="1:14" customFormat="1" ht="61.5" customHeight="1">
      <c r="A1" s="1884"/>
      <c r="B1" s="1884"/>
      <c r="C1" s="1884"/>
      <c r="D1" s="1884"/>
      <c r="E1" s="1884"/>
      <c r="F1" s="1884"/>
      <c r="G1" s="1884"/>
      <c r="H1" s="1884"/>
      <c r="I1" s="1884"/>
      <c r="J1" s="1884"/>
      <c r="K1" s="1884"/>
      <c r="L1" s="1884"/>
    </row>
    <row r="2" spans="1:14" s="84" customFormat="1" ht="12" customHeight="1">
      <c r="A2" s="81"/>
      <c r="B2" s="81"/>
      <c r="C2" s="81"/>
      <c r="D2" s="81"/>
      <c r="E2" s="81"/>
      <c r="F2" s="81"/>
      <c r="G2" s="81"/>
      <c r="H2" s="81"/>
      <c r="I2" s="81"/>
      <c r="J2" s="81"/>
      <c r="K2" s="81"/>
      <c r="L2" s="81"/>
    </row>
    <row r="3" spans="1:14" customFormat="1" ht="16.5" customHeight="1">
      <c r="A3" s="81"/>
      <c r="B3" s="1885" t="s">
        <v>147</v>
      </c>
      <c r="C3" s="1886"/>
      <c r="D3" s="1886"/>
      <c r="E3" s="1886"/>
      <c r="F3" s="1886"/>
      <c r="G3" s="1886"/>
      <c r="H3" s="1887"/>
      <c r="I3" s="81"/>
      <c r="J3" s="81"/>
      <c r="K3" s="81"/>
      <c r="L3" s="81"/>
    </row>
    <row r="4" spans="1:14" customFormat="1" ht="20.25" customHeight="1">
      <c r="A4" s="550" t="s">
        <v>48</v>
      </c>
      <c r="B4" s="736" t="s">
        <v>137</v>
      </c>
      <c r="C4" s="736" t="s">
        <v>164</v>
      </c>
      <c r="D4" s="736" t="s">
        <v>138</v>
      </c>
      <c r="E4" s="736" t="s">
        <v>164</v>
      </c>
      <c r="F4" s="804" t="s">
        <v>139</v>
      </c>
      <c r="G4" s="736" t="s">
        <v>164</v>
      </c>
      <c r="H4" s="809" t="s">
        <v>23</v>
      </c>
      <c r="I4" s="82"/>
      <c r="J4" s="82"/>
      <c r="K4" s="82"/>
      <c r="L4" s="81"/>
    </row>
    <row r="5" spans="1:14" s="84" customFormat="1" ht="15.75">
      <c r="A5" s="739" t="s">
        <v>600</v>
      </c>
      <c r="B5" s="801">
        <v>234573171.84</v>
      </c>
      <c r="C5" s="1222">
        <f t="shared" ref="C5:C16" si="0">B5/H5</f>
        <v>0.95363009433824242</v>
      </c>
      <c r="D5" s="1223">
        <v>10307327.189999999</v>
      </c>
      <c r="E5" s="1222">
        <f t="shared" ref="E5:E17" si="1">D5/H5</f>
        <v>4.1903246323835144E-2</v>
      </c>
      <c r="F5" s="1223">
        <v>1098705.31</v>
      </c>
      <c r="G5" s="1222">
        <f t="shared" ref="G5:G17" si="2">F5/H5</f>
        <v>4.4666593379224691E-3</v>
      </c>
      <c r="H5" s="810">
        <f t="shared" ref="H5" si="3">+F5+D5+B5</f>
        <v>245979204.34</v>
      </c>
      <c r="I5" s="82"/>
      <c r="J5" s="105"/>
      <c r="K5" s="105"/>
      <c r="L5" s="81"/>
    </row>
    <row r="6" spans="1:14" s="84" customFormat="1" ht="15.75">
      <c r="A6" s="739" t="s">
        <v>601</v>
      </c>
      <c r="B6" s="801">
        <v>232651592.21000001</v>
      </c>
      <c r="C6" s="1224">
        <f t="shared" si="0"/>
        <v>0.95315224176511715</v>
      </c>
      <c r="D6" s="1225">
        <v>10306691.65</v>
      </c>
      <c r="E6" s="1222">
        <f t="shared" si="1"/>
        <v>4.2225570683014899E-2</v>
      </c>
      <c r="F6" s="1225">
        <v>1128213.57</v>
      </c>
      <c r="G6" s="1222">
        <f t="shared" si="2"/>
        <v>4.622187551867973E-3</v>
      </c>
      <c r="H6" s="810">
        <f>+F6+D6+B6</f>
        <v>244086497.43000001</v>
      </c>
      <c r="I6" s="82"/>
      <c r="J6" s="105"/>
      <c r="K6" s="105"/>
      <c r="L6" s="81"/>
    </row>
    <row r="7" spans="1:14" s="84" customFormat="1" ht="15.75">
      <c r="A7" s="739" t="s">
        <v>602</v>
      </c>
      <c r="B7" s="801">
        <v>239434115.91</v>
      </c>
      <c r="C7" s="1224">
        <f t="shared" si="0"/>
        <v>0.9500714352455627</v>
      </c>
      <c r="D7" s="1225">
        <v>10665164.949999999</v>
      </c>
      <c r="E7" s="1222">
        <f t="shared" si="1"/>
        <v>4.2319234803556149E-2</v>
      </c>
      <c r="F7" s="1225">
        <v>1917680.21</v>
      </c>
      <c r="G7" s="1222">
        <f t="shared" si="2"/>
        <v>7.6093299508811505E-3</v>
      </c>
      <c r="H7" s="810">
        <f t="shared" ref="H7:H17" si="4">+F7+D7+B7</f>
        <v>252016961.06999999</v>
      </c>
      <c r="I7" s="82"/>
      <c r="J7" s="105"/>
      <c r="K7" s="105"/>
      <c r="L7" s="81"/>
    </row>
    <row r="8" spans="1:14" s="84" customFormat="1" ht="15.75">
      <c r="A8" s="739" t="s">
        <v>603</v>
      </c>
      <c r="B8" s="801">
        <v>255854609.08000001</v>
      </c>
      <c r="C8" s="1224">
        <f t="shared" si="0"/>
        <v>0.95073399976699169</v>
      </c>
      <c r="D8" s="1225">
        <v>10742172.02</v>
      </c>
      <c r="E8" s="1222">
        <f t="shared" si="1"/>
        <v>3.9916998984240712E-2</v>
      </c>
      <c r="F8" s="1225">
        <v>2515935.12</v>
      </c>
      <c r="G8" s="1222">
        <f t="shared" si="2"/>
        <v>9.3490012487675231E-3</v>
      </c>
      <c r="H8" s="810">
        <f t="shared" si="4"/>
        <v>269112716.22000003</v>
      </c>
      <c r="I8" s="82"/>
      <c r="J8" s="105"/>
      <c r="K8" s="105"/>
      <c r="L8" s="81"/>
    </row>
    <row r="9" spans="1:14" s="84" customFormat="1" ht="15.75">
      <c r="A9" s="739" t="s">
        <v>604</v>
      </c>
      <c r="B9" s="801">
        <v>246457707.78999999</v>
      </c>
      <c r="C9" s="1224">
        <f t="shared" si="0"/>
        <v>0.95268492186145948</v>
      </c>
      <c r="D9" s="1225">
        <v>10778791.35</v>
      </c>
      <c r="E9" s="1222">
        <f t="shared" si="1"/>
        <v>4.1665533965711828E-2</v>
      </c>
      <c r="F9" s="1225">
        <v>1461525.92</v>
      </c>
      <c r="G9" s="1222">
        <f t="shared" si="2"/>
        <v>5.649544172828638E-3</v>
      </c>
      <c r="H9" s="810">
        <f t="shared" si="4"/>
        <v>258698025.06</v>
      </c>
      <c r="I9" s="82"/>
      <c r="J9" s="105"/>
      <c r="K9" s="105"/>
      <c r="L9" s="81"/>
    </row>
    <row r="10" spans="1:14" s="84" customFormat="1" ht="15.75">
      <c r="A10" s="739" t="s">
        <v>605</v>
      </c>
      <c r="B10" s="801">
        <v>248201728.63</v>
      </c>
      <c r="C10" s="1224">
        <f t="shared" si="0"/>
        <v>0.95028876681747421</v>
      </c>
      <c r="D10" s="1225">
        <v>11065464.439999999</v>
      </c>
      <c r="E10" s="1222">
        <f t="shared" si="1"/>
        <v>4.2366290577394564E-2</v>
      </c>
      <c r="F10" s="1225">
        <v>1918393.14</v>
      </c>
      <c r="G10" s="1222">
        <f t="shared" si="2"/>
        <v>7.3449426051312109E-3</v>
      </c>
      <c r="H10" s="810">
        <f t="shared" si="4"/>
        <v>261185586.21000001</v>
      </c>
      <c r="I10" s="82"/>
      <c r="J10" s="105"/>
      <c r="K10" s="105"/>
      <c r="L10" s="81"/>
    </row>
    <row r="11" spans="1:14" s="84" customFormat="1" ht="15.75">
      <c r="A11" s="739" t="s">
        <v>606</v>
      </c>
      <c r="B11" s="801">
        <v>261292751.96000001</v>
      </c>
      <c r="C11" s="1224">
        <f t="shared" si="0"/>
        <v>0.94958824295352739</v>
      </c>
      <c r="D11" s="1225">
        <v>11037504.050000001</v>
      </c>
      <c r="E11" s="1222">
        <f t="shared" si="1"/>
        <v>4.0112417963420736E-2</v>
      </c>
      <c r="F11" s="1225">
        <v>2834010.08</v>
      </c>
      <c r="G11" s="1222">
        <f t="shared" si="2"/>
        <v>1.0299339083051791E-2</v>
      </c>
      <c r="H11" s="810">
        <f t="shared" si="4"/>
        <v>275164266.09000003</v>
      </c>
      <c r="I11" s="82"/>
      <c r="J11" s="105"/>
      <c r="K11" s="105"/>
      <c r="L11" s="81"/>
    </row>
    <row r="12" spans="1:14" s="84" customFormat="1" ht="15.75">
      <c r="A12" s="739" t="s">
        <v>607</v>
      </c>
      <c r="B12" s="801">
        <v>245391197.81999999</v>
      </c>
      <c r="C12" s="1224">
        <f t="shared" si="0"/>
        <v>0.95237300179743056</v>
      </c>
      <c r="D12" s="1225">
        <v>10992035.460000001</v>
      </c>
      <c r="E12" s="1222">
        <f t="shared" si="1"/>
        <v>4.2660526945970147E-2</v>
      </c>
      <c r="F12" s="1225">
        <v>1279675.43</v>
      </c>
      <c r="G12" s="1222">
        <f t="shared" si="2"/>
        <v>4.9664712565993608E-3</v>
      </c>
      <c r="H12" s="810">
        <f t="shared" si="4"/>
        <v>257662908.70999998</v>
      </c>
      <c r="I12" s="82"/>
      <c r="J12" s="105"/>
      <c r="K12" s="1488"/>
      <c r="L12" s="81"/>
      <c r="N12" s="105"/>
    </row>
    <row r="13" spans="1:14" s="84" customFormat="1" ht="15.75">
      <c r="A13" s="739" t="s">
        <v>608</v>
      </c>
      <c r="B13" s="801">
        <v>261220667.27000001</v>
      </c>
      <c r="C13" s="1224">
        <f t="shared" si="0"/>
        <v>0.95112505939191816</v>
      </c>
      <c r="D13" s="1225">
        <v>11145078.220000001</v>
      </c>
      <c r="E13" s="1222">
        <f t="shared" si="1"/>
        <v>4.0580109126543362E-2</v>
      </c>
      <c r="F13" s="1225">
        <v>2278124.62</v>
      </c>
      <c r="G13" s="1222">
        <f t="shared" si="2"/>
        <v>8.2948314815385043E-3</v>
      </c>
      <c r="H13" s="810">
        <f t="shared" si="4"/>
        <v>274643870.11000001</v>
      </c>
      <c r="I13" s="82"/>
      <c r="J13" s="105"/>
      <c r="K13" s="105"/>
      <c r="L13" s="81"/>
    </row>
    <row r="14" spans="1:14" s="84" customFormat="1" ht="15.75">
      <c r="A14" s="739" t="s">
        <v>571</v>
      </c>
      <c r="B14" s="802">
        <v>258895516.99000001</v>
      </c>
      <c r="C14" s="1224">
        <f t="shared" si="0"/>
        <v>0.95114920628177935</v>
      </c>
      <c r="D14" s="1225">
        <v>11376463.4</v>
      </c>
      <c r="E14" s="1222">
        <f t="shared" si="1"/>
        <v>4.179567981326486E-2</v>
      </c>
      <c r="F14" s="1225">
        <v>1920347.88</v>
      </c>
      <c r="G14" s="1222">
        <f t="shared" si="2"/>
        <v>7.055113904955908E-3</v>
      </c>
      <c r="H14" s="810">
        <f t="shared" si="4"/>
        <v>272192328.26999998</v>
      </c>
      <c r="I14" s="82"/>
      <c r="J14" s="105"/>
      <c r="K14" s="105"/>
      <c r="L14" s="81"/>
    </row>
    <row r="15" spans="1:14" s="84" customFormat="1" ht="15.75">
      <c r="A15" s="739" t="s">
        <v>637</v>
      </c>
      <c r="B15" s="801">
        <v>260633723.61000001</v>
      </c>
      <c r="C15" s="1224">
        <f t="shared" si="0"/>
        <v>0.95371560554394097</v>
      </c>
      <c r="D15" s="1225">
        <v>11231487.220000001</v>
      </c>
      <c r="E15" s="1222">
        <f t="shared" si="1"/>
        <v>4.109845988775318E-2</v>
      </c>
      <c r="F15" s="1225">
        <v>1417224.83</v>
      </c>
      <c r="G15" s="1222">
        <f t="shared" si="2"/>
        <v>5.1859345683058014E-3</v>
      </c>
      <c r="H15" s="810">
        <f t="shared" si="4"/>
        <v>273282435.66000003</v>
      </c>
      <c r="I15" s="82"/>
      <c r="J15" s="105"/>
      <c r="K15" s="105"/>
      <c r="L15" s="81"/>
    </row>
    <row r="16" spans="1:14" s="84" customFormat="1" ht="15.75">
      <c r="A16" s="739" t="s">
        <v>635</v>
      </c>
      <c r="B16" s="801">
        <v>260482080.38999999</v>
      </c>
      <c r="C16" s="1224">
        <f t="shared" si="0"/>
        <v>0.95205469176251423</v>
      </c>
      <c r="D16" s="1225">
        <v>11805929.15</v>
      </c>
      <c r="E16" s="1222">
        <f t="shared" si="1"/>
        <v>4.3150339635819476E-2</v>
      </c>
      <c r="F16" s="1225">
        <v>1311902.99</v>
      </c>
      <c r="G16" s="1222">
        <f t="shared" si="2"/>
        <v>4.794968601666315E-3</v>
      </c>
      <c r="H16" s="810">
        <f t="shared" si="4"/>
        <v>273599912.52999997</v>
      </c>
      <c r="I16" s="82"/>
      <c r="J16" s="105"/>
      <c r="K16" s="105"/>
      <c r="L16" s="81"/>
    </row>
    <row r="17" spans="1:12" s="84" customFormat="1" ht="15.75">
      <c r="A17" s="739" t="s">
        <v>636</v>
      </c>
      <c r="B17" s="801">
        <v>267983569.22999999</v>
      </c>
      <c r="C17" s="1224">
        <f>B17/H17</f>
        <v>0.9545079078098081</v>
      </c>
      <c r="D17" s="1225">
        <v>11225916.75</v>
      </c>
      <c r="E17" s="1222">
        <f t="shared" si="1"/>
        <v>3.9984639136935722E-2</v>
      </c>
      <c r="F17" s="1225">
        <v>1546249.03</v>
      </c>
      <c r="G17" s="1222">
        <f t="shared" si="2"/>
        <v>5.5074530532561537E-3</v>
      </c>
      <c r="H17" s="810">
        <f t="shared" si="4"/>
        <v>280755735.00999999</v>
      </c>
      <c r="I17" s="82"/>
      <c r="K17" s="105"/>
      <c r="L17" s="81"/>
    </row>
    <row r="18" spans="1:12" customFormat="1" ht="15.75">
      <c r="A18" s="808" t="s">
        <v>23</v>
      </c>
      <c r="B18" s="805">
        <f>SUM(B5:B17)</f>
        <v>3273072432.73</v>
      </c>
      <c r="C18" s="806">
        <f>B18/H18</f>
        <v>0.95192270996707928</v>
      </c>
      <c r="D18" s="805">
        <f>SUM(D5:D17)</f>
        <v>142680025.85000002</v>
      </c>
      <c r="E18" s="806">
        <f>D18/H18</f>
        <v>4.149628816861229E-2</v>
      </c>
      <c r="F18" s="807">
        <f>SUM(F5:F17)</f>
        <v>22627988.129999999</v>
      </c>
      <c r="G18" s="1226">
        <f>F18/H18</f>
        <v>6.5810018643083822E-3</v>
      </c>
      <c r="H18" s="685">
        <f>SUM(H5:H17)</f>
        <v>3438380446.71</v>
      </c>
      <c r="I18" s="82"/>
      <c r="J18" s="105"/>
      <c r="K18" s="106"/>
      <c r="L18" s="81"/>
    </row>
    <row r="19" spans="1:12" customFormat="1" ht="12.75" customHeight="1">
      <c r="A19" s="117"/>
      <c r="B19" s="117"/>
      <c r="C19" s="117"/>
      <c r="D19" s="117"/>
      <c r="E19" s="117"/>
      <c r="F19" s="117"/>
      <c r="G19" s="117"/>
      <c r="H19" s="117"/>
      <c r="I19" s="74"/>
      <c r="J19" s="107"/>
      <c r="K19" s="106"/>
      <c r="L19" s="81"/>
    </row>
    <row r="20" spans="1:12" customFormat="1">
      <c r="A20" s="76"/>
      <c r="B20" s="76"/>
      <c r="C20" s="74"/>
      <c r="D20" s="74"/>
      <c r="E20" s="74"/>
      <c r="F20" s="74"/>
      <c r="G20" s="74"/>
      <c r="H20" s="74"/>
      <c r="I20" s="74"/>
      <c r="J20" s="74"/>
      <c r="K20" s="74"/>
      <c r="L20" s="74"/>
    </row>
    <row r="21" spans="1:12" customFormat="1">
      <c r="A21" s="76"/>
      <c r="B21" s="76"/>
      <c r="C21" s="74"/>
      <c r="D21" s="74"/>
      <c r="E21" s="74"/>
      <c r="F21" s="74"/>
      <c r="G21" s="74"/>
      <c r="H21" s="74"/>
      <c r="I21" s="74"/>
      <c r="J21" s="74"/>
      <c r="K21" s="74"/>
      <c r="L21" s="74"/>
    </row>
    <row r="22" spans="1:12" customFormat="1">
      <c r="A22" s="76"/>
      <c r="B22" s="76"/>
      <c r="C22" s="74"/>
      <c r="D22" s="74"/>
      <c r="E22" s="74"/>
      <c r="F22" s="74"/>
      <c r="G22" s="74"/>
      <c r="H22" s="74"/>
      <c r="I22" s="74"/>
      <c r="J22" s="74"/>
      <c r="K22" s="74"/>
      <c r="L22" s="74"/>
    </row>
    <row r="23" spans="1:12" customFormat="1">
      <c r="A23" s="76"/>
      <c r="B23" s="76"/>
      <c r="C23" s="74"/>
      <c r="D23" s="74"/>
      <c r="E23" s="74"/>
      <c r="F23" s="74"/>
      <c r="G23" s="74"/>
      <c r="H23" s="74"/>
      <c r="I23" s="74"/>
      <c r="J23" s="74"/>
      <c r="K23" s="74"/>
      <c r="L23" s="74"/>
    </row>
    <row r="24" spans="1:12" customFormat="1">
      <c r="A24" s="76"/>
      <c r="B24" s="76"/>
      <c r="C24" s="74"/>
      <c r="D24" s="74"/>
      <c r="E24" s="74"/>
      <c r="F24" s="74"/>
      <c r="G24" s="74"/>
      <c r="H24" s="74"/>
      <c r="I24" s="74"/>
      <c r="J24" s="74"/>
      <c r="K24" s="74"/>
      <c r="L24" s="74"/>
    </row>
    <row r="25" spans="1:12" customFormat="1">
      <c r="A25" s="76"/>
      <c r="B25" s="76"/>
      <c r="C25" s="74"/>
      <c r="D25" s="74"/>
      <c r="E25" s="74"/>
      <c r="F25" s="74"/>
      <c r="G25" s="74"/>
      <c r="H25" s="74"/>
      <c r="I25" s="74"/>
      <c r="J25" s="74"/>
      <c r="K25" s="74"/>
      <c r="L25" s="74"/>
    </row>
    <row r="26" spans="1:12" customFormat="1">
      <c r="A26" s="76"/>
      <c r="B26" s="76"/>
      <c r="C26" s="74"/>
      <c r="D26" s="74"/>
      <c r="E26" s="74"/>
      <c r="F26" s="74"/>
      <c r="G26" s="74"/>
      <c r="H26" s="74"/>
      <c r="I26" s="74"/>
      <c r="J26" s="74"/>
      <c r="K26" s="74"/>
      <c r="L26" s="74"/>
    </row>
    <row r="27" spans="1:12" customFormat="1">
      <c r="A27" s="76"/>
      <c r="B27" s="76"/>
      <c r="C27" s="74"/>
      <c r="D27" s="74"/>
      <c r="E27" s="74"/>
      <c r="F27" s="74"/>
      <c r="G27" s="74"/>
      <c r="H27" s="74"/>
      <c r="I27" s="74"/>
      <c r="J27" s="74"/>
      <c r="K27" s="74"/>
      <c r="L27" s="74"/>
    </row>
    <row r="28" spans="1:12" customFormat="1">
      <c r="A28" s="76"/>
      <c r="B28" s="76"/>
      <c r="C28" s="74"/>
      <c r="D28" s="74"/>
      <c r="E28" s="74"/>
      <c r="F28" s="74"/>
      <c r="G28" s="74"/>
      <c r="H28" s="74"/>
      <c r="I28" s="74"/>
      <c r="J28" s="74"/>
      <c r="K28" s="74"/>
      <c r="L28" s="74"/>
    </row>
    <row r="29" spans="1:12" customFormat="1">
      <c r="A29" s="76"/>
      <c r="B29" s="76"/>
      <c r="C29" s="74"/>
      <c r="D29" s="74"/>
      <c r="E29" s="74"/>
      <c r="F29" s="74"/>
      <c r="G29" s="74"/>
      <c r="H29" s="74"/>
      <c r="I29" s="74"/>
      <c r="J29" s="74"/>
      <c r="K29" s="74"/>
      <c r="L29" s="74"/>
    </row>
    <row r="30" spans="1:12" customFormat="1">
      <c r="A30" s="76"/>
      <c r="B30" s="76"/>
      <c r="C30" s="74"/>
      <c r="D30" s="74"/>
      <c r="E30" s="74"/>
      <c r="F30" s="74"/>
      <c r="G30" s="74"/>
      <c r="H30" s="74"/>
      <c r="I30" s="74"/>
      <c r="J30" s="74"/>
      <c r="K30" s="74"/>
      <c r="L30" s="74"/>
    </row>
    <row r="31" spans="1:12" customFormat="1">
      <c r="A31" s="76"/>
      <c r="B31" s="76"/>
      <c r="C31" s="74"/>
      <c r="D31" s="74"/>
      <c r="E31" s="74"/>
      <c r="F31" s="74"/>
      <c r="G31" s="74"/>
      <c r="H31" s="74"/>
      <c r="I31" s="74"/>
      <c r="J31" s="74"/>
      <c r="K31" s="74"/>
      <c r="L31" s="74"/>
    </row>
    <row r="32" spans="1:12" customFormat="1">
      <c r="A32" s="76"/>
      <c r="B32" s="76"/>
      <c r="C32" s="74"/>
      <c r="D32" s="74"/>
      <c r="E32" s="74"/>
      <c r="F32" s="74"/>
      <c r="G32" s="74"/>
      <c r="H32" s="74"/>
      <c r="I32" s="74"/>
      <c r="J32" s="74"/>
      <c r="K32" s="74"/>
      <c r="L32" s="74"/>
    </row>
    <row r="33" spans="1:12" customFormat="1">
      <c r="A33" s="76"/>
      <c r="B33" s="76"/>
      <c r="C33" s="74"/>
      <c r="D33" s="74"/>
      <c r="E33" s="74"/>
      <c r="F33" s="74"/>
      <c r="G33" s="74"/>
      <c r="H33" s="74"/>
      <c r="I33" s="74"/>
      <c r="J33" s="74"/>
      <c r="K33" s="74"/>
      <c r="L33" s="74"/>
    </row>
    <row r="34" spans="1:12" customFormat="1">
      <c r="A34" s="76"/>
      <c r="B34" s="76"/>
      <c r="C34" s="74"/>
      <c r="D34" s="74"/>
      <c r="E34" s="74"/>
      <c r="F34" s="74"/>
      <c r="G34" s="74"/>
      <c r="H34" s="74"/>
      <c r="I34" s="74"/>
      <c r="J34" s="74"/>
      <c r="K34" s="74"/>
      <c r="L34" s="74"/>
    </row>
    <row r="35" spans="1:12" customFormat="1">
      <c r="A35" s="76"/>
      <c r="B35" s="76"/>
      <c r="C35" s="74"/>
      <c r="D35" s="74"/>
      <c r="E35" s="74"/>
      <c r="F35" s="74"/>
      <c r="G35" s="74"/>
      <c r="H35" s="74"/>
      <c r="I35" s="74"/>
      <c r="J35" s="74"/>
      <c r="K35" s="74"/>
      <c r="L35" s="74"/>
    </row>
    <row r="36" spans="1:12" customFormat="1">
      <c r="A36" s="76"/>
      <c r="B36" s="76"/>
      <c r="C36" s="74"/>
      <c r="D36" s="74"/>
      <c r="E36" s="74"/>
      <c r="F36" s="74"/>
      <c r="G36" s="74"/>
      <c r="H36" s="74"/>
      <c r="I36" s="74"/>
      <c r="J36" s="74"/>
      <c r="K36" s="74"/>
      <c r="L36" s="74"/>
    </row>
    <row r="37" spans="1:12" customFormat="1">
      <c r="A37" s="76"/>
      <c r="B37" s="76"/>
      <c r="C37" s="74"/>
      <c r="D37" s="74"/>
      <c r="E37" s="74"/>
      <c r="F37" s="74"/>
      <c r="G37" s="74"/>
      <c r="H37" s="74"/>
      <c r="I37" s="74"/>
      <c r="J37" s="74"/>
      <c r="K37" s="74"/>
      <c r="L37" s="74"/>
    </row>
    <row r="38" spans="1:12" customFormat="1">
      <c r="A38" s="76"/>
      <c r="B38" s="76"/>
      <c r="C38" s="74"/>
      <c r="D38" s="74"/>
      <c r="E38" s="74"/>
      <c r="F38" s="74"/>
      <c r="G38" s="74"/>
      <c r="H38" s="74"/>
      <c r="I38" s="74"/>
      <c r="J38" s="74"/>
      <c r="K38" s="74"/>
      <c r="L38" s="74"/>
    </row>
    <row r="39" spans="1:12" customFormat="1">
      <c r="A39" s="76"/>
      <c r="B39" s="76"/>
      <c r="C39" s="74"/>
      <c r="D39" s="74"/>
      <c r="E39" s="74"/>
      <c r="F39" s="74"/>
      <c r="G39" s="74"/>
      <c r="H39" s="74"/>
      <c r="I39" s="74"/>
      <c r="J39" s="74"/>
      <c r="K39" s="74"/>
      <c r="L39" s="74"/>
    </row>
    <row r="40" spans="1:12" customFormat="1">
      <c r="A40" s="76"/>
      <c r="B40" s="76"/>
      <c r="C40" s="74"/>
      <c r="D40" s="74"/>
      <c r="E40" s="74"/>
      <c r="F40" s="74"/>
      <c r="G40" s="74"/>
      <c r="H40" s="74"/>
      <c r="I40" s="74"/>
      <c r="J40" s="74"/>
      <c r="K40" s="74"/>
      <c r="L40" s="74"/>
    </row>
    <row r="41" spans="1:12" customFormat="1">
      <c r="A41" s="76"/>
      <c r="B41" s="76"/>
      <c r="C41" s="74"/>
      <c r="D41" s="74"/>
      <c r="E41" s="74"/>
      <c r="F41" s="74"/>
      <c r="G41" s="74"/>
      <c r="H41" s="74"/>
      <c r="I41" s="74"/>
      <c r="J41" s="74"/>
      <c r="K41" s="74"/>
      <c r="L41" s="74"/>
    </row>
    <row r="42" spans="1:12" customFormat="1">
      <c r="A42" s="76"/>
      <c r="B42" s="76"/>
      <c r="C42" s="74"/>
      <c r="D42" s="74"/>
      <c r="E42" s="74"/>
      <c r="F42" s="74"/>
      <c r="G42" s="74"/>
      <c r="H42" s="74"/>
      <c r="I42" s="74"/>
      <c r="J42" s="74"/>
      <c r="K42" s="74"/>
      <c r="L42" s="74"/>
    </row>
    <row r="43" spans="1:12" customFormat="1">
      <c r="A43" s="76"/>
      <c r="B43" s="76"/>
      <c r="C43" s="74"/>
      <c r="D43" s="74"/>
      <c r="E43" s="74"/>
      <c r="F43" s="74"/>
      <c r="G43" s="74"/>
      <c r="H43" s="74"/>
      <c r="I43" s="74"/>
      <c r="J43" s="74"/>
      <c r="K43" s="74"/>
      <c r="L43" s="74"/>
    </row>
    <row r="44" spans="1:12" customFormat="1">
      <c r="A44" s="76"/>
      <c r="B44" s="76"/>
      <c r="C44" s="74"/>
      <c r="D44" s="74"/>
      <c r="E44" s="74"/>
      <c r="F44" s="74"/>
      <c r="G44" s="74"/>
      <c r="H44" s="74"/>
      <c r="I44" s="74"/>
      <c r="J44" s="74"/>
      <c r="K44" s="74"/>
      <c r="L44" s="74"/>
    </row>
    <row r="45" spans="1:12" customFormat="1">
      <c r="A45" s="76"/>
      <c r="B45" s="76"/>
      <c r="C45" s="74"/>
      <c r="D45" s="74"/>
      <c r="E45" s="74"/>
      <c r="F45" s="74"/>
      <c r="G45" s="74"/>
      <c r="H45" s="74"/>
      <c r="I45" s="74"/>
      <c r="J45" s="74"/>
      <c r="K45" s="74"/>
      <c r="L45" s="74"/>
    </row>
    <row r="46" spans="1:12" customFormat="1">
      <c r="A46" s="76"/>
      <c r="B46" s="76"/>
      <c r="C46" s="74"/>
      <c r="D46" s="74"/>
      <c r="E46" s="74"/>
      <c r="F46" s="74"/>
      <c r="G46" s="74"/>
      <c r="H46" s="74"/>
      <c r="I46" s="74"/>
      <c r="J46" s="74"/>
      <c r="K46" s="74"/>
      <c r="L46" s="74"/>
    </row>
    <row r="47" spans="1:12" customFormat="1">
      <c r="C47" s="25"/>
      <c r="D47" s="25"/>
      <c r="E47" s="25"/>
      <c r="F47" s="25"/>
      <c r="G47" s="25"/>
      <c r="H47" s="25"/>
      <c r="I47" s="25"/>
      <c r="J47" s="25"/>
      <c r="K47" s="25"/>
      <c r="L47" s="25"/>
    </row>
    <row r="48" spans="1:12" customFormat="1">
      <c r="C48" s="25"/>
      <c r="D48" s="25"/>
      <c r="E48" s="25"/>
      <c r="F48" s="25"/>
      <c r="G48" s="25"/>
      <c r="H48" s="25"/>
      <c r="I48" s="25"/>
      <c r="J48" s="25"/>
      <c r="K48" s="25"/>
      <c r="L48" s="25"/>
    </row>
    <row r="49" spans="3:12" customFormat="1">
      <c r="C49" s="25"/>
      <c r="D49" s="25"/>
      <c r="E49" s="25"/>
      <c r="F49" s="25"/>
      <c r="G49" s="25"/>
      <c r="H49" s="25"/>
      <c r="I49" s="25"/>
      <c r="J49" s="25"/>
      <c r="K49" s="25"/>
      <c r="L49" s="25"/>
    </row>
    <row r="50" spans="3:12">
      <c r="C50" s="61"/>
      <c r="D50" s="61"/>
      <c r="E50" s="61"/>
      <c r="F50" s="61"/>
      <c r="G50" s="61"/>
      <c r="H50" s="61"/>
      <c r="I50" s="61"/>
      <c r="J50" s="61"/>
      <c r="K50" s="61"/>
      <c r="L50" s="61"/>
    </row>
    <row r="51" spans="3:12">
      <c r="C51" s="61"/>
      <c r="D51" s="61"/>
      <c r="E51" s="61"/>
      <c r="F51" s="61"/>
      <c r="G51" s="61"/>
      <c r="H51" s="61"/>
      <c r="I51" s="61"/>
      <c r="J51" s="61"/>
      <c r="K51" s="61"/>
      <c r="L51" s="61"/>
    </row>
    <row r="52" spans="3:12">
      <c r="C52" s="61"/>
      <c r="D52" s="61"/>
      <c r="E52" s="61"/>
      <c r="F52" s="61"/>
      <c r="G52" s="61"/>
      <c r="H52" s="61"/>
      <c r="I52" s="61"/>
      <c r="J52" s="61"/>
      <c r="K52" s="61"/>
      <c r="L52" s="61"/>
    </row>
    <row r="53" spans="3:12">
      <c r="C53" s="61"/>
      <c r="D53" s="61"/>
      <c r="E53" s="61"/>
      <c r="F53" s="61"/>
      <c r="G53" s="61"/>
      <c r="H53" s="61"/>
      <c r="I53" s="61"/>
      <c r="J53" s="61"/>
      <c r="K53" s="61"/>
      <c r="L53" s="61"/>
    </row>
    <row r="54" spans="3:12">
      <c r="C54" s="61"/>
      <c r="D54" s="61"/>
      <c r="E54" s="61"/>
      <c r="F54" s="61"/>
      <c r="G54" s="61"/>
      <c r="H54" s="61"/>
      <c r="I54" s="61"/>
      <c r="J54" s="61"/>
      <c r="K54" s="61"/>
      <c r="L54" s="61"/>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topLeftCell="B1" zoomScaleNormal="100" zoomScaleSheetLayoutView="100" workbookViewId="0">
      <selection activeCell="P32" sqref="P32"/>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topLeftCell="A7" zoomScale="85" zoomScaleNormal="100" zoomScaleSheetLayoutView="85" workbookViewId="0">
      <selection activeCell="L25" sqref="L25"/>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election activeCell="E41" sqref="E41"/>
    </sheetView>
  </sheetViews>
  <sheetFormatPr baseColWidth="10" defaultColWidth="11.42578125" defaultRowHeight="15"/>
  <cols>
    <col min="1" max="6" width="11.42578125" style="84"/>
    <col min="7" max="7" width="9.42578125" style="84" customWidth="1"/>
    <col min="8" max="16384" width="11.42578125" style="84"/>
  </cols>
  <sheetData>
    <row r="42" spans="14:14">
      <c r="N42" s="25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V i s u a l i z a t i o n   x m l n s : x s i = " h t t p : / / w w w . w 3 . o r g / 2 0 0 1 / X M L S c h e m a - i n s t a n c e "   x m l n s : x s d = " h t t p : / / w w w . w 3 . o r g / 2 0 0 1 / X M L S c h e m a "   x m l n s = " h t t p : / / m i c r o s o f t . d a t a . v i s u a l i z a t i o n . C l i e n t . E x c e l / 1 . 0 " > < T o u r s > < T o u r   N a m e = " P a s e o   1 "   I d = " { 6 F 8 3 4 8 7 0 - D 5 F 1 - 4 B A 9 - A 0 0 0 - B C 0 3 2 9 A 8 E E F E } "   T o u r I d = " c 5 8 b b 6 6 a - 9 9 e f - 4 8 d d - 8 5 7 2 - b 9 1 7 4 e 2 5 2 5 f e "   X m l V e r = " 1 "   M i n X m l V e r = " 1 " > < D e s c r i p t i o n > L a   d e s c r i p c i � n   d e l   p a s e o   v a   a q u � < / D e s c r i p t i o n > < I m a g e > i V B O R w 0 K G g o A A A A N S U h E U g A A A N Q A A A B 1 C A Y A A A A 2 n s 9 T A A A A A X N S R 0 I A r s 4 c 6 Q A A A A R n Q U 1 B A A C x j w v 8 Y Q U A A A A J c E h Z c w A A A 0 I A A A N C A V k U N I A A A F Z j S U R B V H h e 7 b 0 J m G R n e R 7 6 n d p O 7 V W 9 T 8 8 + I 2 l G C x J C Q i D E j h f A R G A T O 8 b Y G G 7 g Y u N r c B 4 b 4 9 g x T + Q k T + I E L 4 / t e 5 P n M b E x M R D b N z j g A B H G Y C S x S U I S S G g 0 m p F G s 0 + v 1 V 3 7 O a e W k / f 9 / n O 6 q 6 u r p 3 u k 1 g K q t + e f q j r L f / 7 l 2 / / l W J + / v + a 3 u y J d J F + e e f j + s / H U 5 y d e e W V K J v J R O X n y Z H B E p F g s a h r i 0 v H F B x v S c N f S r z W / V P U j l s h c T e R s y Z K q E 5 z Z R h i e G T L O s 4 2 Q o Y b Y H g x i q M j X H 7 P k G 4 9 b c v T C U 2 c m a p t B a c h M Q z x f E O m C 1 l u d U I t s D Y O Y h m m I I Z 7 v i A S f G 2 L I O E M M s X V E B j F M b 3 q y i I J V 7 b j I e M 6 X n Q V f d o / 4 s i P v S z Y p E h + a 8 U P 8 A I D s 0 c 8 v m 2 q o S 4 F l i c S Q I 4 M c Z K g C m O f y C Z H D O 0 Q O T Y n s G x P J 2 Q G z x c z 1 4 X 3 h Z / h 9 i C G + H 2 F 9 + u 7 q l t Q Q t U o h 5 Y v X M c E L c i d B + o 9 R 4 5 A Z 8 N E J Q v A W m C Y J p p n K i 4 x m y F y + 4 L C U m y J 1 V 2 Q i a 3 w 3 + n A R X M v 7 y G g M 4 T 9 4 1 t L f 4 T O G 2 B 4 M o 3 z b i 9 u / y y g f q X o V W 2 K o J E y 3 y 6 B p d s B 0 a 7 V F L l Q s q Y G p 2 m C I j O 1 L 3 b O k V D f M 0 c 8 E 1 F Z k m C g + y W B 7 x n w Z S Y k 0 W i I p 5 E u z k O d C 7 U R m f e S C J b t g I j L / u o d j T U u / e 0 x 4 / p D P n h y G D L W 9 2 J S h Q M / 6 X y 9 T 8 F i c 5 h k / 0 R f U P k 5 A 1 E 9 G g 5 C 5 e D O Z j 6 C J S I a l d i L S C V 8 Z 6 7 J x H E + Y 4 3 w O t d n R G U t m y q v 3 D n F p G D L U 9 m I Q Q w V k b D R J H p p j H O Z Z b 9 C A t E u t 4 C L V Y K p R s w z S R F s F G b K X I W j i M V + a g k w X y p a c X 7 b k C L T U f F U 0 P T I j 8 s 0 T F s 4 N m W m I 5 z Z W G I p + E I l 1 q W G 0 w b M N + l l P L B j G O r d k S R O m 3 6 U w M T X b M J o 4 x D O N L Q c l n k n Q 5 E v A z M z A / G t C I z o t 6 5 K Y i f e P p i E Y o P 0 q 0 H p D G B y e T k g 2 R e N 9 i O 3 A Q 6 c 9 W G 9 r C f M 5 y 1 C 0 N f l J R r r U A v K + r E 1 G N I G T 5 1 w F h / i B x Y r J 9 1 x C y E T q q 5 l D m 4 I m K w M c B P m R 0 U I y k 4 m 0 D D H E M 4 N n l a H U t A M j q E Z 6 C m B A h V m E Z m E Y u O D H p Z i K T z f C 8 v S P r j 9 9 y T x z i G c O z 7 q G 0 g 5 / i r 1 O B m I g p f M 0 U Y 8 S 5 h p C f X I J / z E 3 k + k z A v P M Q W W 5 9 B R k O c R F 8 a w y F D t J Z 7 o H v y 8 V 1 E p P R b s N J p z 1 6 c m X 8 A c J g 9 t m U H o + 4 x l n K D X P n g I T 9 E J J f Y P + G 9 T R / W m I p w e D 2 r o / / a D i G W c o D T R s Q 3 s y i 0 E d F a Y h n t s Y 1 G c r K b j m + x H P u g 8 V Y m D D X i T h v + D O I X 7 g 0 N f X W 0 n P F T z j D D W o M Z i G G O K p Y B B N a Q r O P 1 N 4 W h l q U A W H G O I Z x T N M g 9 v G U P 2 F f r o L P s Q Q T x Z P J 6 0 + K Y Z 6 O g s 0 x B D P B r a L p j d l K G a 7 H Q 8 a Y o j v N / T T / V Z I f x 1 D 9 W e y p V y G G O J 5 g b W 8 o f z R h 3 W 7 H g 0 x x B B b R z / / P K 1 R v i G G e L 5 h y F B D D L G N G D L U E E N s I 4 Y M N c Q Q 2 4 g h Q w 0 x x D Z i y F B D D L G N G D L U E E N s I 4 Y M N c Q Q 2 4 g h Q w 0 x x D Z i y F B D D L G N G D L U E E N s I 4 Y M N c Q Q 2 4 g h Q w 0 x x D Z i y F B D D L G N G D L U E E N s I 4 Y M N c Q Q 2 4 g h Q w 0 x x D Z i y F B D D L G N G D L U E E N s I 7 5 v G I o v G e A 7 c / n G + F S Q + G 6 p 8 O U D 2 / U C g i G G e C q w / s e 3 K p e 0 M 4 t l d S V q d S Q S 4 a Y U E Y l G + J p A v h 0 6 o r / 5 X l u + 6 X 2 7 Q D 6 x w T x j G V 9 G 0 i L p R P C C b T y j 6 o o s V M 0 L C H i s g 2 N 8 R x S Z i + d r r q V v M Q x f w D b E E E 8 3 t s R Q 8 a g H o m 6 C S G O S S j R B 1 D 5 + W 9 L w m t A S L T B S D J r C l l g k L c 1 W B C k m X j s u T S 8 i 7 S 0 w F 7 V M C B a G v 8 O 3 u F M T T e Z 8 m c r j m T F z T Q j m z b f D 8 3 p q L t 5 L p u K 9 X h v M V r N k D g x X q l t D p h r i G c G m D J W 1 u z K Z b k j O r o P C b U n H S d h g o E h E G q 0 K i L o F I v b A V N Q S C f F B u U 7 b l x Y Y y m k n Q N h M N n I y 3 N D u W l J z L O m Q 8 o E E G H M 8 a 0 k m Y Y k H b U K m I U P w L f C J m G G i F I + B u X r 4 b k t g m Z Y b I u c W f H H B e J 5 v S b U d G T L X E E 8 b 1 j E U T T p q p A w Y K C J p 2 Z W O S R I m X h L E H Y M q i C X B T H F Q P P 7 5 f h d a o Q s C x a d + N 3 u T d c B k b q f J z M R p u d A i Y D h m T g q X u H Q 7 W b E j G W k 0 H C k W s p J L R c E 4 E T X X + O J p m m y 9 W u t S 4 I A r v 3 5 8 S R y 3 o 4 z T R a Y t z 5 c 9 E 1 E 5 M F K U p h O R C 2 5 M m h 0 y s G X K t Q n C o m z l 2 i G e 3 w g Y i i a c I y O Z k u T t j h R S e Z h 1 S f F d + E j Q N m 2 o C Z p N + a Q v m R g Y C M R q 4 S + a A X P F B l E + 2 A w M R n T 9 j r j t h j I Z E Y 3 E J Q 7 z U P y o V C p V S S T i k k w m o Y H o h x l Y 4 K g w X S q + + v C C 3 P b p Y 3 i u V m s F 7 3 1 l S t 7 0 k r 3 S A q P H / R G o y o Q s w y S c B X P V 4 Q P S f O Q t I S P z e y 7 a k Y l k B 9 q T R z r Q y G 2 p N H F f J y 7 e M E A 6 x A B Y n 7 5 7 2 b d j D h i o K b t H l 6 W Y H I X f k p N u C 4 x U 7 Y g 9 p t S k B L c E p o p H f c m n c C M k / + x s Q 3 7 v H 0 5 K q d k y B A x Q 0 / z E T Z P y o y / c A e L c m C G 6 X T A m U r v d l l b L C 7 5 3 9 J 5 E I i G x W F w s U H c U 9 h / N S 8 v a G g F / 6 J N H 5 P b v z g W / D H I Q F r / / j h f K 4 X 0 w + d w F s E J M J r J 7 J Q Z T 1 G v g m b A p 6 6 h r C 8 K D v l g b p q H r + J J N W Z I b o b 3 p y 0 z 1 B E z Y m l j 0 F 8 v j U n J z M t / J S G e L 5 R r i + Y E I T S K 3 Z U O D w O T q x K B B Y u J D m X T q q 8 x E 0 B Q r p O g f g S g d E B 1 + f + y e 8 / L 3 D 8 / L t 0 8 s y / 1 P l D U d v V C S y 8 Z i I D x I e d p c h s / W g U w S g y 9 G 5 r H t p G q j V C o l u X x e Y v G 4 t D t t m I Q N a T a a Y D g y X U s 8 m I 5 M n Q 4 j i + t R B W N / 7 3 R J s t A q o y k X y Z H x V F O u 3 e 3 L R D E h I 6 k d s q d 4 j e w q H A L j p y W a j I K Z w N h N R / K 5 i E x N J 6 Q w k Z C x y b j s 3 J u Q / A S Y G h q 4 7 M z B P I Q P i c r 4 F n z G / B y 0 + a K M S E 3 8 N v 3 H D S r 5 J H H p e n m I 5 w q s T 3 z x U T 9 m R 2 W 0 K L J 3 F A S Y H J O o F 5 d Y N i p W d G 3 X k j / K T U j v t s i Z h Z p 8 4 C 8 e k A Z + R G D W J U B o 4 B D 5 u Z f v k 3 e 8 d I 9 k 4 m A q W n H g R J J b t M c p U s W F R A 1 E 5 m g 2 m y R V S Y O h 1 P T D B a v a i 6 Y i c 4 C / A 8 L t 4 F j C t g O G R B m h I U L T s A o G / O Y D j 0 o z 2 Z A p u 4 R y M a u I j O a n Z c / 0 V Z K I Q 7 U C 5 n I 8 u 9 u W 5 e Y F 5 B W V Q n I K 2 n H V 7 C R Y B j 6 z 5 p W k 7 p b h n z V Q Z p Q G / B x v p a H F R 2 R J c l K D p q O g 2 U p E s x 8 Q X 5 K I d t F M v p q b L F o E 0 o h t 3 e q i r T t R a U F j D v H 9 A e v z t 3 / Z z 0 1 m Q K Q 5 G U v D T 4 r m J Z X N S C S + c S d S I P / D 9 + b k z q P n o U n g V 4 E Y C p E q f K 2 U / P C L r p T 9 E 3 l R X g R V 0 H R 0 y W s g k g h u B J / p m J G h a p i V 0 E S u 6 0 o E p l 0 S m i o C h i I R K 5 N Q z f E T R M z f y l D h 9 Q G D G o b S b 3 g e N G e p L Z m d a b 2 P 9 4 T 3 M V G 7 d b t g f m h F M h F v q b m L 0 m x V p Q j t R a 0 V g o z O 6 8 n Q Z F 5 C G Q r m H + w 8 M A G 0 K t V 0 F P 4 U z M B F + G O V J q 7 x c Q z 1 9 v F c 8 K O a j y 0 K A 8 2 h B / A x Y 1 Z H J m N t m R 7 p q n l J Z r X g W 1 q o N 8 v r o N 2 W G j E w f U T K n k g T 5 4 Z 4 b s P 6 0 h d v 9 3 f t m Z a 0 n Z F 0 P C 1 2 F t K f W o X E C w n e 8 J b 1 Q o b E 7 V i G t 6 C j q 5 C c D U j l O j o / A m 2 U l y T O u S B 2 n + F x H + Z U Q P A 0 F R m 9 I 3 G R q H w Q W I q B j U 5 X 3 I Y j H s w 5 H 3 n E Y g k Q a V T m q 6 5 8 6 c E 5 a b S 6 y B t P A 2 c y 8 H F 4 M i k 3 X z E m 2 U x c y 0 b t o W Y g m I u / 6 X N 1 4 A / x e z w H R w h P i 8 c T K 8 E O M k i 9 X s N v E / I P k 1 h d a J g S y h m D l p r U + o T a 0 X F g 2 w J x m K B M B M + F 9 1 q o S 1 e j G W A G n H N d X + r w v S z G / V F u j g w 4 n g 8 t L q i P 3 q 4 + Y h T P h K 0 I 1 6 w p O / J 4 7 l g K Z i 7 a b Q A 0 S t n s y P l Z V 0 5 3 U u i P I V M 9 l 2 E 9 c P + 3 / Z F s k X Q l 8 R S I O p 1 Q o m R q e j U p N c 7 r h S R M l c q Q x h I F 4 U Z a k L 4 u C C m q Q Y x k L A t J X 1 a C p K R P R F M S j y S V E U M g S x 1 r c s A s M S G B V 6 E Z c R 1 M x S g S t c n H 7 z g t f / 6 P J / F s F C h A F F r h f a + e l r e 9 Z J / Y I L w u f S j Q d z Q R V W 3 F j B N R W 9 q 1 j l h Z 3 A C N 2 Q G h e 2 2 o D C A R S 4 E R O L s D Z Y M W J H O 1 4 P v U H Z Q X e V s x m J u J n G T s E f L h G u 1 k f D x b j s 3 U 5 V v H l 6 B t w 3 I x Q G P J D Q c K c v X u n H 5 X b d h m f u Y 7 8 y J D s C z U 0 s p 1 b A Q I K j 6 / 0 2 l J O p P S K C c 1 9 E a g O b x 0 p i z H v a y U m o a x h 3 h u w j r 1 2 O N + C s Q f S d P X o a m F g 4 E E 7 o A I m 1 4 F U r Y p j l u H 1 G 5 B U t v w S a b g j 9 i w 8 R 1 I d j j u Y C K 3 1 Z C l 5 g y s H T h Y K r E j k k u O S i E 1 i V w h 8 b s g 0 K 6 r z N C l 6 Q K T h 5 I 3 n y u K n b C V Y Z f q L X n / x x 6 S h 8 5 U l O 5 C 7 B 2 N y 2 + 9 5 Q p o q H E l 9 m Y d 2 r H p Q A t G d U w s m U D 5 O y h z M i K l 9 j m U m 4 E C E D G Y j S Z U M T M l K T B M D N q J z 2 E 9 a 4 2 K l K v z U s i O g 2 l s M A Q Z H 1 o F m q l e r + t z 4 g l q p o Q S / B / f / o R 8 + p 4 Z m K i r j E 5 t 8 w u v G Z N b b 5 h W o U D G Y 7 v 1 a k V q u h B s P 2 q 4 L k x C Y 3 a a w A z T x d B u e T J 3 2 p E j b g 5 t u D H j D f H s w 3 r 0 3 i N + c V d R M r k 0 i N B Q s U r X A I Y A O J b U l K U a G A b O d z 4 5 p p I 3 l Y Z j j n M k b v C U m o G c P d F q u z B r o I M g i S l 5 I 3 E w K k x A H 3 l 1 O F U I 9 I b b F I l k X F I 2 T M 1 4 R h 4 5 P i + f + N w D M r P s C P x x O W c n p A 0 m e P W B v f I z L 3 u R 7 J v I w t f p S L W 8 p G V N J q A B L U h s D 3 o S x E k N 0 G Y Q A / Q Z z 0 a l A y 3 a 6 r j Q U M w / j d O m X i z z U m 1 e q v U l Z X i W l c T N Y I f T b O p 3 t g S f w c g j 2 + M X / + w h u f d E e Q 2 j x 6 J d + f U 3 7 J I 3 v 3 i 3 M l G 1 U t E o J b / z H r Z d v Q Y z k x p Y w / / R l X N R O J I U C B d D B 8 L J L T X 1 m R f c l B x f G m q n 5 z q s x 4 4 e 8 / M j W U m D O T Y D J a 6 a g y A U f p Y r M J n w l 8 3 l V q R y G 6 Y M 2 E Z N R Q 7 o k g E j X R A 3 X H P 1 P 0 D s O C x Q i v T n l b B I Y B E Q 9 W h q J 0 z H t C z U T 8 M s r M G s j E g 2 X p R i e q e a d H y m Y X D j 4 7 j w c T L Z r E r 4 X i H Q g e Z r L U O b F u J 4 T k C 0 q 6 d V W 1 a a C / A Z i 9 C w x s S l e d c I N N P o 2 J j m F + Z Z b X r y 7 j / 9 r p x c M D 5 V m N V E P i G / c e t l 8 o r D Y 6 r 1 f A g Z 1 3 P V r 1 N N h X L x O 4 c B + J s I h w r Y X u G x E B 1 o r h b y Y H k I p 1 G X L v z C w m R B / b K T C y J P L F i 4 R k 8 P 8 R y E d e z R I 3 4 C G i I N w g Q F q Y 3 P P 0 p 8 W 4 k 9 u B I I T R h q A R I 1 i c K m / Y 9 r Q + I j M f A 7 Z 0 Y 4 4 B z I Z T B L H M x V l 3 J z X k 1 C t w r G S t J 0 w n N i Z t A 2 B n 8 r B x + m 1 W 1 K 3 Y M G w l 8 c P l s x O Q n / p o B r T f 4 h M 1 H y k 5 F J o P 2 E S d C X a V V R T h A o z c I o z M E o Z 9 v i U p q D B p a p D 0 w x f j J Q k s 5 k N L + w T q x z u V G T O x 4 9 K j N O E 7 9 J 7 D g P F V p I Z u W G v X v l w A T K 1 2 m L B 9 M s R D I Z D A E E C I V B B V o s g 2 e Q q f p N v T u P L M r H 4 E P S x y T 4 b B u M 9 F M v 3 S F v e O G 4 V D x b j s x E 0 D 5 6 e o j n I K x H j z 3 q f / O k K 2 U I X 0 p I T h W i B B / P J O T N N + 0 G M Z u g A o k h l O J J m E G h D x A y 0 m Y g E X M s x 4 I 9 5 j Y g w e G 4 0 y T k F C U y L + g R z 3 U 1 o M B z P o k b j G T H z N h R a I L x m T r A C 8 l P 7 c T o W y / h 9 o L X e 9 C Y g n + t O s q P q q R s a A i a W v j n W y a U T l + L f h L z 6 q 8 T 6 0 3 C X l x c l L + 8 p y w L V U Y y V 8 + n E p a 8 8 5 W 7 Z S y F / K G d b D B S O J U q L B e F g 9 e C G Q t m 9 D Q 6 A X M 1 Y L i Q e V m / P / n f T 8 h H v 3 J S 7 + n F O 1 8 x K e 9 9 x Q 4 w U l x O L K e l 2 o n r 9 U M 8 9 x B 9 5 Y + / + 7 b / 9 I U z c t f R k t z z + L L c + 3 h Z 7 j t R A y H X 5 e b D D G V z F o M J o z e b D Z B S O D X I m F m c c l R z W u I 5 N e m 4 d W m 5 j k R b Z S X E S I y z z A 1 4 L T U O Z 2 K Q m G z 4 P 3 Y i h W O c 1 x e B a c j 5 h G B U m H w M w c c t a D 5 Q f Q u a g 8 8 m 6 P t o U A N 5 8 / k h 0 Z I g B 4 H P Z E C E U T c 4 W 1 K B A 7 f s g G l d a E b Q N T W t 5 3 h 4 C j U k Z 4 l A I + P P b + G u N s x a l I l a i 5 q n V G / L v / v s K X n k f F 0 e m 1 1 N M 5 B E r 7 l q R C Z y C R U 4 N G H 7 h Q 2 F y U L t r A Z u O i 7 H w Z K o A 8 1 M o 2 o M 4 1 n y 9 W O L 8 p 2 T F T 3 W C w Z j X n H d N P J D 2 Z s t q b U T M K G 3 J s i G e G Y R L R / 4 i d t m y 8 E g S Y D x v C / / / I f h u 2 R b M N e M O d Y O p v 9 o R C w g G B L 2 0 Q t L 8 p 9 v P y 1 3 H Z m T b x 6 d k 6 8 f X Z A j x 0 7 J T u d B K e y 5 N s i R R G W Y w t C Y 8 U / U h E S e e g a / k 7 a t J i Q J j A G C k F n 4 n c / k W B N / U 5 O E W q C X c P t B Q j b m Z A z 3 x C S F 1 L G 6 U m q D M K G d o j j f B p M y m k c G 7 b r 4 X e 9 I J G H y J N F 7 8 J + c q i M n S m 3 5 w k O L E C B B 5 g F 2 j S b k t Y f z M p a z N U j D I E Y v k 7 P e 9 A f L z q z 6 l A z O x G P Q h n A g q R n p Z x m z 1 Z J S s y x t a 0 l 2 T 3 V k 7 1 R X 0 8 F p S 2 4 5 P C 6 X T 8 L f Q / 3 j 0 O B k + E Y b W n 3 I V M 8 5 W D 9 6 2 5 d W S I R 0 m Y C f 8 W M v G p N b b x y R J L 4 z / I 1 e V t O I z j W l L 4 m i B W l f 9 2 r y h 5 8 / J X / 3 7 S o I h 2 x i j C H b 8 u S j P 1 2 Q 6 2 6 4 W Q m K Y y 4 M u 9 P k s e G v a b S P 4 W e c I / G R q E i A / E 5 C X p X s q 9 T b f 2 w j J u o H r w + v J Q N T 4 5 R Q l g U 4 / A U w W i 4 O J g 4 Y N t R M D G T w H l 7 b q K H c T l f u f a I h f 3 b 3 j L j Q a F A z k v e X p Q g t f s W + X f K W V 7 1 A p n e Q 4 N c G R / j s B r T 1 c g P M 1 K m b s k A f J i I p S V k F M B X N Q 2 h p t C v v q 8 J H W 0 b q r T d D 8 8 V k W r I Q I E Q X / t X i j C e P l 2 O y L E P T 7 7 k G 6 8 S 5 2 T V 9 w o 7 N w c + w I a V p X p E I 6 T e R 6 C l 9 O 3 B I O L e t 4 Z X l 9 E J L f v X j Z W n C h O r F r t G o / P U H b g B D x q T e q G i I u h u B V g A y 8 T H J 2 i M r Z l E / E z 0 d I I E y s S 6 1 W l X r U m 2 3 Q O g 1 2 Z 0 t K C N Q H P B 8 O F e Q R E 4 h Q i 3 M c b J 2 l w s q Y Q Z C R W l o H k K i 7 T Z 0 o D g N B r F T C b G L q y Y u Q R + x 1 D y P t l r C d x O a o y D h d C w L f l A x N y n 5 9 K i O j 4 V t s F l b 6 P P B 4 N V K F + a m L + d b c Y E d E Z x 9 9 h C B 5 k 8 l a v q 9 6 W W h y Z / 9 M j 0 b s G r V 5 X V C j s R H Q m L i j G 8 S f c K O i 9 O p S s W Z 0 w F a 4 k / / w Z E v P u D i O v 2 p S M B X e e v L X f n x F x V h Q o E w k F f U 5 r g L G h g / 4 5 G E j G f 3 S j q R 1 y A E g x K c l B q D C a T a c J v B O p B R O L 5 E k z W d S a v p V P I c m X H q c l k a m i I w z 0 j I r H u p V N K B W k b + y G y M / I W D t s y P j F a p l N U c z h c K 2 j 6 t + b b E c z D f s m s j d x x L 4 o y N p c Z 5 D f b Q Z G y 1 X E l G c p K O j d B 7 U y Z j / j R D a Z o m 4 i Z y u h m 8 m i d n z n f k M S 9 F T z E 4 e m n Q w C d u Z S I f M 4 j J / t Q Z V e s o Y z 1 i k R Y Y q S 7 5 1 A L 8 b g d C a k L T k K E C k P g 8 j q V 4 9 G 2 6 K q l j a P V G a w n m C N c Z r V 5 O 4 u h v d B 2 j Q m r X 0 U m g E Q h f H U M h g Y S C F z K Y / y n x h m D w I 5 e c 0 I A E x 6 Q 4 A 4 P P I s O R 0 S 4 m t Q l a k J x M y r 0 k m G s y 2 t I 5 c 7 y P j M R 6 0 b z i D H W W p Y U y z k L D p C J R G U 2 k c B M j j h F l I j I L m Y 5 + G t u C 3 0 n w Z B x C o 4 z B c W p a P Y 7 8 n H l P 4 s W Y T o n q L y / L x O D N b / / N E Z k r M / B A 3 w 7 m M z 7 j E D a / / q b d q M Q Z Y V C T b U 6 B k 4 k X o e W z K n A U n I W C t u k F g x z n z 8 P H a y V h h k M I o E 0 5 X 5 L Q / / E f m t 8 w j B 7 F J 7 5 w r 4 6 9 o 7 5 M 5 H A + O M E P l p P d Y q a I + d J s 0 Z c U 9 L 2 l c x I d F A H u N N q q g 3 s X Z S R T h T D k A L o n S / U x W a j t w D m G e f g c m t s t a X c g i D h l 7 X k A a 3 l 5 U a k 6 X A x I C V y r 1 y C h H P F j I E T f U y n L c S V K 2 M 1 A J u F C Q b g Z E o N m I g G v 9 O Q m C D U E g y D j m T 3 o X K 6 / q k k q l t P o H 5 8 P 1 g S B x F e J r A c N F K / c F K m 7 b S n G G 2 A k a A 0 8 n 0 W w E 2 S K t Z K / 1 G q C c L o y a a c k Q m J F v o b H 9 T 8 F x 6 g 0 e A D J Q A Y z A s f T K o W B E 4 s 3 c U 0 H 7 m s 3 I C 5 A w V Z 8 V Y D w Y v q d s x V X f u w / f g s E 2 a P S A 3 z s v d f K n t G 2 R G L Q q D 4 I t O 2 g 7 A m d y a G R V l w D o x R l X J 0 b G a K x X J U 2 8 i + 3 b Z l Z 5 h x L m J A M x K A c t B h G U r 6 u O m b V W S Y a C + H e H Q R X D B y 7 U N f 1 Z G x z w v z f l d 2 j M Z k u Q h A x G g t w F 6 m F O h d q u r J / D M I A z 6 H Q a 6 I t O T O + 4 i Q 1 / y T y j 0 B 7 e d 0 n w G Q 5 K d W m 9 f 4 f d F i z M + d J D U p o o c Z o O j U p t 2 a l y z A t e i A k j M 2 0 B O / v t J F a H R A V J G 1 i r Z O + d X D m R B B p 4 1 q r a B o E k N F l F t R c o + n d O G b G p w b B h W Q l U 1 e a 1 C R t y a B 3 i 1 n b M H c P G p 2 W V G l + 4 T m U 0 v G Y L T Y I p B e M F H K 9 F s t C b U R t R y Z L p T I g S J Q R R A e V j C L j P t Y V T d h x z U w S R u 6 0 R d m u O H d 8 r i 5 v + / / u Q 5 1 M O 4 f g V X / 1 / h f J w Y k 0 v h l / j 1 q e X M Q o Z R f S i d p Q 5 y 4 G k 4 3 J o K r p g f k K V y E z F w g I t w X G T 0 v S z q K t y D F k 9 K A 9 U T d O s 9 K M e 1 B p t u W D n 3 x Y 7 n 2 c U 7 q C g w C b 6 2 0 v z 8 h 7 X r d H i s k d w d G t w w O j n l i Y k / l a C k K O g / M / + I C 4 J / H D N G I H o d P p H 9 X b Z Z h O j r S g 9 9 t I + g m H n G H k z c D I m M + J e G v 7 7 B J B U w 9 a D k 4 9 i Y u z L N R 3 6 z R V e t N U u h i 4 Y 1 I 6 G Z X J g i 3 5 J I e g O N O 8 t 0 B g O G 4 i 0 6 m B m c y R D p 7 X A H O d b 3 J l b i 9 M u 5 D S W t B M D F p Q i x t C Z Q L I h L y G w A d n Z c R S I H 4 b z Y v E M D z v X 6 4 1 o d F q a O v l l R S J l s W G N t 0 1 m l K z k m v C q A l p n i b i C d U y U e R N Q n c h q K g t X d f R g e 0 m P p d g t n o 6 h w v s 5 F Q g d C o w z U r i O G W k q l Q b S 9 A 8 i y D o Z a k 6 y z D L P P g 4 b d 3 M h t q W m h U s K x m U 0 w z s r y Y P w v H E L J f b w C 6 8 R N B S O D Y b k Q v l i e c N M x H W o 2 f v 9 m k + Z e 1 R N a P K z T n Y z n U Q D Q m H l 6 B x 0 d C c p 6 Z M h 8 S J n h B 4 i l 4 N p B o K D N V 2 O d s B D v a T 1 l A b g 6 a f z v m L 5 0 n q w d F V k E h c l 4 T L U H w U R N V Q 6 Z z O Z L U s L K P T B q E 5 M 6 h X C 0 S b B 9 N N S p S D y P A D j j V r 8 o L 8 Z J C b q R M Z y D A R T W I K G e Y P U z J O r Q c / a I t 1 X A C V 3 f f Y D B i z B S G G d g T T U 8 F F O 1 F 5 z Z W 7 U E 7 k g 3 b l u Z X V 0 t C i V B X c 4 4 a a n w K L k 3 / b k a 4 s w 4 + j p x l H / b j u 0 W e e E B 4 + m I R 1 4 U R l L h H h L B R q J w 8 3 V p y d M J 2 5 t A b m O K 0 I P M 9 B v p / + 5 u P y + e + Y p T q 9 2 D e e k s / 8 6 o u h H X u 0 L V I L N N G B 4 E z A 3 1 N T U q 8 2 4 C X H 5 i x 5 Y j E 4 8 D y C 9 c T M Q z 5 X r V L q 0 x z w I L m p H X r B U C 3 p S W c q o G O 5 v A N H V D D T j C L R s U l J D 2 S + N n d F Q i N H 0 V s m G L E 1 g g s J / m L Q g V q U c y y z F 4 7 1 W s l H o u f s A 0 p w m k e h P 8 A l G B y Q Z v 4 c Z C 0 1 z 4 D I o O 1 w 3 o I Q K c C c y S c n Q I R d O Q N z 9 / L s i N 6 3 B m w T J O Z I Q m L o n K F w m m J x p N 4 6 8 n t Y F y b 9 z j v 5 D w z f h a a L J O D P 0 d k g D K + u g M J L 9 + P Q 7 2 B m a A q f 1 z K a y N A 9 x 6 L 8 p m T S M c n C B F Y e i + A 5 4 C q O e 7 U 7 l t g U K O w P f J 9 f m p N O r A I m S M P 8 2 g + B w o W i B i w 2 + + z E z J J 8 5 y S u Y 5 i v B 7 l 0 Q n 7 2 F Q c h w H y p e 6 Z O r C m L x 0 S z k h v b w K J G 8 t U 6 4 B b Z R 6 D Z l v q V / f M A V r l S 8 q v O g o 6 V R M F U N L M 4 C M k p Q t R Y 9 C E y i R F d Q F h p z q M B I d 2 s j L g w j S r e P J c + Q e L B 1 y I j s K V x Y I U p 8 D t O s y e I j m 0 n J r M H U a 4 i v j E K Z T Q I l 8 c 7 T h P + D U P j c J Z x j M R M T R U S P A n b g 0 m 0 4 F y A X 5 Y F 4 d E X i q v G o x R 4 u D w n h 3 O j k q C 0 C J j I V A z A d Q S r x y l R X T y P / h S 1 Y o t T w P G c G L S E R k b x S X / L g U / D 3 y w L y 2 Z T y H A K F o 4 l w C Q s p 0 5 5 U g b k P h J G a w R P X M F M 1 Z e R D P L G O W Q F 0 x T m K s p T g K A g Q z H 8 z b V a H E S n c t O 5 k + p D N s W R G b H i b Q j L n M y U D 8 C U M 4 P E v V A G Q c Z B z 6 2 A 5 Y j R I t E 8 z b F + a F n x H z 9 5 H T 9 Z p g 0 u / 4 G G V e 0 L m 5 M Z 6 K c w d M 0 W C a N i l M b q 1 8 D 2 p k T j d B 2 a U m 6 7 J v P 1 U 5 D u H J s y k p l g + L k L i U a p S U k c Q w r P P V X w u V P Z Q 6 B 1 E C F 6 j m V m p I m E S 2 3 U y 0 C r Y D W R Y A r B s d H I J U p n 6 s k z y I P 3 u G C O U 4 2 S j E K 8 F 6 L I K 0 g 0 d U M w e t h o O s g N z 8 X z u Q A w C T 8 p n U 4 p 0 X F Z f w e C h e Y Q m c X R W D 7 M P L S f F c + C 8 D s g e j A 2 T D 8 2 b 9 e K w + d L o g 6 W 1 G A u c 6 t r m l g s D w m T Q Z Y C 9 5 x A E a j 5 u f S e Y 2 g p a K F c z M a 1 L D / K B Q a v c Q k K y u O j X g n k s + S d h g J E X X F z w 8 v L h e W D y N P U e Y j t x x q G I l G R E Y y J R 6 f V E C m J K T R B u N 6 H h M I 5 d w T D 6 7 O V E 5 B + Z q 1 Q C P W 7 k B + X f 3 O S K T d 9 4 X j W e k I f A D y K x L o G / I l b G V A j E d u R t K R s r p W a V A Z i 0 I H m Y A i a b + e X H K k 5 F A A g Z J 8 M j / M R G 5 r N l w N T N B f p 8 x k B o d f w C u T l Q U u f q 1 c k D c L N w q R N I N k M r b M d U C c X m q b V 7 u g a M u P 3 m F X L Y d 1 8 D a Y g P / y m S a l y H 7 5 M F 9 q d v M U x I F 5 K j c B N a l a 0 K h j E b T V h C S y g / G A 6 a E l O K O Z Y F V / O A B E F S 4 G R u o Q s t F z J x 5 O S g Q + n w Q W A A o J 1 q T S W N S I a i c H f 4 1 R 7 g O 1 Z d f K q o c J x q o s B N d X 2 N t + p 6 V F e n 5 H g z e 9 9 P k M Z S g m f h I V E 6 U v C o S n C 0 D N N B 2 3 S F f P J h I 8 5 f Y e g u T d b e Q I M 1 d D f / W C + b Q / 3 4 i / G i F e g 8 T Y C n 0 O f w c B w E Z 9 L I t K V t U j 0 9 x J 2 Q g c 9 u Z 9 F L y O F O L P Y l N / 6 6 y N y 9 F w N E j n M z + B l + 3 z 5 4 1 9 4 F e r n 6 g z 6 K D Q E i T k k T F J P D R r M A f E k O y k u O J F 8 h g G I O N r H U / 9 J t S G n T w 1 4 d g i 2 K 4 M 7 q J B 0 U P 5 2 N 6 q m G T U K m j E 4 3 5 U m G E r r i B M 0 E x t u G S S M z 3 Y F Z f f Q L 5 z I C y 0 J Q e C T 8 c G k H g R K H I y c g X 1 H s 4 5 L + G m y c w 8 P 5 l l H n t 0 I g x 8 M t a P / k E f F T U q p P o l 6 0 w T v 4 l q G 9 q n h O f B q 6 h G x G F 0 l x / M X h a I F o b W g 5 a a p W H O y Y P b h H M K N Y F U q S z 6 j T u x I E 7 m C B M Q n O 5 h a i X 9 k B n a + 3 o D j a 8 y f T l M u l I + r C T U I G v W D m c g 8 o g n D H G H q B 5 / B g A Z 5 W C N d 7 G M 8 l k z E A c 6 M z Q m l H E x l 9 P B i h C x y 9 + N L 8 v 6 P P Q g i o E B Y i 3 e 8 N C 7 v f s M B D V B w s u t I Z q d k U / T H e C 8 Y G k V b g C b 2 O x A a r Q S 0 g A u m g n m m v o Q R C j o X 8 S J l 4 G M 5 C M q m s v w m T D B b f a Z + s M 5 a b / X H T B v q 3 h e 4 l g s t 9 Y U M 6 J + 4 n 1 O B x F X K n J r U A l P V I R B y S u h 1 l L m F Z 5 A 5 + L o h l B Y P b 7 m e R l t j H M U F O I O h 6 a b B w O x f L i P h z H e a 8 l E w E Y + B c X H c 6 3 B 1 N D Q r m K w D g b K z W J J C k l P F o r J Q S 6 O / k 2 g 7 1 W H P P V y s U O t J b t t h z V w 4 6 5 N A Q 2 Y a R O g X A 3 0 n s 2 S 9 G h x Z C 5 o g Z C p G r l Z q i 4 6 i f 0 + J H I L M S / N Q o 8 Q 4 R 7 + L j K v a i N O S 7 H H 4 F s W L M l I I L i P / + J 1 n 5 E 9 u f z w 4 s h a / + 9 a Y X H t 4 V C O a n V Z X R p K 7 p J A Z A R G T S W L i Q K P Q R 9 m R g P Z D W b l 3 h O c 6 G j 3 M Z r n c 3 7 T T R i 3 F W n I a F B S F p D h D g e Y m u Z y B j h U E d 7 M + P A c o 6 + N r K H D I H B 7 a l y Y h F R 0 1 J C 8 g M 7 d x X 6 X t y T h M U R 9 a j H 4 v 9 B 3 q 7 g T h c r P z L q 0 O m t t c t G n y B P M 6 e B J M y D g Y b V B / B y I U w i s t u Q S H K G I 6 J Y x w P U / K T V / q L e 4 X y P V q A g b n u 7 r M 1 K S g h z c E m Z Z X U S t u J y x v X k r f m p P a 4 z B L K R H 7 w D V x h R s n J H f V y O q Q x N M A a + b 8 G T 9 J X w B S d 1 D j X g z s u B r s f W 7 O c r F p S a F 2 I 4 H R H C E R 8 1 E 6 2 I p j 2 o F s a P z U a 3 V g m E Q g 0 B w j M p b e r a b M o O l G g 8 B x l X / 5 i e / K n U d L y H 6 1 4 0 g k 2 e 6 S / M 2 H X i b F Y g 6 E M a u D o Q n h o G p K k h p o i Y u L M s 3 D c b 8 i O 8 Y i G S J s c 7 U y l 9 1 z E x b D G D z X j 8 W 6 Q L O Y d 1 P t y P t I A U O B U d f e w e + s P N Q Y 6 8 V 6 K 7 G x 7 q F G M T s 3 0 c x k 2 D + M l q r Z j P Z h p G 8 q m T E r k A P w H r P r k 4 8 y n N G t 0 t S U h e k W S 3 C 4 A 3 X x Y O r h l t i A O Y c h 0 v F C s P l n B i X q u Y a c L d B q N I T R j w y k 0 L / T T T l R 9 1 I j I s s O t T i 0 a t Q V t 5 2 C 9 j V 7 K f J Z z C m d K O v 0 K L e 1 G r 4 f B B a N 4 X h q T V p A F H b N F s z d A c Z Q p H K / L H z 2 T j l 7 x y F Y O e t n 0 T C v / A t H Z f 8 v X q M v u X i 6 Y J U W 5 3 1 G 7 C 4 F f M k Z x x s 4 Z Z + R P 0 p F b s L f 8 C r 6 + 2 J Q h m K g g v S D S o Z d F Y H j T w e f H U 5 7 X 9 d M w a z I Q 3 O M p K d x H T Q o / D Y j p S 8 O m k 9 f u + f z c n b + t O R g H u 1 O 5 S V p o / P Q I S 5 M n M u v v h 7 P o j k D / w X + R 9 2 t 4 B Q 3 y y S B R d C J u 2 U B 1 b g M z 9 Y y K U N x h n l F c s p Q D I K A a P q 0 J T v 6 m y f p b w o 0 q i 8 H J 0 R G u f c N 2 4 Q D e N C 0 6 x E w k X 4 C J F g w B T U X w + D 1 R l 2 X 1 X O F c z / x z 7 p 8 5 Z D I B O s 2 A J x d s t g 8 h / a G D w c / l u U K s y D P h v t 5 9 G Y b g R T j v o p F e 4 f 6 q G u Y i Q h N + z 7 h x t L T V U W R 1 Q + 3 Y C I z Y 6 d j y Y V l H 6 Y m Q y o t j W i 6 b Q i r i a r M w 3 w s Q 8 s 1 v L U b B L E 8 0 w V f 8 k k u y C z D b 4 v K Y s 2 M O e 4 e a Y L e b F l q J K T c 4 E b W B t G Z T 4 s c + T O p f O e V U p 7 b I 0 4 z K c u L o 8 F Z A + 4 t c u i 3 X y T p y 5 6 + m R v q Q 1 2 K Z i o 1 o J k g c H f C 5 e h x p R S M L C 3 W z y i D P V V o p B E M F f d B L L G W 2 J G c 5 F K j O k 8 t 1 B C b A 2 Y k C L n b r o E 4 X W h R z n O b h B l p Q 7 M u y X J t 3 p h K U S 7 T g I O f K C i T Z O x J K U E r c P r N D m g A M h R N J 2 q p 8 E 0 h j M p p B B Q k D R d R 9 + Q 4 v W j J R N a H E w 9 p C N 5 Z 0 6 w k R D I K T N g t A U x I s 6 0 G s 4 2 r d D m x N 6 p 7 s 6 9 t 9 D M N b m 3 m w / T L S g o C p / c s + 2 G 2 t h o w Y n S U A R / O t 2 T b K H B D l C Y h z G 9 j p U C g J C D E U j v V 3 F 4 H 1 g F t J m A M 4 + R e B F p n B r Z A G 0 2 Y n 9 2 O R o c 9 9 C 3 3 K q H 4 r M O M 5 h h b 2 Y E m 0 1 X I F K x g a m R / 9 T S E d b c K b Q n / D W 3 h M V L q e 2 D I i j G F W 3 m Z r + a g 6 a L i P / Z 7 0 j 3 5 l 5 K u v 1 D O f u / l U l k e U Y Z i U C U G I U o z s A U z d e y 1 + 2 X 6 5 6 4 K C r j 9 W D c O t R m o 2 u l b Q 5 i v A 2 3 + x c Y 5 3 S / c R A c v D Y Z w j f b i f + z 4 K O x d d n Z C c j K W 2 y 0 p E P j F B Q B X C N d B T E 0 0 I i g d t k 0 U m i F m c S w J h U a + j l u T 5 f o C / J s s N O C o E h E j Z 2 S O e x 5 f g s T s 6 H h U C d o r C 6 b J w 7 f i E v d r d u X U f H I 9 C g w L W o N R t a i c W Y 7 I 8 X l L r t 8 F w u b O t R u B g m a g l h o M P o v + E z l T l / y v a I e A k L U Z Y M Y h 3 w V o I R e M n o k l N Z z O + X 8 E L Y a 5 + h O 6 Y S m 1 P 8 F 2 X k n o J q 4 C p q r T o A u l J C 7 j J q W j m V 3 q v 6 6 D W i G 4 h 0 w V Q C 0 P t j e g W g 3 / q N 0 5 D M H n c F 8 O R k d 1 Z g n a V M 3 W F e C B r B u 1 8 4 r m Y w b 8 z n q w k C Z v / c 1 r 1 T R 3 Z a 7 q y o X 5 q j S + 9 7 v S n f l 7 y c U K k n O v l 3 J p D O W B h q x l k T s X j z K Q 5 E p u R 1 t K P / z b 0 g l 8 w u 3 G J T P U x U B t U H H m N W 1 m + v U j Z K a 2 g + J w G g 0 a n I q I D Y 9 T k p Q R K a Q m V D N c T E O R m R y Y n 2 l I W M 6 A o G / H g A n 3 Y e 9 0 2 K m Q e m 3 4 J f i e T C V h 1 s A H i a U g l c d 1 U P W 1 v / N 1 a K 3 1 T f L i / V n 5 o 5 + / B g U y R K R L O l B O + l 3 N t i W P z E T l R X u i k r Z J A H 1 Q q U 4 C R L 4 9 R N g L 1 p 8 I h Q U J l I z L 6 G s 4 8 2 P V / O o p n / o 0 + M 0 A S z Q t y 7 i e 8 Z 8 R m I j h w k l u U r p Q P 6 m + b j / o l 5 J x m W h q a 2 N D q p P B 0 t B 6 K s R 6 1 2 S F 6 E I 4 R I K x S G h u L m n p o M w s f h g 4 o t l O 3 8 8 U 2 w S n W C / W k f W h N a D z Q l l + + u B s 2 8 B / N G 0 W C B B m o A G d s P 4 B 9 L w v S + e / L c e / / u + l t n A E f p s l t 1 y b k P r y K G g H e e A e z 7 X R 7 z F p e X F J Z h p y Y d d 7 5 W z 6 7 Z r F d q N X T D x l 0 O R j 5 I x S T b d o 7 m + A P m j f 4 T 8 y E i d + 0 r d S S R m D q c c p S 1 S D y I L m H 2 n D 0 F p / n p S y b Z g E I D 4 Q T N O d h 3 k 0 r s x E 5 5 x + x E L j t H 6 W 6 4 t S b S 5 L y 2 / C 8 u I E T 0 d q 3 h I I j o T m y / E L Y L o B z E T k k x z v A R P B D 8 i m 4 j K S T 4 O Z z H I O D 1 p k V 7 a B e p s B X U M M / O x J J J o e Z u r V F j q 4 C 9 O H U p w E x 0 T T s t P u w P f j W q R e Z i L 4 P U g k Q p p m 0 Z R q p Q I Y q Y 3 n c W l K C A 6 + U 1 M w w J B N j O p U M m 7 y y e 8 M P H A / R A 6 6 M 0 j B v Q v N 8 A Z M e 6 c q F 5 Z O o N 0 W 0 J Z t W a p 5 c t 8 T Z f n a o 4 t I p e B z U e 5 C O j Z T U + Z J p z M Q A C l Y E l z M y b E 9 + G 9 I H B J g X S k g a f p x B X W j U U E d + b I H t A 8 Z K W Q m g k z J e m l i u / X W P 4 D e A 0 2 F f n V q c 8 i H / r M v Z + c 6 U m 0 v S K 2 z i L Q g X u y 8 d J K n R b J P C I x g i b f P B h l s P 7 Z V Q + n E 2 k A C U T N w f K T m l t R 3 6 Y U y E X 2 k w J b n b 9 6 j C S Y H B y J D S U 1 p 6 b c i G r Y 1 G 5 o k Q b g p Z Q I y r o 1 E z c O 4 E y V e F 8 + N w + Z u Q S p X 3 D l d o K g v 1 g Z x U v t x W 2 i b b x p J w D f C H x m P x M W 5 i p / 4 2 j n 5 v c 8 9 Z p 7 b h 3 e + e o f 8 0 g 8 d F H 2 x A c f p 2 H s g B J o 5 Z K o W p D Q R r p N S a B V Y R 0 b X z J 4 V 9 M W U W g E y C g n N a 5 m d Z l l G m k M E m Y z m E f e z W G s e s f 3 M I k p G M / n d A E + A x O 7 i 2 h q Y f t S 2 l b n 4 J M 6 u 5 6 a j u j 0 b 2 o v t H R I 3 x 6 y W n R n 4 x u d M N g G 0 j z Q 4 B C 0 c h a b K 7 J W j 5 + r y 5 3 e e k 1 O L f G e y k f 5 M 1 D A 3 H i z I L / / o A R n P r Q Z P V G g E 5 W N + h q l 4 H w / A G k G Z 7 G Q 4 D M E 6 m v s u B V 0 w 5 M k H P i o n 7 v k j 5 A k f L R 6 R X e N r A y 1 r g B O Z m z 4 h 8 5 G b Z L 5 u 3 n W 2 2 o Z P H U + J o T i 1 5 / Q C p + E E j Q R w D I g L 1 q 7 a k 5 Q r p n K q t Z o e t A L s X a 6 x o i l I p u M A L t s v t N s Z Q i d x s 8 F N Z 7 H u c J S h E z y u J O W g I y Q n 9 5 7 g f u Z k W D r N m X g O z j i 3 Y + b y D B A T / D e 3 2 8 C z G o H m M d B n c h 6 i Z 0 k q Y 8 t o b h d 8 K H Q m C M q Y M 5 Z 8 + G 8 e k b + 7 b 8 b c 0 A P 2 z a / 9 x E 5 5 + 0 s P B b 4 J h A a F B O 4 D W W q Z S S x 8 / Q 3 9 N L 4 3 m A K D C A k 3 v I b f W U 6 t J 8 6 R + C g I u K M U m Y 1 E S B J V k x e M y 7 m A / a i g P T 7 1 j b N y X 9 9 e 6 y T s k W x c 3 v T i K b k C 7 T 9 m p 8 U O 7 l d C x r P 4 1 4 / 5 2 i m p t U r m m h 6 w b a j V O B 6 V j Y 7 K w 2 e W 5 A 9 u P y U P n j F v N e n F 1 b s y 8 q E 3 H c A n + y K u 1 s W g Z 7 H O w T d y g 3 5 a 1 E D a J h u R I n J a n 5 X C q c 3 I 8 W 9 8 R C 4 8 + j / R j i K F b E T G 8 m s F U C 9 i y U n Z / S N f k J b F Y R N L L l R Q / + q T e 1 n e I D x p h m I E 7 J f + 7 E E 5 M d t Y 0 6 l s F C 7 W + 4 v 3 X S f 7 u E U x G o x M x M 4 i g V d B 8 H W n I u 1 m R 1 J p + C 6 p U V S G 4 z Q C U 2 R U O 6 E O B u S k W w Y J d I z L M 2 t 6 G I 2 i a b I K M C G I e s S e k K x d x D V 1 K e H e B i R y f + d o u a i l w G P 0 s z O p n I x m 9 6 x Z P P f 1 R 2 b k 1 F w N m o T 3 m v v Z S V O x J b n 8 q g P S S S U k G 0 v I K I g / Q e I L l o U z b 2 o U 7 q h E B j E T d E 2 n 8 p O M Q g a h 6 a P j S S B y C g 0 y X e i 4 E + z U c D L F i o Y e g N m y K / / + M 8 f k H 4 8 s B E d W M Z G 3 5 V f e e F C u v z I l 4 2 C o N B c f b g K 1 J t D O T q u B s j E U z b K 1 d T a + D u i y j P g 7 s 9 i Q j 3 z u c b n j k V J w 5 y q m i 3 j u 6 / f L a 6 4 q Q v k Y 3 0 k j h 2 C U i 9 X F m M R d e e B U V T 7 5 9 f N y Y Z m T j l c R Q w f c f M W o / O z L d 0 s h v b 4 u l b m H 5 c h X / h U + H y R P y o 4 R + L H h q t E B y O 1 5 k 0 y + 5 A 9 A w B w I j 0 g V Z v y 5 c l V m K w X U f 3 0 U 9 V I R / e D 7 f u 0 2 m l 4 6 p o g C X b T y P b j / Z F n + 8 9 + f 1 M m n d W i b M D F C d t O e h P z k L Q f R O c y L 0 o U N y 3 l s s L H V d h + T m J + G J N k p m W Q B 5 h d s + k R R T T h e w 6 X o n G z b V M a A J A e h 6 Q J H k 5 1 + h u U M t V k b z L R I 7 a S z 3 t c y U w g N x S M f a j p O 0 2 E o 3 Y b 0 p W Y k d o 9 n 5 J q 9 o 3 L t f q Y x T S 9 A O r h 3 p x Q z W S n G b W 3 u s / V l q Y G J O D G V G o v M x J e 5 U Q N l 4 E N w 1 a 2 u t o W k p l l H M 4 7 + B I + F S z X U I c f 3 j h + B F g c T w s w l 8 f D c Z n 3 A N q f f c n J + f Z A h C Z N n P 9 r / 2 l 0 F y b O 8 m + R F m L 5 h g M Y w E B k p B b O Z p j X P U c i R + R l N f O D k k j w 6 s 3 5 Y h E L o q p 0 p u f F A A d a B 8 Q l d x 1 X h Q g u E f w N B L s C 5 + X J d b v / u v D x 0 t i Z z F W 8 l z U B 4 k K a u 2 Z 0 H 0 / Z H H G E N z T 8 i Z x 7 6 7 y g f L R Z o q A z D / x v X u X j 4 v W I X r s Q j a b Z 3 d e / 4 X D K B f q i o d d X q c K h g 8 z b b C J H E C D o 7 z X l b k L J 8 E / o y / I E y U h X O p A N i B r O R E E n U S q d I j N Z 8 6 q 6 z I H b N Y w 1 Y l 9 f d y A j L 2 p O U g h V n Q b U R B 2 l p N 2 s n 4 T L T 3 C B y P G S + 9 g Q k x i M g s m U l O o 5 J c A C S 0 2 c Y O W 0 1 w Q g t 4 + C G a E C b V V p l 4 b t + N 2 I m H m Y 9 z H P w H Y l l I t P q e 6 v w R 2 1 R 8 + a g R S / g B o 7 M Q + L g P z X T c I T n q a E u z 4 3 p 0 v k T t W W p t 1 Z f W l 0 s j u h 4 U a i d L g Y U R e 1 3 g l P t L k I D P a B k 4 W 5 O b S T z z H 5 w 7 i I j m T T / L h W G 6 M P e Q H u j P + g b N p o N q d W r K j x e e v m k v P q q M b n p Y H F N u n 5 / Q Y r Z j N Y r n b J 1 i h b 3 w O f A N A U N T e 4 N g X 7 e O Z a F d j E + X z / O l x w 5 M c e N Q o M D A R j Q q J a O S 8 s 1 0 9 7 i K 9 O r T P / 2 J w t C I j V + k 1 6 r C C K H S X T X T p i J + 0 Z P y K G p 4 7 K r 0 I J g o f V g L r s U R H / r t / 7 l b e r D Q L L p G y q S I H a + H R 0 E T P r k h i P c o p i b M w q Y q 4 v O + s 5 j F T i n Z 3 S s h q D L z e 0 W 4 + j o Q 1 N x + a l b J i C R G e 2 D C k W h u C 8 d F z E y f M 0 K c w c d m m r c X L / 3 V S 8 4 B S l D k y i u E a i s P S Z c 8 k 7 1 q Z d E T a d Y X Z h I w R Z h + h t / P r 6 y H I Z l 1 k O v x T 8 j a d n A M A F h 1 r j d u p q k l H C o I T 4 7 s t Q 0 r + L h 9 S y n M c l W c + W 6 p g T y q 3 o U E g 2 J K a P i + S h k a O Z s B l N X M q x J m w O l 4 1 o u + I / 0 0 2 h q L z d a U o Q Z V M y E K S a 5 V E z 2 Q 1 N c u 6 c o a W j I 1 V J f G s g A n m e 0 D J 9 N p k g l k 3 L 1 n h H 5 s R f t k L e 8 e H p N u v W G H X L V L v i k b A M V T i g q y k k h y X t 1 j A q V 3 s g E 5 P D D 4 7 N 1 e f h c V S N 1 v e D b S K b B b C / c l 4 c W X T X 5 2 0 5 Z z h 7 5 W 6 n O H 9 X 2 z E L K J W 3 m H 1 z Q h 9 T E T Z L b e y v 6 q F f T 8 W I j N B m 8 G s + M g q F S M p H 1 N B + a 4 e 3 u 1 s X T J f l Q l P C c v f r 1 Y 2 X 5 0 k M L 0 q h B 2 8 B 8 s i N t y U o N D N S R K / c X 5 Y q D f P V m X P L w b T i g W q q D Q F t 8 k R m u j a c l B Q c 3 G c m o 4 8 q N 8 w c 1 c A i a Z d y p l s S v W 5 l x z A P + l y s V N I O 5 T 0 0 K J I 5 p 8 O X Y b K B A + K + B + j p c / A d n N M q d c d H Z 5 B V 2 M o M e n L + W T Y 7 A 1 D i J 4 x w r S c h I a l r N U b N P I N u g J a 7 X Q O I y i p i U 6 V i j H j Q G k y A E T l x V p x w Z b 0 V T b R 2 o F 5 h e N z s E F q q e z M M k W r M 0 B d p L N S 3 k 2 J 5 C W g o w t 0 K C M V S 2 c T s b m L Z j O 7 X A T P V 6 R T L Z P N r J F 9 d t 6 f q v t e N h F 4 E G b Z A X i J E D 9 B y n o m n M q K W J Z C K X v m z u P D o n f 3 n X O T X z F F p s / U 9 e B A 3 4 n t f u k 7 3 j q / P 0 G u X T c u 9 n / 2 + p L x 5 H W 8 N / L E b g G 2 9 c u o n r P i g j V 7 w L 1 p 5 p w x W g D z 1 u l Q 0 6 o L m r D w Y Y z i 8 3 u n K + E p O F e g S M b V q I 2 m 4 j P K m g B K U 8 x 4 z a f E k 0 f k e h H q P x t j Q 7 N U j t J Q 2 f U 1 e k Y 3 B Q 2 3 E p O + e 1 E I w a 5 V M T Y M A M f I 2 8 6 Z x N p D k l n K 6 u h a b g p i r c r 2 6 + T O 1 o 3 g T C 5 9 A v Y r t z D w s y K b s r N P 5 W K o c v O n E U j O C 3 U Y 5 c U e c e M p S t + 2 l A / V M r 1 r x F N F x d W 4 1 z H B k 0 y S Q g G a E p q T m 5 7 H 2 h N g t T p i q j h U m d v F u B B D 7 b r M o h L n E A w 7 N O L I / 6 U N Q S / Z T z Z M D p P q q G e 8 Z q + s D 6 L Z P Z U a f x c G B X n 8 2 0 0 h L 4 C r G L 9 j S z E m h G U v P j G t S Z f x x v 4 1 A A p B Q 0 h 5 k v x 1 n m n O d n / E H W a V V T D A Y b H F o f z N R q U m p x 3 A 8 C A G W j W U z f M q D b l a L V n D Z M u 4 a U m 4 Z y 1 Z R m U a H K s 8 m Y X L E z K w V 9 I T n h y + L Z e + X u T 7 8 T x e d b K g 1 D J S H g B 8 G C t b T 7 5 f + v Z H a 8 Q u u 1 D m w D C q w 1 2 g t A u 7 c 6 F q y W K K w R M 8 1 s r s K h i O B 8 H 5 7 y O J Q x B 2 E e g N A r 7 T n B / + r w E 9 F u X p a r k E j J B W g B r n T N w b E c g 5 m S h a k H Z 3 W L h E a T L F y y T i 3 F M R N u l 8 X 7 a Z p w 9 r o G G 8 B Q u i o Y 9 z C x 2 R i E p w W h s z B g t r I c 0 W h C p o p c u Q p T D 4 k v 1 6 a v R s b i S + G W d U K p C W s n c K 2 O B Y E A T A g 5 I 6 X K B W m 6 N R k v 7 p D R L H c r i s r 3 q v O y H w z F Z e l 8 F x T N H L C 3 O u U 6 b o W y P i W N B S G l r 3 2 8 C K h J l j w T 0 m b I f C 1 I o a Z f l D l X W g k p I D D S L w e X u V U 0 t X O c 9 W Y E F h K d E 2 w Z a C A 4 D Y o B F E W g u f V m 8 w X / K M 6 Y L x I e C d L Q s v n x j u 5 x y P l 8 u r W 1 9 t D G Y C C K / R v S i e 4 J j 6 9 0 S d h 3 J + 7 / C z l y x 7 / T Y 9 l U R E Z z X G q j l 6 5 D c v Q F s u t l / 0 n s / B X B k Q F g u Z k 4 m B y C s z H I a K A P N d B Q H z L X Q j 0 K f 5 + b / u C S 4 F L i S f a w k W R E K + J I w 6 q K h 0 6 J t o p I q 6 F H E m v T S 8 l s Z T 8 e f h n K t E + y 6 R H t q E u T 2 r 6 O L y 3 W T 8 l i 4 6 y G e M P 7 V U u h K P w Z C h 6 W j K R D h m C n c P y J g 7 r U Z + o r I t H 8 z C b H o D E n J W 0 X I N k y K n l H s l M y l d s j O / I 7 Y O p x A 5 S W 1 B o 1 W V p e l o X l G Z l b O q X m K 5 d C t H x O u E V j A w k 0 + B I Y i e V w O m W d m d F 0 6 z o p t F p D + 3 D m A / 2 I T c A y U 4 p T Q + h A M J i A M 0 F I k L y f i U S m 0 r s P D J p Q O 3 K 2 x / q z b K B A K 8 E M X / l N j R c c 9 3 E / Z 7 h z X I h 9 Z C K S O I V z X C v G N / a z F T n u C L F k 7 q P J y 6 T M G q S V f J H w S X O c n c S 9 N O g z h 9 O O W I S L J a 5 h 4 r b W 7 D P t N / h H u D F 4 M 2 V b N Z Q 2 A x I D E p R X w c 9 1 y S 5 e i b w G 7 G a 1 B n i o C o M A r B M Z K q i H a m i U f S J n y e X j n l y / s y 1 X T / s y n T e b 5 B B P i q G q z q K c L z + q m m K u d k L q 7 X l U F q a C j c 5 o Q y M 1 c u I 3 E 1 K t p 2 F 6 x U C Y M W g l + C N w m r m D z q W C G o A B D j a M 2 r r 4 M 3 s t M B K F o z w B s P 4 k Q i a O h X A n o h Z X A O O 8 D g p z a g 2 0 R S E 5 K a m Y 2 d e P f w Q u x T 0 t S O S 2 Z O w R y W V 2 y w g Y K w a f i J I p G s d T 4 S v S e y M z F T I T a O A o N G U N + X d l b y o n D T z 3 W G 1 J z j o N q b h c b V v G f V F J p Z L K W N y c k p q L D K F M E R a 8 D 9 y 5 q F o F U y I 1 G n V x G t y 8 0 r w 5 h C / G 1 s g Z C G o Q U y V R P 5 K E i / M b Q o m f B E 0 q M P V f A f I 0 9 B w c 5 z W 4 n g J M x 8 9 w X s u u n B Y w j i Z 8 J + F x e l V P v j p U A S u G m 3 7 y P j O A z / O X D t 3 L E G 0 f z U T F K z e l d P 4 B P U 5 G C s f v l B z 6 E + q a G r 0 O 9 5 p V 2 R u C T K 4 3 K D E g 0 e x F f V R j s b 1 M o t D i v i p w U 2 V X 3 p N r p l y 5 f l d H C t A l Q T G 2 B k r r 5 e Y F f Z M E Z y J w g R 4 l N K f 3 l B q P Q / I 4 0 o L t 7 u B Y A p o p m 6 B Z d F y m R 0 7 J 3 t G q T B e 6 K 5 x 8 a b B 0 / t l U 7 n I 4 2 9 f J 7 s I 1 Y I o p F B 7 E A 3 N P g y X 4 x z U / X I 3 a b o K Z H D Q K T T y 0 C / t P t R K Y G V 0 i O Z s b W X J k P m g / p L g w q g M i g H l j w f G n V I 6 B i b m X h R I Y e i x u Q 7 p y l S v y 4 z z A T B y a L Z 7 V a U 9 J m H r c f u x w b l x 2 w Q x s J C a k D N O J b c Y h g k w G 1 4 G g y C R 1 a D w m M l j I W C G h c g 4 f t R M l u d m 4 B Z o Q W o P a k / P k m A / h O L w X B e 8 D B 3 L J 4 M 2 L M B S f R + t B G 6 0 H W h Y 2 B r B i Q T A I E m h h N g Q Z j f n z 2 p W D K 2 k 9 d M g F n 2 a V L L 6 t L / K l A d m w H 8 + 6 p 6 U e z N 8 j k 5 L W 2 R x K C n 0 p n t 4 l i e x e X A O G 3 w y M K o d j m b y Z G Q 8 E C g J C 4 I 5 Y d F / G U o 7 c v B 9 u y V Z 8 K D Y + Z y 7 w x W F k n k F g R 8 Q l L 5 F O V q V 8 m 4 4 l C S R f w 0 O 5 W T 1 n i 0 8 h L + 5 5 A O J U f 2 B w J 2 w G B j 3 I 1 N x e W B f P q U s A 5 l F B i Q Z A j d S n w l e O n f j q w 4 i c n u / K f N W X Y n I 3 C H Q 1 0 s O 3 d E x n f T k w P Y 7 O M Q 3 I + t B P W q y c h w l X W c 2 7 B x o d x H V 2 P C d T 2 Q M a d A k x 5 9 T x r D l d R p / P F D R A Q S J U s w / 3 8 D v N Q D 6 P D M e l D Z x N o U v W 8 b n y I g L 8 + e h g h m / L D d T V h 2 O M O l f r n i T B 4 E k w O J e Q j H H v d h A t y X c W G j K O C o 8 k U t r C Z A 5 l W D I C f U k 0 W A f M H g U h c C U 0 T T K e Z y S O n + o j o U w r 6 D h o Q 1 v v p c Z k O T l 4 T d N t M 3 Q h 5 F o o d y Q j q l l Z N 4 0 W b m E G x 0 a g d v 7 o P / 4 X q X z r D + R K d C M j e y M 5 C s D g g j 7 k d 7 1 W d t 7 4 m / C f D g R H N g H 9 V R I R Z 9 O r Y N k i n X K M d T O G 4 h Q U T h f i F s 1 c j N c L N n 6 Y G B q l 0 G M Y P A M i g t c i k a o t b m p Z u j C V O A O C m 0 o a h q T d e R h q u i 9 8 e Q n g T H I u n m N Y n T T a 4 i h p t A M i A Q m y E S h c 8 M E g L 4 M J D D p 8 6 F M z c t 8 T J J o g k w C 8 j l N b 3 v + G y 3 S m A c F p Q p y b 1 4 I m r n X n o e z W z w 4 I w Q V w 4 5 l 9 G t Q I Q Y a q u g 0 Z x X O T a J P + S a 5 s M 9 V I b T M U A A 9 A d 3 J i 2 c m o v d c S j 5 6 v y e 9 / 4 T i 0 F z g L 1 6 g 2 w X E y X N q O y r / 6 8 U M y U T B D A S X Y r z b u z 0 K C 8 r x h K D I z t T k + 0 W b x u I 3 7 O V h u 8 m N 9 l Z F R T s 7 o W N F Q B B i K 0 S + W m c T M b d R 4 D y c r G z 9 r M M E p b U C w O W V o a p u m L r U i / B k I C 5 1 B E Z S N t W B d 6 G p t B u Z J D f 7 z H 3 2 H J G b v l b f m f A i s C B i K 1 s c A o A 0 m r 3 6 P 7 L j u l y E U + 2 d a b I B 2 X e u r R B T m q u V c 2 y e D o A z F z m H q 7 0 i O / S w 3 Z q T S m I e E Z I M j U / 5 D 5 o a J j L m l j 8 V x n d E A K W 5 D + 2 T s U Y k 1 U 1 J l G D p e x g W r V E y p u C N 7 e a C l R B Z r n n z 3 F N + w v p 7 Y E 5 C 6 L 9 i b k y t 2 5 I I j B n w q i Z 1 T l F A 0 H Y T s R j y Y O t y C y 3 Q c Q Z L K w n Z 2 W w V 5 z 5 8 e k 7 O l w Y z x w X 9 y U H 7 m l j 0 o k x k e p q / D J Q Y U A I 3 u g n S s t c K k F 1 z d W o Q J 2 j s E w E 1 e q m 5 T R l G C G I 4 b q c x h g q C D A i j R B Z X m u Y 2 I 8 6 5 H S / L / / P l 3 g 1 / r 8 f F f v F Z 2 T b S M q R f J S g G E H k H f 9 K 4 d Y 9 6 s H 2 e x W G R + / O b 8 R m p K b k B D c 5 K a d C 0 z g + F 0 c 1 B D j C y r Y S q z 0 a c x S 9 d r K g 2 e Q N t y 3 M + r w B S C J a X L c V h f n O c z y G B c n t L h r k s 4 l o Y w 3 A x 8 / k J l Q V 7 7 H 1 8 n x W 5 D 3 j f a h R t g S S 4 9 m N h j 9 p j s u P a D M n r w n 4 I 2 Q b e k V 2 1 v t D V u 0 T F M H G d k 8 8 j 5 p v q q 6 R i 1 f x L C g h d Q w P k y n r M l l w z 6 T / s o T G t h l Z d K v u 6 q Q 4 Z C B l p p X E h m K o O Z a g 5 f c W I c e 5 M R v u h 4 i C m U 2 q / 4 y U J p R / A 7 / j h m M 5 K Y l o i T k F L 7 n L R i R o 1 y 5 k P R n h K + n C D E n Y 8 s Q P q e k H M l v l 8 2 O B h g u h i T D 7 z h g P z o d T u D I 2 v B A I T u a 4 f v f D n B o h N E A f F b o 1 P Q E O z C o 2 c S 8 m / / 9 r y U a u s Z g 4 3 0 x + + 8 R l 5 5 J U w + r a M h C L 4 K l U u t P a k g N S D 9 1 b Z E G U P / w Y D z 3 6 a y l 2 m d Q 9 T b n p y u L k s c B D u e z E g W D B W a c E 8 G X 3 p w X n 7 t k 9 8 L f q 3 H 7 7 9 t S g 7 v j 4 s j C Y E + l D x M 2 p S d V g Y x Y L 9 x j I w a B X 0 c M D / r S U 0 c 7 u j E 6 9 c w N b U T T d k e / 4 M E u V h z 5 L E z 8 3 D 0 y V B r B 7 G 5 X d q + 8 Q S s h i b O w d R 1 T V D D h l n K r P l M t o M H T c O 8 u M s t f R G + A S T E m j L 0 g H T 6 1 U f u k H / + X 9 + N O o q 8 H W T 0 q g l O G B h 8 f X r s W t l 9 4 4 c l P f p C b Q I F L 2 X + / I 2 u p J Z 2 v I b 8 m 8 8 9 J M f n I f x g p d C c D p f h k C Z u v q I o P 3 0 z I 7 9 4 K O 9 F O V a 7 k t f h B 4 5 H f + U D v 3 w b O z r C z s Y B I 2 U h h W A P V t x 5 8 e H V a 9 i S / k N Q X 7 S H 9 g e 3 o e J i Q J 7 T 0 G j w A N V 0 6 D R O M U o n C j B J o e 5 j H J z l 5 i V j k k c K p T n X 9 H z 5 4 U X 5 y s M w q z j u g A b u T Q c m U / L m G 3 f I W G 6 9 u m Z n c C 0 R m c q 8 y Z 1 7 l M N x T + Q l D n O S p h h D 4 9 w M 8 x v H G n L P 4 3 x N T x / H A m O 5 h P y z l + 2 S y f y q C c q 8 q a X o 7 6 V T y M c u I L + i m o + h 2 a r X I V H 4 U N p q n d X s Q 5 v g / 7 b r y k L L k S b a p g h / J r 5 J d O s c t O f / u v + C P H C y r B o 7 T P c + v i x f O 1 Y a O B k 2 x M 0 H Y U a P p i E A w P B e F X 3 S l j Q Y W X 0 k 9 i v H 8 W i e k T G C t i d 4 r g 2 p z T C 0 z p L H u T X E z J W 5 f Y O d P P / Q 8 R P y h 1 + a k z u O L u v u U n c e X Z Q 7 H j H p T q R D 0 x k p x L s 6 n 4 9 M G u U m n y l 8 g s 4 0 o S w c J N b 2 g 9 D h 8 6 k J G F o n g a u / h 2 Q s I I 4 f G n + V D P W 3 9 3 0 G b X K v b o 6 V B C M d y I I 5 k Q 8 X e z d 7 k g v B n 5 2 8 Q a Y P / z M w f t I I f d K r W l K k W 7 Q L m k J p 1 7 X k 0 Q s n 5 K 7 H 2 j I D j X p + y d X + Y D o L Q c + p X q + 6 a l K 3 Q m D / r k n 8 U C E L Q c F d j w Z N J 1 G b G 5 3 A 0 G + p c V Y r x Q q x 8 h R a X K j H k P C K o 8 6 W 6 c m C L 0 X L J c A 4 a E i n z D c F m r d 6 p N N Z s d O s n L m P O 7 x + 5 H O P y V c H L E W g a f L 6 F 4 7 J 7 / z T a 9 B w q x I y B M t D e 5 q v r + H j d d 8 F m B 8 m v G u 0 S M i 4 X O 7 w m W 9 f A E M Z 3 4 P Q 5 g B x 3 H h g R G 7 7 y U O y e 9 S Y o I Z R O S m U E j Y q 2 c z q P h Z s k 4 X a K a m 3 l u X E X F e + / K A n p + Y 7 K A c 7 i R r R + F G Z h C U / 9 Z J x u X 5 / R n w Q T q X T U s L a n Q x f h L Y e F C o f / v + P 4 v n B g Q B a T w i b Q Z t 2 h v j A G 2 x 5 2 c G k O K h 7 E U R c S K a l k B q H i R c w A x i j a 9 E P A n / 0 P Z 5 1 p Z V C X 4 6 7 O v W a p p V m R / I J a O Y + p n r 4 2 A l 5 1 8 d P i z t A Q B G / + m M H 5 N Z r s x q Z j L B t u h G J F 9 Y H I s g 0 d c e F e e 1 A o 3 L x J i w K F F J p D U x G Y U m z k m 2 n 7 Y A y v u O / v F P u P f V t t L d I C v 5 T M U s h E G T Y g 7 y d l X e 8 5 D 3 y 9 p v f h 1 8 D L u i B t 9 S S k 4 v n 5 d 1 / 8 Z C U B 2 x v x r v f / 4 a D O v 1 p M E w 7 W L V K e X C L K H y Z r T 6 h x K P 7 4 u G P v k r L Y 2 Q N D G X D F k d N 2 E m 8 l m q f 3 M 5 R 9 g k 4 6 X w 7 B g m Q 4 X X V d p A 2 8 R Y M E r + g 0 3 x S o 0 m 5 9 4 k l + d A n j 6 g f 1 Y + R d F R + + U f 2 y E / d s n F 0 h o 1 M m 5 7 h Z p o u 9 A M o I P r H O m g b 8 4 V l W l R O j Q K B U I i w I 7 h 3 e Y o D i P j O u s y W 2 1 K q O r C l X Z k e y + m Y Q 0 h g B D e A W a i f g T Y p y V / e 4 c A 0 X t + E m U h V / s X r d 8 s b b u C M D H Q 8 C K s C T b a I 9 m N w I A 3 m G 4 U 5 l A B 1 0 7 R I w G H + / H d m 5 T f / + 5 E g h 7 V A K 0 u + u y h p f / 2 G o n G r I 7 e + + o C 8 9 i W H d c V w F v Y / I 3 w r R M R o k c 5 4 6 J 8 9 Q e 1 K 4 Y G 2 a z Z w b w r m F 4 g e m p Y z 4 D k 2 R + a L W U E I n q Z f g I V K W f 7 J R + 4 X v o Z 1 E N 5 4 3 a j 8 + u u n Y e o W x E f 7 J E c 5 H L H a h i H w e G l 6 j P x 2 w T T Q G o E A p C Z i u R q N m g 5 X d E F H 3 A W r i T 5 + 8 x / 9 p C y A p l i c a B Z a d 9 A + H s D O / E 7 5 z V f / h r z m i l d r s K W f J n r R q j G o J f K L n / i U 3 P v Y n u D o W o x m E / K / f + N m p Z W N E F 3 Y c + t t X K j G G b 1 X T H M f t l V w x n W z U 0 X j Q u L Z U H e Z P W r C q S O H B o h J C o 2 d k l S 0 A J c K E g Q 6 O B n N q V a i N q J 2 Y D S u 1 D y n v x m Y 6 E R b 4 s V q Y L 6 o t C o R u e / E o n z t + A J 8 N x B G X 5 o q J u Q t N + 2 U n S P r C U G l G A x g M g W 1 J J m Z 0 o x Q J q d x j M + Q E f h i a D Y E N + p P I W + + 7 U J / I 9 H m D / m F n x Z 8 D W 7 C U k A D p u 3 V x Y I h y D 7 c 9 O X + E z V 5 4 A n O X j D H e 5 G 0 b X n l N b t 1 f R X D 0 d z z j 2 N E Y y D 0 S W g P P m g O z L U E H 7 X h L U s + W d R I 3 l c e X q + p i b i 0 5 d b 4 Z + V d i T + X 1 8 S / u i a 9 O n 6 X 3 H T 1 N Z L d c 5 l O C v b 8 i G T g Q y n 9 d q F d 2 P Z B A K g X b E F q g T B 8 b 9 Z x c W 2 U a Q c 0 i 8 m D Y D 4 9 f l Q K 5 u G X 7 v 6 2 L L i D d w / i j I u f f d V + 6 V b B T E W U h Z k N A B m K i b P I t Z 3 x P D N 3 k w z d k u X G n F R a M 1 K p L 0 L D c p M d X 7 5 w 7 9 9 A i z S 0 3 6 1 k 0 M f s l L 6 0 f / S A / F 8 v f Z f E f G g 9 M C j 3 4 + 8 V j L 3 g g H E b T L W v 2 J H b H 6 J J H 1 o y q x k 2 v Y 7 s K N h y z Z 6 8 n h m E 6 N L e N 9 9 W b r T k d d e M y 8 H J t Y 1 D f y D c 1 I M z F U i 8 1 F T c v y 6 X H t P Z A t y G K 5 s u 4 j e u S 5 K x Y r g W K p p h H V x f d / g m i M o 6 o u S s b C 9 W l 7 g 7 K 9 d O + n L 1 o a j c c D g m N 1 5 h 0 o s v j 8 t r r h 6 V l 1 w 2 h X J E Q b S w r d H Q N O X I q F z V 2 4 D m V K Z C I / E Y f S j O F S M 8 1 4 j O c P D T X A N G g 5 C w 4 q Z s G 4 F E x J e I W R r Z X H W 4 w 8 7 g J 5 c Y 3 P 1 Y V R 4 8 5 Q Y N v x Y j o N / X X o 0 2 n c p r 2 d W E Q a c 6 Y F R m k w F B j s G u T 0 I z 1 c E A i z g + v + D J P x 5 Z v x q W 4 M 6 6 y c J p a U y 0 5 F x + H G l M z q D t z + N 7 Z W q H H L r m 5 y W f 2 q O R v Q Z M O A 4 G 2 3 g m S A 4 V s p W n G M I 2 U S 5 k i M R y M R j B V 5 3 q G / K h N c M 6 r o F G a C k Q V x m K 1 3 0 T g v C J R Q q x I M O e l m i 4 b X n b y / f C I k F f c 0 L r g G w J l o U T T j k 3 k O 1 O A b z Q O A N h X o e Q b 0 i 1 s Y h c z X 7 t 3 J d x Y n R a H n j 0 b j l e O k X V K Z H U 4 I x j Y P 5 b D t w i P 3 7 d W 4 L + 6 s C c p D W w s X b h g s O x z L i 4 S 9 + C G e l I L m v L V K E T p K 7 s G q O L Y 8 k r D 2 / 8 v m H r 8 l / 6 j H / L F R n 5 D z / z Q i m k n 9 y 4 k C G W N q R I S Z b r c 3 C + E 2 C 0 M Z h Y r o b c / b g X R A 9 X w R W h Z D R b M p L x x 0 T s j s 4 V M y 9 A W + 0 4 2 t h c R 0 X m 4 d J 6 M j k D D l w Y y P v N q l I z 7 T 4 R o Y 9 g G k 3 f Y k h / B h 3 G g U g 6 w J y H x T X w V m L A j q g 9 o L l B M 1 I 3 Z w R h 8 t W f U T A r 7 + f g K T u I + 2 b 8 y R d P y F 9 / c + 3 m J i E O j F v y o V s v l 5 s P T a s 5 y j e Z k H r o B j G c n I G q T M S p G c 3 S + P s r y 3 L 8 S E N + 9 3 + d D n J Y C w r 4 1 1 / r y + u u h j m G O t s 4 A P k C X o H j n c / I w b F 9 Y r G s a B u + N X e 2 W Z M U h F s B m p h M x Y F u b Q t W G 4 m E 3 I W p y D r 6 8 F U T m V x g 9 g 7 Q J P R H O V u i z 4 / 6 q z v u k 8 / d c 1 z a P s 4 F z a m M i 8 t t 5 P N v f u 6 N s i O R k e Q k l + i Y 8 / 2 g v K N p q Z O W w V G 0 L e i 3 z 1 Q e M 0 t t P D B N z N d Z / R O 5 v W L H U / K 3 / / A / 5 V c / + 2 t i p X F u g 3 B 5 x s 7 I v 3 7 j h + W t 1 7 1 V + 5 I r q j n L n X 7 2 R n 1 P g e M u t y R a Z K A G j Y u y r Q F u I 2 0 m L j I o H Z 2 + 5 e 2 3 / d I P 7 Y c a 2 2 z i 4 G C Q m T j 3 r F x b l O X q g r S 6 T T C S g 1 T X h r F i 6 F 4 1 q c J K W M J 1 R y Q K m k 3 S t u C P o c L W o g Y u d F 9 u k A Q Z h 8 T G Z R p l Z 0 b P u U i c 8 k M T i V O e a E Z y U R i X B f C t i 7 z W 6 3 K T S z y / W z M q H p 3 k e F w 1 y n V M D o j O Q 5 n W r 6 p l P c J P M h S d X 2 p D E h j N F 9 r 5 5 j U 2 J E 9 L q n C i 7 z 5 y W k 6 d m 5 M Y / J M 4 y h W m B N K e E V t e d c 0 u 2 T m a V U e b g 6 X 6 x g 6 U h + 9 + 8 m H O 6 P t 5 o f F 9 G M 8 x m M u P P D o n X z s C 8 7 j V X J c 4 6 / v 1 h / b I q w 7 s k z 3 Z n T K d m Z Y 9 k z t k E q b 4 j v F x j S A y b w p g T o W J w 4 R a B q E n K Q i g e W J c O G r D N I Z p o w n X 0 i o 2 s z R g n j N 0 C 4 R + T t g e C n 5 F m / C N H N R w / M 3 + 3 J m 3 5 N r d M X n Z o Y y 8 7 G B e X r Y v J z c j v W R n T l 5 + 5 a j s n 9 o F A Q T G 7 7 D / g 7 x D M g j A 4 z z c B O M Q 3 A o A D 5 K l + i z q j X P 4 z Y H g f J o v i 8 g r T e S g T f / H N / 9 K 5 4 7 q z S x f X y q m i v I r r / k V K a Q K q o k Z s a V v P S g A F 4 L l 4 4 J a s 0 6 P L w x n 2 6 1 N F 9 N w h P X T H / m q / 8 f v u h Y c v a o V t o K Q 8 F h Y x 2 3 I c n l e R 9 D Z U d 1 o W w k + k u R + 4 Y a o e 8 G X T l O j L N R P i Y + G j L Z h / i W r a A e O 3 X N m Q 1 p 2 5 A 4 p M X O T x n p r C V q q p k z D x u b f V s B x I b 7 7 i c z E t x 3 G u 2 k Z y R S 1 g 2 L Q U g T r w L q w H t Q U 1 E g 0 z d g r b F i W n + F w 1 2 v r o j t S b D Y N Y Q A z 6 d 5 H j 8 l D Z 0 6 h r o Y Y Q 3 D c Y t / 4 F H y o F 8 h E c e 0 + 2 l x X V K k 3 Q c S e Z E H k C T i L H g g 6 G r X l 3 q 9 8 Q / 7 u i 5 8 S F 5 q l H + m E J W / 8 k T f I t d f f I A l G C n 0 w J w i 1 g z Z K j q G M S i R s F 5 j A w Q y U R a 8 p D d R 9 d x p + b U B E 9 E + I c J o U 6 0 7 z m M L C Z / 3 B 2 E b 4 8 Q 6 Y + G g / h r n B 0 c i X Q g g 6 h O 3 D J i L 4 S F y P Y p h + R v I q H a m D E c a K t A j q a N O U S n 8 y I 1 e F 6 1 v x A 5 A / G x 5 p y d S R h g z X v J 2 a f x j t D U 2 e y 8 o Y B A i H K 8 J F n r S G 3 v + H v y B / v 3 y H D o n 2 I q S M l x 5 8 q X z i 5 / + b f m c E k 9 s 2 U D t R s A 2 C m s I o Y x d l a d f b Y o / G I X g H a 7 + L w f r s N 4 7 6 P / S C 6 e D n 5 g i J j 5 8 u p H S z A q 3 h w 9 7 1 a 2 A k d A o K Z n m o O E w v 3 c M u T g Y D w X H J O o 4 x 5 W O T 0 F B p q T r c u s q S V B Y O h 4 3 8 y D B A m l u D B S + k p h a i p u M U o 3 B s i 8 e 4 F x / B t V d h e X S P C J i B 6 x g O P z m r I x 0 d 0 0 W P m Z Q J N D C s w v G j c A 4 b p R I l I A m K W r L m L S i R 5 J I T E v X j q r W q V Z g O 3 L 0 W x 3 l N u 2 8 6 F k F C Z J g 3 G e c 6 q 7 U S j Y G T W g M M B e L l N U 0 H P h i E R S y Z l w t H v i x 3 3 v V h M E E f l Q B Z l O 3 Q D f 9 C 8 v t u V f M T T 4 C 2 t a Q R g V 8 J c 5 k v T + O T + L 5 E a g W a U B S m 1 b Y r B z N p D a N z x g Z I B n W l 5 g W x o 5 4 u i J N 9 x p X O F i w N v m y t G 3 B L s 9 F A W 2 X V X F 4 R i v g o w Y x v e F U I R s 7 a N 7 s i K U O R E f G P U r 6 6 1 B Y v E 4 M G r Y L J G P L m P E U I A B 1 y Q c H Q J 9 p n I I 0 O 8 k 5 m u J a J p h b 6 E H n P l k / p 9 n H c 8 m 0 8 t w f C x + y I R b T r H f n y P Z + T 7 5 6 / X d u f Q z h 5 m K 8 5 a O R Z J y V 3 H U / L z 7 z u T f L T r 3 2 9 t j P n H 9 I X T r P f K B y A T h O 1 p P 3 N L A N m U s 0 N J q K Q j c Z B r 7 y 2 r / 8 2 g 7 W 8 t O R v t q Q i l O L s C B I f U w s + h O P C 9 E r V x Y 8 y I o K u A r G 0 u J k k + o o L / U i 0 / L O C d 7 r S Z u d + 4 h P Z v a Z D k a c u D s Q 9 r B z z Y M e F C e I U n W 0 a n h W O F 6 C y V Z O S L P g R M A 7 L p / d G N K L I E H 0 / 1 B e S p G S t K c n l 8 + i s K j q D D G p W o d I 8 7 B 1 / Y V 2 5 q Q w 3 g Y z D R J z M H N C y N B 3 U X V e 0 t i U L 6 Z l O k W m 2 L s l Y T j I V S 0 4 C o T b k m x R n F u b k j p l 7 4 Z f 9 D g S U 0 S K 9 4 G y M n 7 j + w / L i f W 8 N j h h o C 2 j Q w M C U 3 o C B D D K H F Y W 1 A D 8 2 A 8 Y r p t F O u A i 9 o + / B g j U p C Y G v 0 k 3 K l b m M m c 2 A 6 p A Q q 9 W K j i O R 8 X t N 5 J p X k c X q n E S c q I w m p 0 z 7 2 c g R B M m 8 u U V c u 4 K 8 s / C r X V u m 4 Z N Q + 0 d h M t E 1 4 Z A L S i T z N f P q n 1 0 p a C I I y R Y Y w o F Q 1 e 3 e Y O K y D C x / G h q W Y 2 o x r h 4 G H b Q b M N + K 5 A M I V j B v u w 6 h R i a g R g H d c R s g a n 6 a v R 6 E Y A N 9 l k o m d L Y K 6 8 F V x E 4 J 5 v C Y G f Q 2 r c d 2 Q e H D B k T e u n x D t X 1 v q 1 4 c V u n M v B / P 9 U i g P j A o w B A y n X w + m R K 3 3 X S l 7 M 9 I J + Z A C p q G J t O 1 U T k S O R e F a e U G g I u 0 8 o l J G U 1 f R C v i O W S i 3 j L p U m q o Y q 7 a 5 E T 2 J k 0 4 8 J b N 1 9 C Q A X E T X 2 B d j c 9 I v b s Y 3 L U K 5 h e B 9 M 1 F p i W T y c D M c S S d y a t N z I Y M G a k X j C p y q 2 b u 1 c 7 Z F v F I S j L x E T X b q v W G L s J L o 6 P s v n G q X r T x X E 6 U r X O G N 7 5 3 y J U A Z 2 D w e x v + p g e N l G z W o E G h M W t t m H Q x M G x S S k 5 M Z j t c W E K D L q o O e e / 0 p k t F I d W V q 6 d o a t K M j c j j 8 x 1 5 f J H a w 5 B M D g J v f 6 Y j k x N o k 4 S v S 0 w Y O e X E X p X s u I 4 b l L Z q E A i Q 6 q 1 k U + b c c 7 I z u R t W C X R j G 4 x H b k S G 3 E 1 r 0 b X k y A U L / g z H + n x Z b l j a d 7 h V n 4 l / o A c w F J j j 8 A T 6 E Y 8 g H V W 9 e Z j 5 Z b S B o + v Z L L R F I T 0 J S w E + F E z S O P e N o N V D w Q M L h 2 u z O m h f F 8 9 P 8 P l c 0 o P 2 I v M x g u l w Z j 0 1 F O d T o u 5 e 2 d P y k U 4 v C s 0 f z 9 E g 2 d Y 0 l V U 6 t e B T q 8 X z q x 1 F 4 t O p H 5 C k n P 5 j 9 h h A I S J J F L A u 1 e g c Z F o Q l k a h V Y O B T r i / 3 8 p m l I P p S 8 F t f Q v 2 R P B r a 2 D j 1 1 2 R p Y b I o 7 M 0 D c w j y M 8 c W 8 r C Z E Q T S s a p i Z W H b w Z T y E h u M B o + W S d K v o Q P r R I p S C 6 b F x u + S H 9 w Y h D 4 a k 7 m R D O 1 C 6 Z 0 v Z a U Q P h L V V d 2 Q c q N F 4 z k 6 4 c H c / J 0 o y K 5 G K 6 x 0 1 p e + l d a K q U o m s 0 V e f g C N 1 y E i Y j O g 2 y V J v w W G D J G C 2 8 j 4 j A L d x X a S s A 2 + m i p 2 p D v X M g q c Y d I o q 1 2 J l o y N Y L m i 7 W U 4 T O Z H O o d F Q d 1 d u B v N S D A 6 h B o N T B R q x t B P W m C g t D R B D F O v G V F 8 R + Z h x G 8 z U C j Y y r v y 1 i a / Y h y 4 r f G J m B S M 0 j F b c w o x H L Q V J x O t V Z 4 o f C w I / k W x 7 p L g R U N Z s H T d 4 c 2 g 4 b i U A q H B N I w e 1 X 5 g 2 a j 6 a 0 x i D G R U B H 2 n g q z 3 m e v h 7 V 4 c t 6 P Z a C u 2 R o s G 1 p A f Q o 0 P p 0 / + h Q U K Z Q 8 X c 7 A j i y L G 4 G j C W L h G I 9 u b 4 w C q p T X e X 9 s W t U X w S P W I w d m m g B T X Q o o 1 R 4 4 a 8 k C T P K N c 0 b n g A z 3 p m f E t s v S 5 e p C M h X r F f N w B h 0 E p i o m p i U F b Z P K j q i Z t x W E p t p 5 m A p 8 c x 8 3 d k z B z O E 8 w E x y / f g N 2 4 S a i f P H y E x m C + d e c I + N p p x f 7 s h j S x k I C H N e 2 / t p B A 2 H X N K H T w X C j U B D l e h H B i c D U D D R J 0 l B a M Y i 0 I / R p D T b M a l C G z j 0 h T Y h q i c L G i Q Z C E Z q N I 4 D k q l o g U R g x D W a Z b R 3 S n K c C U O z D d f D I I F f y 0 F 2 / A D h z 5 Q 7 s t y M y W i W 9 8 M 3 h 2 8 V A T P Q R M / D n y t k O I N 8 t e w 0 i F W w A U q / e N K G U B O Q 9 I R r t I 8 G t 4 E 1 / / g F P 5 F N 4 l q Y H 7 B Z X T x c o x w Q F T o 3 D S q A t M B o m x s t S z s K 0 y 8 A x 1 Z a D q M / q 8 / R K B + Y z U T K j G / T D 7 4 + Z n f + 6 u D X 1 s B G + + 4 5 S 1 8 7 u R k m 8 6 d l J L W g v p s F I o h 7 K W k l G j p L w 7 a y 0 F L o m F R B o 2 U k 4 P t P L u v k R 2 r j f n A W x S 2 H R m U C G r w N g T K 7 s A x J B 1 O P k z 4 h 5 T l t q J + Z a A 5 x R y i + w s B O x 5 U A 1 o C 2 P 5 h z t t w F Q c e l 0 e K M + O c e a H m Q 7 F R E b k G T P x 2 g B Z J k g K B j I s g p R m h x k F 3 F N 0 Z y G V w D C o S l Z C N S 8 I Y g 7 3 B h C F 8 p W k h H w G j w + a A F + d 5 j C h Y O x X C L O j I V J y N o W F 6 Z i l S L P 6 U H W G p g J H 7 n 3 h 7 o W S S j M s h U D J L F Y L k Z Q S j y f w C L 9 T K + Q q 5 v Z Q A A A A B J R U 5 E r k J g g g = = < / I m a g e > < / T o u r > < / T o u r s > < / V i s u a l i z a t i o n > 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 f a l s e < / F l a t M o d e E n a b l e d > < D u r a t i o n > 6 0 0 0 0 0 0 0 < / D u r a t i o n > < T r a n s i t i o n D u r a t i o n > 3 0 0 0 0 0 0 0 < / T r a n s i t i o n D u r a t i o n > < S p e e d > 0 . 5 < / S p e e d > < F r a m e > < C a m e r a > < L a t i t u d e > 1 9 . 5 7 8 6 2 5 4 9 1 2 9 9 7 6 8 < / L a t i t u d e > < L o n g i t u d e > - 6 9 . 9 1 0 2 8 5 1 6 5 6 7 4 7 < / L o n g i t u d e > < R o t a t i o n > 0 < / R o t a t i o n > < P i v o t A n g l e > - 0 . 9 6 6 4 7 5 1 4 7 5 3 9 6 7 5 8 9 < / P i v o t A n g l e > < D i s t a n c e > 0 . 0 6 8 7 1 9 4 7 6 7 3 6 0 0 0 0 1 2 < / D i s t a n c e > < / C a m e r a > < I m a g e > i V B O R w 0 K G g o A A A A N S U h E U g A A A N Q A A A B 1 C A Y A A A A 2 n s 9 T A A A A A X N S R 0 I A r s 4 c 6 Q A A A A R n Q U 1 B A A C x j w v 8 Y Q U A A A A J c E h Z c w A A A 0 I A A A N C A V k U N I A A A F Z j S U R B V H h e 7 b 0 J m G R n e R 7 6 n d p O 7 V W 9 T 8 8 + I 2 l G C x J C Q i D E j h f A R G A T O 8 b Y G G 7 g Y u N r c B 4 b 4 9 g x T + Q k T + I E L 4 / t e 5 P n M b E x M R D b N z j g A B H G Y C S x S U I S S G g 0 m p F G s 0 + v 1 V 3 7 O a e W k / f 9 / n O 6 q 6 u r p 3 u k 1 g K q t + e f q j r L f / 7 l 2 / / l W J + / v + a 3 u y J d J F + e e f j + s / H U 5 y d e e W V K J v J R O X n y Z H B E p F g s a h r i 0 v H F B x v S c N f S r z W / V P U j l s h c T e R s y Z K q E 5 z Z R h i e G T L O s 4 2 Q o Y b Y H g x i q M j X H 7 P k G 4 9 b c v T C U 2 c m a p t B a c h M Q z x f E O m C 1 l u d U I t s D Y O Y h m m I I Z 7 v i A S f G 2 L I O E M M s X V E B j F M b 3 q y i I J V 7 b j I e M 6 X n Q V f d o / 4 s i P v S z Y p E h + a 8 U P 8 A I D s 0 c 8 v m 2 q o S 4 F l i c S Q I 4 M c Z K g C m O f y C Z H D O 0 Q O T Y n s G x P J 2 Q G z x c z 1 4 X 3 h Z / h 9 i C G + H 2 F 9 + u 7 q l t Q Q t U o h 5 Y v X M c E L c i d B + o 9 R 4 5 A Z 8 N E J Q v A W m C Y J p p n K i 4 x m y F y + 4 L C U m y J 1 V 2 Q i a 3 w 3 + n A R X M v 7 y G g M 4 T 9 4 1 t L f 4 T O G 2 B 4 M o 3 z b i 9 u / y y g f q X o V W 2 K o J E y 3 y 6 B p d s B 0 a 7 V F L l Q s q Y G p 2 m C I j O 1 L 3 b O k V D f M 0 c 8 E 1 F Z k m C g + y W B 7 x n w Z S Y k 0 W i I p 5 E u z k O d C 7 U R m f e S C J b t g I j L / u o d j T U u / e 0 x 4 / p D P n h y G D L W 9 2 J S h Q M / 6 X y 9 T 8 F i c 5 h k / 0 R f U P k 5 A 1 E 9 G g 5 C 5 e D O Z j 6 C J S I a l d i L S C V 8 Z 6 7 J x H E + Y 4 3 w O t d n R G U t m y q v 3 D n F p G D L U 9 m I Q Q w V k b D R J H p p j H O Z Z b 9 C A t E u t 4 C L V Y K p R s w z S R F s F G b K X I W j i M V + a g k w X y p a c X 7 b k C L T U f F U 0 P T I j 8 s 0 T F s 4 N m W m I 5 z Z W G I p + E I l 1 q W G 0 w b M N + l l P L B j G O r d k S R O m 3 6 U w M T X b M J o 4 x D O N L Q c l n k n Q 5 E v A z M z A / G t C I z o t 6 5 K Y i f e P p i E Y o P 0 q 0 H p D G B y e T k g 2 R e N 9 i O 3 A Q 6 c 9 W G 9 r C f M 5 y 1 C 0 N f l J R r r U A v K + r E 1 G N I G T 5 1 w F h / i B x Y r J 9 1 x C y E T q q 5 l D m 4 I m K w M c B P m R 0 U I y k 4 m 0 D D H E M 4 N n l a H U t A M j q E Z 6 C m B A h V m E Z m E Y u O D H p Z i K T z f C 8 v S P r j 9 9 y T x z i G c O z 7 q G 0 g 5 / i r 1 O B m I g p f M 0 U Y 8 S 5 h p C f X I J / z E 3 k + k z A v P M Q W W 5 9 B R k O c R F 8 a w y F D t J Z 7 o H v y 8 V 1 E p P R b s N J p z 1 6 c m X 8 A c J g 9 t m U H o + 4 x l n K D X P n g I T 9 E J J f Y P + G 9 T R / W m I p w e D 2 r o / / a D i G W c o D T R s Q 3 s y i 0 E d F a Y h n t s Y 1 G c r K b j m + x H P u g 8 V Y m D D X i T h v + D O I X 7 g 0 N f X W 0 n P F T z j D D W o M Z i G G O K p Y B B N a Q r O P 1 N 4 W h l q U A W H G O I Z x T N M g 9 v G U P 2 F f r o L P s Q Q T x Z P J 6 0 + K Y Z 6 O g s 0 x B D P B r a L p j d l K G a 7 H Q 8 a Y o j v N / T T / V Z I f x 1 D 9 W e y p V y G G O J 5 g b W 8 o f z R h 3 W 7 H g 0 x x B B b R z / / P K 1 R v i G G e L 5 h y F B D D L G N G D L U E E N s I 4 Y M N c Q Q 2 4 g h Q w 0 x x D Z i y F B D D L G N G D L U E E N s I 4 Y M N c Q Q 2 4 g h Q w 0 x x D Z i y F B D D L G N G D L U E E N s I 4 Y M N c Q Q 2 4 g h Q w 0 x x D Z i y F B D D L G N G D L U E E N s I 4 Y M N c Q Q 2 4 g h Q w 0 x x D Z i y F B D D L G N G D L U E E N s I 7 5 v G I o v G e A 7 c / n G + F S Q + G 6 p 8 O U D 2 / U C g i G G e C q w / s e 3 K p e 0 M 4 t l d S V q d S Q S 4 a Y U E Y l G + J p A v h 0 6 o r / 5 X l u + 6 X 2 7 Q D 6 x w T x j G V 9 G 0 i L p R P C C b T y j 6 o o s V M 0 L C H i s g 2 N 8 R x S Z i + d r r q V v M Q x f w D b E E E 8 3 t s R Q 8 a g H o m 6 C S G O S S j R B 1 D 5 + W 9 L w m t A S L T B S D J r C l l g k L c 1 W B C k m X j s u T S 8 i 7 S 0 w F 7 V M C B a G v 8 O 3 u F M T T e Z 8 m c r j m T F z T Q j m z b f D 8 3 p q L t 5 L p u K 9 X h v M V r N k D g x X q l t D p h r i G c G m D J W 1 u z K Z b k j O r o P C b U n H S d h g o E h E G q 0 K i L o F I v b A V N Q S C f F B u U 7 b l x Y Y y m k n Q N h M N n I y 3 N D u W l J z L O m Q 8 o E E G H M 8 a 0 k m Y Y k H b U K m I U P w L f C J m G G i F I + B u X r 4 b k t g m Z Y b I u c W f H H B e J 5 v S b U d G T L X E E 8 b 1 j E U T T p q p A w Y K C J p 2 Z W O S R I m X h L E H Y M q i C X B T H F Q P P 7 5 f h d a o Q s C x a d + N 3 u T d c B k b q f J z M R p u d A i Y D h m T g q X u H Q 7 W b E j G W k 0 H C k W s p J L R c E 4 E T X X + O J p m m y 9 W u t S 4 I A r v 3 5 8 S R y 3 o 4 z T R a Y t z 5 c 9 E 1 E 5 M F K U p h O R C 2 5 M m h 0 y s G X K t Q n C o m z l 2 i G e 3 w g Y i i a c I y O Z k u T t j h R S e Z h 1 S f F d + E j Q N m 2 o C Z p N + a Q v m R g Y C M R q 4 S + a A X P F B l E + 2 A w M R n T 9 j r j t h j I Z E Y 3 E J Q 7 z U P y o V C p V S S T i k k w m o Y H o h x l Y 4 K g w X S q + + v C C 3 P b p Y 3 i u V m s F 7 3 1 l S t 7 0 k r 3 S A q P H / R G o y o Q s w y S c B X P V 4 Q P S f O Q t I S P z e y 7 a k Y l k B 9 q T R z r Q y G 2 p N H F f J y 7 e M E A 6 x A B Y n 7 5 7 2 b d j D h i o K b t H l 6 W Y H I X f k p N u C 4 x U 7 Y g 9 p t S k B L c E p o p H f c m n c C M k / + x s Q 3 7 v H 0 5 K q d k y B A x Q 0 / z E T Z P y o y / c A e L c m C G 6 X T A m U r v d l l b L C 7 5 3 9 J 5 E I i G x W F w s U H c U 9 h / N S 8 v a G g F / 6 J N H 5 P b v z g W / D H I Q F r / / j h f K 4 X 0 w + d w F s E J M J r J 7 J Q Z T 1 G v g m b A p 6 6 h r C 8 K D v l g b p q H r + J J N W Z I b o b 3 p y 0 z 1 B E z Y m l j 0 F 8 v j U n J z M t / J S G e L 5 R r i + Y E I T S K 3 Z U O D w O T q x K B B Y u J D m X T q q 8 x E 0 B Q r p O g f g S g d E B 1 + f + y e 8 / L 3 D 8 / L t 0 8 s y / 1 P l D U d v V C S y 8 Z i I D x I e d p c h s / W g U w S g y 9 G 5 r H t p G q j V C o l u X x e Y v G 4 t D t t m I Q N a T a a Y D g y X U s 8 m I 5 M n Q 4 j i + t R B W N / 7 3 R J s t A q o y k X y Z H x V F O u 3 e 3 L R D E h I 6 k d s q d 4 j e w q H A L j p y W a j I K Z w N h N R / K 5 i E x N J 6 Q w k Z C x y b j s 3 J u Q / A S Y G h q 4 7 M z B P I Q P i c r 4 F n z G / B y 0 + a K M S E 3 8 N v 3 H D S r 5 J H H p e n m I 5 w q s T 3 z x U T 9 m R 2 W 0 K L J 3 F A S Y H J O o F 5 d Y N i p W d G 3 X k j / K T U j v t s i Z h Z p 8 4 C 8 e k A Z + R G D W J U B o 4 B D 5 u Z f v k 3 e 8 d I 9 k 4 m A q W n H g R J J b t M c p U s W F R A 1 E 5 m g 2 m y R V S Y O h 1 P T D B a v a i 6 Y i c 4 C / A 8 L t 4 F j C t g O G R B m h I U L T s A o G / O Y D j 0 o z 2 Z A p u 4 R y M a u I j O a n Z c / 0 V Z K I Q 7 U C 5 n I 8 u 9 u W 5 e Y F 5 B W V Q n I K 2 n H V 7 C R Y B j 6 z 5 p W k 7 p b h n z V Q Z p Q G / B x v p a H F R 2 R J c l K D p q O g 2 U p E s x 8 Q X 5 K I d t F M v p q b L F o E 0 o h t 3 e q i r T t R a U F j D v H 9 A e v z t 3 / Z z 0 1 m Q K Q 5 G U v D T 4 r m J Z X N S C S + c S d S I P / D 9 + b k z q P n o U n g V 4 E Y C p E q f K 2 U / P C L r p T 9 E 3 l R X g R V 0 H R 0 y W s g k g h u B J / p m J G h a p i V 0 E S u 6 0 o E p l 0 S m i o C h i I R K 5 N Q z f E T R M z f y l D h 9 Q G D G o b S b 3 g e N G e p L Z m d a b 2 P 9 4 T 3 M V G 7 d b t g f m h F M h F v q b m L 0 m x V p Q j t R a 0 V g o z O 6 8 n Q Z F 5 C G Q r m H + w 8 M A G 0 K t V 0 F P 4 U z M B F + G O V J q 7 x c Q z 1 9 v F c 8 K O a j y 0 K A 8 2 h B / A x Y 1 Z H J m N t m R 7 p q n l J Z r X g W 1 q o N 8 v r o N 2 W G j E w f U T K n k g T 5 4 Z 4 b s P 6 0 h d v 9 3 f t m Z a 0 n Z F 0 P C 1 2 F t K f W o X E C w n e 8 J b 1 Q o b E 7 V i G t 6 C j q 5 C c D U j l O j o / A m 2 U l y T O u S B 2 n + F x H + Z U Q P A 0 F R m 9 I 3 G R q H w Q W I q B j U 5 X 3 I Y j H s w 5 H 3 n E Y g k Q a V T m q 6 5 8 6 c E 5 a b S 6 y B t P A 2 c y 8 H F 4 M i k 3 X z E m 2 U x c y 0 b t o W Y g m I u / 6 X N 1 4 A / x e z w H R w h P i 8 c T K 8 E O M k i 9 X s N v E / I P k 1 h d a J g S y h m D l p r U + o T a 0 X F g 2 w J x m K B M B M + F 9 1 q o S 1 e j G W A G n H N d X + r w v S z G / V F u j g w 4 n g 8 t L q i P 3 q 4 + Y h T P h K 0 I 1 6 w p O / J 4 7 l g K Z i 7 a b Q A 0 S t n s y P l Z V 0 5 3 U u i P I V M 9 l 2 E 9 c P + 3 / Z F s k X Q l 8 R S I O p 1 Q o m R q e j U p N c 7 r h S R M l c q Q x h I F 4 U Z a k L 4 u C C m q Q Y x k L A t J X 1 a C p K R P R F M S j y S V E U M g S x 1 r c s A s M S G B V 6 E Z c R 1 M x S g S t c n H 7 z g t f / 6 P J / F s F C h A F F r h f a + e l r e 9 Z J / Y I L w u f S j Q d z Q R V W 3 F j B N R W 9 q 1 j l h Z 3 A C N 2 Q G h e 2 2 o D C A R S 4 E R O L s D Z Y M W J H O 1 4 P v U H Z Q X e V s x m J u J n G T s E f L h G u 1 k f D x b j s 3 U 5 V v H l 6 B t w 3 I x Q G P J D Q c K c v X u n H 5 X b d h m f u Y 7 8 y J D s C z U 0 s p 1 b A Q I K j 6 / 0 2 l J O p P S K C c 1 9 E a g O b x 0 p i z H v a y U m o a x h 3 h u w j r 1 2 O N + C s Q f S d P X o a m F g 4 E E 7 o A I m 1 4 F U r Y p j l u H 1 G 5 B U t v w S a b g j 9 i w 8 R 1 I d j j u Y C K 3 1 Z C l 5 g y s H T h Y K r E j k k u O S i E 1 i V w h 8 b s g 0 K 6 r z N C l 6 Q K T h 5 I 3 n y u K n b C V Y Z f q L X n / x x 6 S h 8 5 U l O 5 C 7 B 2 N y 2 + 9 5 Q p o q H E l 9 m Y d 2 r H p Q A t G d U w s m U D 5 O y h z M i K l 9 j m U m 4 E C E D G Y j S Z U M T M l K T B M D N q J z 2 E 9 a 4 2 K l K v z U s i O g 2 l s M A Q Z H 1 o F m q l e r + t z 4 g l q p o Q S / B / f / o R 8 + p 4 Z m K i r j E 5 t 8 w u v G Z N b b 5 h W o U D G Y 7 v 1 a k V q u h B s P 2 q 4 L k x C Y 3 a a w A z T x d B u e T J 3 2 p E j b g 5 t u D H j D f H s w 3 r 0 3 i N + c V d R M r k 0 i N B Q s U r X A I Y A O J b U l K U a G A b O d z 4 5 p p I 3 l Y Z j j n M k b v C U m o G c P d F q u z B r o I M g i S l 5 I 3 E w K k x A H 3 l 1 O F U I 9 I b b F I l k X F I 2 T M 1 4 R h 4 5 P i + f + N w D M r P s C P x x O W c n p A 0 m e P W B v f I z L 3 u R 7 J v I w t f p S L W 8 p G V N J q A B L U h s D 3 o S x E k N 0 G Y Q A / Q Z z 0 a l A y 3 a 6 r j Q U M w / j d O m X i z z U m 1 e q v U l Z X i W l c T N Y I f T b O p 3 t g S f w c g j 2 + M X / + w h u f d E e Q 2 j x 6 J d + f U 3 7 J I 3 v 3 i 3 M l G 1 U t E o J b / z H r Z d v Q Y z k x p Y w / / R l X N R O J I U C B d D B 8 L J L T X 1 m R f c l B x f G m q n 5 z q s x 4 4 e 8 / M j W U m D O T Y D J a 6 a g y A U f p Y r M J n w l 8 3 l V q R y G 6 Y M 2 E Z N R Q 7 o k g E j X R A 3 X H P 1 P 0 D s O C x Q i v T n l b B I Y B E Q 9 W h q J 0 z H t C z U T 8 M s r M G s j E g 2 X p R i e q e a d H y m Y X D j 4 7 j w c T L Z r E r 4 X i H Q g e Z r L U O b F u J 4 T k C 0 q 6 d V W 1 a a C / A Z i 9 C w x s S l e d c I N N P o 2 J j m F + Z Z b X r y 7 j / 9 r p x c M D 5 V m N V E P i G / c e t l 8 o r D Y 6 r 1 f A g Z 1 3 P V r 1 N N h X L x O 4 c B + J s I h w r Y X u G x E B 1 o r h b y Y H k I p 1 G X L v z C w m R B / b K T C y J P L F i 4 R k 8 P 8 R y E d e z R I 3 4 C G i I N w g Q F q Y 3 P P 0 p 8 W 4 k 9 u B I I T R h q A R I 1 i c K m / Y 9 r Q + I j M f A 7 Z 0 Y 4 4 B z I Z T B L H M x V l 3 J z X k 1 C t w r G S t J 0 w n N i Z t A 2 B n 8 r B x + m 1 W 1 K 3 Y M G w l 8 c P l s x O Q n / p o B r T f 4 h M 1 H y k 5 F J o P 2 E S d C X a V V R T h A o z c I o z M E o Z 9 v i U p q D B p a p D 0 w x f j J Q k s 5 k N L + w T q x z u V G T O x 4 9 K j N O E 7 9 J 7 D g P F V p I Z u W G v X v l w A T K 1 2 m L B 9 M s R D I Z D A E E C I V B B V o s g 2 e Q q f p N v T u P L M r H 4 E P S x y T 4 b B u M 9 F M v 3 S F v e O G 4 V D x b j s x E 0 D 5 6 e o j n I K x H j z 3 q f / O k K 2 U I X 0 p I T h W i B B / P J O T N N + 0 G M Z u g A o k h l O J J m E G h D x A y 0 m Y g E X M s x 4 I 9 5 j Y g w e G 4 0 y T k F C U y L + g R z 3 U 1 o M B z P o k b j G T H z N h R a I L x m T r A C 8 l P 7 c T o W y / h 9 o L X e 9 C Y g n + t O s q P q q R s a A i a W v j n W y a U T l + L f h L z 6 q 8 T 6 0 3 C X l x c l L + 8 p y w L V U Y y V 8 + n E p a 8 8 5 W 7 Z S y F / K G d b D B S O J U q L B e F g 9 e C G Q t m 9 D Q 6 A X M 1 Y L i Q e V m / P / n f T 8 h H v 3 J S 7 + n F O 1 8 x K e 9 9 x Q 4 w U l x O L K e l 2 o n r 9 U M 8 9 x B 9 5 Y + / + 7 b / 9 I U z c t f R k t z z + L L c + 3 h Z 7 j t R A y H X 5 e b D D G V z F o M J o z e b D Z B S O D X I m F m c c l R z W u I 5 N e m 4 d W m 5 j k R b Z S X E S I y z z A 1 4 L T U O Z 2 K Q m G z 4 P 3 Y i h W O c 1 x e B a c j 5 h G B U m H w M w c c t a D 5 Q f Q u a g 8 8 m 6 P t o U A N 5 8 / k h 0 Z I g B 4 H P Z E C E U T c 4 W 1 K B A 7 f s g G l d a E b Q N T W t 5 3 h 4 C j U k Z 4 l A I + P P b + G u N s x a l I l a i 5 q n V G / L v / v s K X n k f F 0 e m 1 1 N M 5 B E r 7 l q R C Z y C R U 4 N G H 7 h Q 2 F y U L t r A Z u O i 7 H w Z K o A 8 1 M o 2 o M 4 1 n y 9 W O L 8 p 2 T F T 3 W C w Z j X n H d N P J D 2 Z s t q b U T M K G 3 J s i G e G Y R L R / 4 i d t m y 8 E g S Y D x v C / / / I f h u 2 R b M N e M O d Y O p v 9 o R C w g G B L 2 0 Q t L 8 p 9 v P y 1 3 H Z m T b x 6 d k 6 8 f X Z A j x 0 7 J T u d B K e y 5 N s i R R G W Y w t C Y 8 U / U h E S e e g a / k 7 a t J i Q J j A G C k F n 4 n c / k W B N / U 5 O E W q C X c P t B Q j b m Z A z 3 x C S F 1 L G 6 U m q D M K G d o j j f B p M y m k c G 7 b r 4 X e 9 I J G H y J N F 7 8 J + c q i M n S m 3 5 w k O L E C B B 5 g F 2 j S b k t Y f z M p a z N U j D I E Y v k 7 P e 9 A f L z q z 6 l A z O x G P Q h n A g q R n p Z x m z 1 Z J S s y x t a 0 l 2 T 3 V k 7 1 R X 0 8 F p S 2 4 5 P C 6 X T 8 L f Q / 3 j 0 O B k + E Y b W n 3 I V M 8 5 W D 9 6 2 5 d W S I R 0 m Y C f 8 W M v G p N b b x y R J L 4 z / I 1 e V t O I z j W l L 4 m i B W l f 9 2 r y h 5 8 / J X / 3 7 S o I h 2 x i j C H b 8 u S j P 1 2 Q 6 2 6 4 W Q m K Y y 4 M u 9 P k s e G v a b S P 4 W e c I / G R q E i A / E 5 C X p X s q 9 T b f 2 w j J u o H r w + v J Q N T 4 5 R Q l g U 4 / A U w W i 4 O J g 4 Y N t R M D G T w H l 7 b q K H c T l f u f a I h f 3 b 3 j L j Q a F A z k v e X p Q g t f s W + X f K W V 7 1 A p n e Q 4 N c G R / j s B r T 1 c g P M 1 K m b s k A f J i I p S V k F M B X N Q 2 h p t C v v q 8 J H W 0 b q r T d D 8 8 V k W r I Q I E Q X / t X i j C e P l 2 O y L E P T 7 7 k G 6 8 S 5 2 T V 9 w o 7 N w c + w I a V p X p E I 6 T e R 6 C l 9 O 3 B I O L e t 4 Z X l 9 E J L f v X j Z W n C h O r F r t G o / P U H b g B D x q T e q G i I u h u B V g A y 8 T H J 2 i M r Z l E / E z 0 d I I E y s S 6 1 W l X r U m 2 3 Q O g 1 2 Z 0 t K C N Q H P B 8 O F e Q R E 4 h Q i 3 M c b J 2 l w s q Y Q Z C R W l o H k K i 7 T Z 0 o D g N B r F T C b G L q y Y u Q R + x 1 D y P t l r C d x O a o y D h d C w L f l A x N y n 5 9 K i O j 4 V t s F l b 6 P P B 4 N V K F + a m L + d b c Y E d E Z x 9 9 h C B 5 k 8 l a v q 9 6 W W h y Z / 9 M j 0 b s G r V 5 X V C j s R H Q m L i j G 8 S f c K O i 9 O p S s W Z 0 w F a 4 k / / w Z E v P u D i O v 2 p S M B X e e v L X f n x F x V h Q o E w k F f U 5 r g L G h g / 4 5 G E j G f 3 S j q R 1 y A E g x K c l B q D C a T a c J v B O p B R O L 5 E k z W d S a v p V P I c m X H q c l k a m i I w z 0 j I r H u p V N K B W k b + y G y M / I W D t s y P j F a p l N U c z h c K 2 j 6 t + b b E c z D f s m s j d x x L 4 o y N p c Z 5 D f b Q Z G y 1 X E l G c p K O j d B 7 U y Z j / j R D a Z o m 4 i Z y u h m 8 m i d n z n f k M S 9 F T z E 4 e m n Q w C d u Z S I f M 4 j J / t Q Z V e s o Y z 1 i k R Y Y q S 7 5 1 A L 8 b g d C a k L T k K E C k P g 8 j q V 4 9 G 2 6 K q l j a P V G a w n m C N c Z r V 5 O 4 u h v d B 2 j Q m r X 0 U m g E Q h f H U M h g Y S C F z K Y / y n x h m D w I 5 e c 0 I A E x 6 Q 4 A 4 P P I s O R 0 S 4 m t Q l a k J x M y r 0 k m G s y 2 t I 5 c 7 y P j M R 6 0 b z i D H W W p Y U y z k L D p C J R G U 2 k c B M j j h F l I j I L m Y 5 + G t u C 3 0 n w Z B x C o 4 z B c W p a P Y 7 8 n H l P 4 s W Y T o n q L y / L x O D N b / / N E Z k r M / B A 3 w 7 m M z 7 j E D a / / q b d q M Q Z Y V C T b U 6 B k 4 k X o e W z K n A U n I W C t u k F g x z n z 8 P H a y V h h k M I o E 0 5 X 5 L Q / / E f m t 8 w j B 7 F J 7 5 w r 4 6 9 o 7 5 M 5 H A + O M E P l p P d Y q a I + d J s 0 Z c U 9 L 2 l c x I d F A H u N N q q g 3 s X Z S R T h T D k A L o n S / U x W a j t w D m G e f g c m t s t a X c g i D h l 7 X k A a 3 l 5 U a k 6 X A x I C V y r 1 y C h H P F j I E T f U y n L c S V K 2 M 1 A J u F C Q b g Z E o N m I g G v 9 O Q m C D U E g y D j m T 3 o X K 6 / q k k q l t P o H 5 8 P 1 g S B x F e J r A c N F K / c F K m 7 b S n G G 2 A k a A 0 8 n 0 W w E 2 S K t Z K / 1 G q C c L o y a a c k Q m J F v o b H 9 T 8 F x 6 g 0 e A D J Q A Y z A s f T K o W B E 4 s 3 c U 0 H 7 m s 3 I C 5 A w V Z 8 V Y D w Y v q d s x V X f u w / f g s E 2 a P S A 3 z s v d f K n t G 2 R G L Q q D 4 I t O 2 g 7 A m d y a G R V l w D o x R l X J 0 b G a K x X J U 2 8 i + 3 b Z l Z 5 h x L m J A M x K A c t B h G U r 6 u O m b V W S Y a C + H e H Q R X D B y 7 U N f 1 Z G x z w v z f l d 2 j M Z k u Q h A x G g t w F 6 m F O h d q u r J / D M I A z 6 H Q a 6 I t O T O + 4 i Q 1 / y T y j 0 B 7 e d 0 n w G Q 5 K d W m 9 f 4 f d F i z M + d J D U p o o c Z o O j U p t 2 a l y z A t e i A k j M 2 0 B O / v t J F a H R A V J G 1 i r Z O + d X D m R B B p 4 1 q r a B o E k N F l F t R c o + n d O G b G p w b B h W Q l U 1 e a 1 C R t y a B 3 i 1 n b M H c P G p 2 W V G l + 4 T m U 0 v G Y L T Y I p B e M F H K 9 F s t C b U R t R y Z L p T I g S J Q R R A e V j C L j P t Y V T d h x z U w S R u 6 0 R d m u O H d 8 r i 5 v + / / u Q 5 1 M O 4 f g V X / 1 / h f J w Y k 0 v h l / j 1 q e X M Q o Z R f S i d p Q 5 y 4 G k 4 3 J o K r p g f k K V y E z F w g I t w X G T 0 v S z q K t y D F k 9 K A 9 U T d O s 9 K M e 1 B p t u W D n 3 x Y 7 n 2 c U 7 q C g w C b 6 2 0 v z 8 h 7 X r d H i s k d w d G t w w O j n l i Y k / l a C k K O g / M / + I C 4 J / H D N G I H o d P p H 9 X b Z Z h O j r S g 9 9 t I + g m H n G H k z c D I m M + J e G v 7 7 B J B U w 9 a D k 4 9 i Y u z L N R 3 6 z R V e t N U u h i 4 Y 1 I 6 G Z X J g i 3 5 J I e g O N O 8 t 0 B g O G 4 i 0 6 m B m c y R D p 7 X A H O d b 3 J l b i 9 M u 5 D S W t B M D F p Q i x t C Z Q L I h L y G w A d n Z c R S I H 4 b z Y v E M D z v X 6 4 1 o d F q a O v l l R S J l s W G N t 0 1 m l K z k m v C q A l p n i b i C d U y U e R N Q n c h q K g t X d f R g e 0 m P p d g t n o 6 h w v s 5 F Q g d C o w z U r i O G W k q l Q b S 9 A 8 i y D o Z a k 6 y z D L P P g 4 b d 3 M h t q W m h U s K x m U 0 w z s r y Y P w v H E L J f b w C 6 8 R N B S O D Y b k Q v l i e c N M x H W o 2 f v 9 m k + Z e 1 R N a P K z T n Y z n U Q D Q m H l 6 B x 0 d C c p 6 Z M h 8 S J n h B 4 i l 4 N p B o K D N V 2 O d s B D v a T 1 l A b g 6 a f z v m L 5 0 n q w d F V k E h c l 4 T L U H w U R N V Q 6 Z z O Z L U s L K P T B q E 5 M 6 h X C 0 S b B 9 N N S p S D y P A D j j V r 8 o L 8 Z J C b q R M Z y D A R T W I K G e Y P U z J O r Q c / a I t 1 X A C V 3 f f Y D B i z B S G G d g T T U 8 F F O 1 F 5 z Z W 7 U E 7 k g 3 b l u Z X V 0 t C i V B X c 4 4 a a n w K L k 3 / b k a 4 s w 4 + j p x l H / b j u 0 W e e E B 4 + m I R 1 4 U R l L h H h L B R q J w 8 3 V p y d M J 2 5 t A b m O K 0 I P M 9 B v p / + 5 u P y + e + Y p T q 9 2 D e e k s / 8 6 o u h H X u 0 L V I L N N G B 4 E z A 3 1 N T U q 8 2 4 C X H 5 i x 5 Y j E 4 8 D y C 9 c T M Q z 5 X r V L q 0 x z w I L m p H X r B U C 3 p S W c q o G O 5 v A N H V D D T j C L R s U l J D 2 S + N n d F Q i N H 0 V s m G L E 1 g g s J / m L Q g V q U c y y z F 4 7 1 W s l H o u f s A 0 p w m k e h P 8 A l G B y Q Z v 4 c Z C 0 1 z 4 D I o O 1 w 3 o I Q K c C c y S c n Q I R d O Q N z 9 / L s i N 6 3 B m w T J O Z I Q m L o n K F w m m J x p N 4 6 8 n t Y F y b 9 z j v 5 D w z f h a a L J O D P 0 d k g D K + u g M J L 9 + P Q 7 2 B m a A q f 1 z K a y N A 9 x 6 L 8 p m T S M c n C B F Y e i + A 5 4 C q O e 7 U 7 l t g U K O w P f J 9 f m p N O r A I m S M P 8 2 g + B w o W i B i w 2 + + z E z J J 8 5 y S u Y 5 i v B 7 l 0 Q n 7 2 F Q c h w H y p e 6 Z O r C m L x 0 S z k h v b w K J G 8 t U 6 4 B b Z R 6 D Z l v q V / f M A V r l S 8 q v O g o 6 V R M F U N L M 4 C M k p Q t R Y 9 C E y i R F d Q F h p z q M B I d 2 s j L g w j S r e P J c + Q e L B 1 y I j s K V x Y I U p 8 D t O s y e I j m 0 n J r M H U a 4 i v j E K Z T Q I l 8 c 7 T h P + D U P j c J Z x j M R M T R U S P A n b g 0 m 0 4 F y A X 5 Y F 4 d E X i q v G o x R 4 u D w n h 3 O j k q C 0 C J j I V A z A d Q S r x y l R X T y P / h S 1 Y o t T w P G c G L S E R k b x S X / L g U / D 3 y w L y 2 Z T y H A K F o 4 l w C Q s p 0 5 5 U g b k P h J G a w R P X M F M 1 Z e R D P L G O W Q F 0 x T m K s p T g K A g Q z H 8 z b V a H E S n c t O 5 k + p D N s W R G b H i b Q j L n M y U D 8 C U M 4 P E v V A G Q c Z B z 6 2 A 5 Y j R I t E 8 z b F + a F n x H z 9 5 H T 9 Z p g 0 u / 4 G G V e 0 L m 5 M Z 6 K c w d M 0 W C a N i l M b q 1 8 D 2 p k T j d B 2 a U m 6 7 J v P 1 U 5 D u H J s y k p l g + L k L i U a p S U k c Q w r P P V X w u V P Z Q 6 B 1 E C F 6 j m V m p I m E S 2 3 U y 0 C r Y D W R Y A r B s d H I J U p n 6 s k z y I P 3 u G C O U 4 2 S j E K 8 F 6 L I K 0 g 0 d U M w e t h o O s g N z 8 X z u Q A w C T 8 p n U 4 p 0 X F Z f w e C h e Y Q m c X R W D 7 M P L S f F c + C 8 D s g e j A 2 T D 8 2 b 9 e K w + d L o g 6 W 1 G A u c 6 t r m l g s D w m T Q Z Y C 9 5 x A E a j 5 u f S e Y 2 g p a K F c z M a 1 L D / K B Q a v c Q k K y u O j X g n k s + S d h g J E X X F z w 8 v L h e W D y N P U e Y j t x x q G I l G R E Y y J R 6 f V E C m J K T R B u N 6 H h M I 5 d w T D 6 7 O V E 5 B + Z q 1 Q C P W 7 k B + X f 3 O S K T d 9 4 X j W e k I f A D y K x L o G / I l b G V A j E d u R t K R s r p W a V A Z i 0 I H m Y A i a b + e X H K k 5 F A A g Z J 8 M j / M R G 5 r N l w N T N B f p 8 x k B o d f w C u T l Q U u f q 1 c k D c L N w q R N I N k M r b M d U C c X m q b V 7 u g a M u P 3 m F X L Y d 1 8 D a Y g P / y m S a l y H 7 5 M F 9 q d v M U x I F 5 K j c B N a l a 0 K h j E b T V h C S y g / G A 6 a E l O K O Z Y F V / O A B E F S 4 G R u o Q s t F z J x 5 O S g Q + n w Q W A A o J 1 q T S W N S I a i c H f 4 1 R 7 g O 1 Z d f K q o c J x q o s B N d X 2 N t + p 6 V F e n 5 H g z e 9 9 P k M Z S g m f h I V E 6 U v C o S n C 0 D N N B 2 3 S F f P J h I 8 5 f Y e g u T d b e Q I M 1 d D f / W C + b Q / 3 4 i / G i F e g 8 T Y C n 0 O f w c B w E Z 9 L I t K V t U j 0 9 x J 2 Q g c 9 u Z 9 F L y O F O L P Y l N / 6 6 y N y 9 F w N E j n M z + B l + 3 z 5 4 1 9 4 F e r n 6 g z 6 K D Q E i T k k T F J P D R r M A f E k O y k u O J F 8 h g G I O N r H U / 9 J t S G n T w 1 4 d g i 2 K 4 M 7 q J B 0 U P 5 2 N 6 q m G T U K m j E 4 3 5 U m G E r r i B M 0 E x t u G S S M z 3 Y F Z f f Q L 5 z I C y 0 J Q e C T 8 c G k H g R K H I y c g X 1 H s 4 5 L + G m y c w 8 P 5 l l H n t 0 I g x 8 M t a P / k E f F T U q p P o l 6 0 w T v 4 l q G 9 q n h O f B q 6 h G x G F 0 l x / M X h a I F o b W g 5 a a p W H O y Y P b h H M K N Y F U q S z 6 j T u x I E 7 m C B M Q n O 5 h a i X 9 k B n a + 3 o D j a 8 y f T l M u l I + r C T U I G v W D m c g 8 o g n D H G H q B 5 / B g A Z 5 W C N d 7 G M 8 l k z E A c 6 M z Q m l H E x l 9 P B i h C x y 9 + N L 8 v 6 P P Q g i o E B Y i 3 e 8 N C 7 v f s M B D V B w s u t I Z q d k U / T H e C 8 Y G k V b g C b 2 O x A a r Q S 0 g A u m g n m m v o Q R C j o X 8 S J l 4 G M 5 C M q m s v w m T D B b f a Z + s M 5 a b / X H T B v q 3 h e 4 l g s t 9 Y U M 6 J + 4 n 1 O B x F X K n J r U A l P V I R B y S u h 1 l L m F Z 5 A 5 + L o h l B Y P b 7 m e R l t j H M U F O I O h 6 a b B w O x f L i P h z H e a 8 l E w E Y + B c X H c 6 3 B 1 N D Q r m K w D g b K z W J J C k l P F o r J Q S 6 O / k 2 g 7 1 W H P P V y s U O t J b t t h z V w 4 6 5 N A Q 2 Y a R O g X A 3 0 n s 2 S 9 G h x Z C 5 o g Z C p G r l Z q i 4 6 i f 0 + J H I L M S / N Q o 8 Q 4 R 7 + L j K v a i N O S 7 H H 4 F s W L M l I I L i P / + J 1 n 5 E 9 u f z w 4 s h a / + 9 a Y X H t 4 V C O a n V Z X R p K 7 p J A Z A R G T S W L i Q K P Q R 9 m R g P Z D W b l 3 h O c 6 G j 3 M Z r n c 3 7 T T R i 3 F W n I a F B S F p D h D g e Y m u Z y B j h U E d 7 M + P A c o 6 + N r K H D I H B 7 a l y Y h F R 0 1 J C 8 g M 7 d x X 6 X t y T h M U R 9 a j H 4 v 9 B 3 q 7 g T h c r P z L q 0 O m t t c t G n y B P M 6 e B J M y D g Y b V B / B y I U w i s t u Q S H K G I 6 J Y x w P U / K T V / q L e 4 X y P V q A g b n u 7 r M 1 K S g h z c E m Z Z X U S t u J y x v X k r f m p P a 4 z B L K R H 7 w D V x h R s n J H f V y O q Q x N M A a + b 8 G T 9 J X w B S d 1 D j X g z s u B r s f W 7 O c r F p S a F 2 I 4 H R H C E R 8 1 E 6 2 I p j 2 o F s a P z U a 3 V g m E Q g 0 B w j M p b e r a b M o O l G g 8 B x l X / 5 i e / K n U d L y H 6 1 4 0 g k 2 e 6 S / M 2 H X i b F Y g 6 E M a u D o Q n h o G p K k h p o i Y u L M s 3 D c b 8 i O 8 Y i G S J s c 7 U y l 9 1 z E x b D G D z X j 8 W 6 Q L O Y d 1 P t y P t I A U O B U d f e w e + s P N Q Y 6 8 V 6 K 7 G x 7 q F G M T s 3 0 c x k 2 D + M l q r Z j P Z h p G 8 q m T E r k A P w H r P r k 4 8 y n N G t 0 t S U h e k W S 3 C 4 A 3 X x Y O r h l t i A O Y c h 0 v F C s P l n B i X q u Y a c L d B q N I T R j w y k 0 L / T T T l R 9 1 I j I s s O t T i 0 a t Q V t 5 2 C 9 j V 7 K f J Z z C m d K O v 0 K L e 1 G r 4 f B B a N 4 X h q T V p A F H b N F s z d A c Z Q p H K / L H z 2 T j l 7 x y F Y O e t n 0 T C v / A t H Z f 8 v X q M v u X i 6 Y J U W 5 3 1 G 7 C 4 F f M k Z x x s 4 Z Z + R P 0 p F b s L f 8 C r 6 + 2 J Q h m K g g v S D S o Z d F Y H j T w e f H U 5 7 X 9 d M w a z I Q 3 O M p K d x H T Q o / D Y j p S 8 O m k 9 f u + f z c n b + t O R g H u 1 O 5 S V p o / P Q I S 5 M n M u v v h 7 P o j k D / w X + R 9 2 t 4 B Q 3 y y S B R d C J u 2 U B 1 b g M z 9 Y y K U N x h n l F c s p Q D I K A a P q 0 J T v 6 m y f p b w o 0 q i 8 H J 0 R G u f c N 2 4 Q D e N C 0 6 x E w k X 4 C J F g w B T U X w + D 1 R l 2 X 1 X O F c z / x z 7 p 8 5 Z D I B O s 2 A J x d s t g 8 h / a G D w c / l u U K s y D P h v t 5 9 G Y b g R T j v o p F e 4 f 6 q G u Y i Q h N + z 7 h x t L T V U W R 1 Q + 3 Y C I z Y 6 d j y Y V l H 6 Y m Q y o t j W i 6 b Q i r i a r M w 3 w s Q 8 s 1 v L U b B L E 8 0 w V f 8 k k u y C z D b 4 v K Y s 2 M O e 4 e a Y L e b F l q J K T c 4 E b W B t G Z T 4 s c + T O p f O e V U p 7 b I 0 4 z K c u L o 8 F Z A + 4 t c u i 3 X y T p y 5 6 + m R v q Q 1 2 K Z i o 1 o J k g c H f C 5 e h x p R S M L C 3 W z y i D P V V o p B E M F f d B L L G W 2 J G c 5 F K j O k 8 t 1 B C b A 2 Y k C L n b r o E 4 X W h R z n O b h B l p Q 7 M u y X J t 3 p h K U S 7 T g I O f K C i T Z O x J K U E r c P r N D m g A M h R N J 2 q p 8 E 0 h j M p p B B Q k D R d R 9 + Q 4 v W j J R N a H E w 9 p C N 5 Z 0 6 w k R D I K T N g t A U x I s 6 0 G s 4 2 r d D m x N 6 p 7 s 6 9 t 9 D M N b m 3 m w / T L S g o C p / c s + 2 G 2 t h o w Y n S U A R / O t 2 T b K H B D l C Y h z G 9 j p U C g J C D E U j v V 3 F 4 H 1 g F t J m A M 4 + R e B F p n B r Z A G 0 2 Y n 9 2 O R o c 9 9 C 3 3 K q H 4 r M O M 5 h h b 2 Y E m 0 1 X I F K x g a m R / 9 T S E d b c K b Q n / D W 3 h M V L q e 2 D I i j G F W 3 m Z r + a g 6 a L i P / Z 7 0 j 3 5 l 5 K u v 1 D O f u / l U l k e U Y Z i U C U G I U o z s A U z d e y 1 + 2 X 6 5 6 4 K C r j 9 W D c O t R m o 2 u l b Q 5 i v A 2 3 + x c Y 5 3 S / c R A c v D Y Z w j f b i f + z 4 K O x d d n Z C c j K W 2 y 0 p E P j F B Q B X C N d B T E 0 0 I i g d t k 0 U m i F m c S w J h U a + j l u T 5 f o C / J s s N O C o E h E j Z 2 S O e x 5 f g s T s 6 H h U C d o r C 6 b J w 7 f i E v d r d u X U f H I 9 C g w L W o N R t a i c W Y 7 I 8 X l L r t 8 F w u b O t R u B g m a g l h o M P o v + E z l T l / y v a I e A k L U Z Y M Y h 3 w V o I R e M n o k l N Z z O + X 8 E L Y a 5 + h O 6 Y S m 1 P 8 F 2 X k n o J q 4 C p q r T o A u l J C 7 j J q W j m V 3 q v 6 6 D W i G 4 h 0 w V Q C 0 P t j e g W g 3 / q N 0 5 D M H n c F 8 O R k d 1 Z g n a V M 3 W F e C B r B u 1 8 4 r m Y w b 8 z n q w k C Z v / c 1 r 1 T R 3 Z a 7 q y o X 5 q j S + 9 7 v S n f l 7 y c U K k n O v l 3 J p D O W B h q x l k T s X j z K Q 5 E p u R 1 t K P / z b 0 g l 8 w u 3 G J T P U x U B t U H H m N W 1 m + v U j Z K a 2 g + J w G g 0 a n I q I D Y 9 T k p Q R K a Q m V D N c T E O R m R y Y n 2 l I W M 6 A o G / H g A n 3 Y e 9 0 2 K m Q e m 3 4 J f i e T C V h 1 s A H i a U g l c d 1 U P W 1 v / N 1 a K 3 1 T f L i / V n 5 o 5 + / B g U y R K R L O l B O + l 3 N t i W P z E T l R X u i k r Z J A H 1 Q q U 4 C R L 4 9 R N g L 1 p 8 I h Q U J l I z L 6 G s 4 8 2 P V / O o p n / o 0 + M 0 A S z Q t y 7 i e 8 Z 8 R m I j h w k l u U r p Q P 6 m + b j / o l 5 J x m W h q a 2 N D q p P B 0 t B 6 K s R 6 1 2 S F 6 E I 4 R I K x S G h u L m n p o M w s f h g 4 o t l O 3 8 8 U 2 w S n W C / W k f W h N a D z Q l l + + u B s 2 8 B / N G 0 W C B B m o A G d s P 4 B 9 L w v S + e / L c e / / u + l t n A E f p s l t 1 y b k P r y K G g H e e A e z 7 X R 7 z F p e X F J Z h p y Y d d 7 5 W z 6 7 Z r F d q N X T D x l 0 O R j 5 I x S T b d o 7 m + A P m j f 4 T 8 y E i d + 0 r d S S R m D q c c p S 1 S D y I L m H 2 n D 0 F p / n p S y b Z g E I D 4 Q T N O d h 3 k 0 r s x E 5 5 x + x E L j t H 6 W 6 4 t S b S 5 L y 2 / C 8 u I E T 0 d q 3 h I I j o T m y / E L Y L o B z E T k k x z v A R P B D 8 i m 4 j K S T 4 O Z z H I O D 1 p k V 7 a B e p s B X U M M / O x J J J o e Z u r V F j q 4 C 9 O H U p w E x 0 T T s t P u w P f j W q R e Z i L 4 P U g k Q p p m 0 Z R q p Q I Y q Y 3 n c W l K C A 6 + U 1 M w w J B N j O p U M m 7 y y e 8 M P H A / R A 6 6 M 0 j B v Q v N 8 A Z M e 6 c q F 5 Z O o N 0 W 0 J Z t W a p 5 c t 8 T Z f n a o 4 t I p e B z U e 5 C O j Z T U + Z J p z M Q A C l Y E l z M y b E 9 + G 9 I H B J g X S k g a f p x B X W j U U E d + b I H t A 8 Z K W Q m g k z J e m l i u / X W P 4 D e A 0 2 F f n V q c 8 i H / r M v Z + c 6 U m 0 v S K 2 z i L Q g X u y 8 d J K n R b J P C I x g i b f P B h l s P 7 Z V Q + n E 2 k A C U T N w f K T m l t R 3 6 Y U y E X 2 k w J b n b 9 6 j C S Y H B y J D S U 1 p 6 b c i G r Y 1 G 5 o k Q b g p Z Q I y r o 1 E z c O 4 E y V e F 8 + N w + Z u Q S p X 3 D l d o K g v 1 g Z x U v t x W 2 i b b x p J w D f C H x m P x M W 5 i p / 4 2 j n 5 v c 8 9 Z p 7 b h 3 e + e o f 8 0 g 8 d F H 2 x A c f p 2 H s g B J o 5 Z K o W p D Q R r p N S a B V Y R 0 b X z J 4 V 9 M W U W g E y C g n N a 5 m d Z l l G m k M E m Y z m E f e z W G s e s f 3 M I k p G M / n d A E + A x O 7 i 2 h q Y f t S 2 l b n 4 J M 6 u 5 6 a j u j 0 b 2 o v t H R I 3 x 6 y W n R n 4 x u d M N g G 0 j z Q 4 B C 0 c h a b K 7 J W j 5 + r y 5 3 e e k 1 O L f G e y k f 5 M 1 D A 3 H i z I L / / o A R n P r Q Z P V G g E 5 W N + h q l 4 H w / A G k G Z 7 G Q 4 D M E 6 m v s u B V 0 w 5 M k H P i o n 7 v k j 5 A k f L R 6 R X e N r A y 1 r g B O Z m z 4 h 8 5 G b Z L 5 u 3 n W 2 2 o Z P H U + J o T i 1 5 / Q C p + E E j Q R w D I g L 1 q 7 a k 5 Q r p n K q t Z o e t A L s X a 6 x o i l I p u M A L t s v t N s Z Q i d x s 8 F N Z 7 H u c J S h E z y u J O W g I y Q n 9 5 7 g f u Z k W D r N m X g O z j i 3 Y + b y D B A T / D e 3 2 8 C z G o H m M d B n c h 6 i Z 0 k q Y 8 t o b h d 8 K H Q m C M q Y M 5 Z 8 + G 8 e k b + 7 b 8 b c 0 A P 2 z a / 9 x E 5 5 + 0 s P B b 4 J h A a F B O 4 D W W q Z S S x 8 / Q 3 9 N L 4 3 m A K D C A k 3 v I b f W U 6 t J 8 6 R + C g I u K M U m Y 1 E S B J V k x e M y 7 m A / a i g P T 7 1 j b N y X 9 9 e 6 y T s k W x c 3 v T i K b k C 7 T 9 m p 8 U O 7 l d C x r P 4 1 4 / 5 2 i m p t U r m m h 6 w b a j V O B 6 V j Y 7 K w 2 e W 5 A 9 u P y U P n j F v N e n F 1 b s y 8 q E 3 H c A n + y K u 1 s W g Z 7 H O w T d y g 3 5 a 1 E D a J h u R I n J a n 5 X C q c 3 I 8 W 9 8 R C 4 8 + j / R j i K F b E T G 8 m s F U C 9 i y U n Z / S N f k J b F Y R N L L l R Q / + q T e 1 n e I D x p h m I E 7 J f + 7 E E 5 M d t Y 0 6 l s F C 7 W + 4 v 3 X S f 7 u E U x G o x M x M 4 i g V d B 8 H W n I u 1 m R 1 J p + C 6 p U V S G 4 z Q C U 2 R U O 6 E O B u S k W w Y J d I z L M 2 t 6 G I 2 i a b I K M C G I e s S e k K x d x D V 1 K e H e B i R y f + d o u a i l w G P 0 s z O p n I x m 9 6 x Z P P f 1 R 2 b k 1 F w N m o T 3 m v v Z S V O x J b n 8 q g P S S S U k G 0 v I K I g / Q e I L l o U z b 2 o U 7 q h E B j E T d E 2 n 8 p O M Q g a h 6 a P j S S B y C g 0 y X e i 4 E + z U c D L F i o Y e g N m y K / / + M 8 f k H 4 8 s B E d W M Z G 3 5 V f e e F C u v z I l 4 2 C o N B c f b g K 1 J t D O T q u B s j E U z b K 1 d T a + D u i y j P g 7 s 9 i Q j 3 z u c b n j k V J w 5 y q m i 3 j u 6 / f L a 6 4 q Q v k Y 3 0 k j h 2 C U i 9 X F m M R d e e B U V T 7 5 9 f N y Y Z m T j l c R Q w f c f M W o / O z L d 0 s h v b 4 u l b m H 5 c h X / h U + H y R P y o 4 R + L H h q t E B y O 1 5 k 0 y + 5 A 9 A w B w I j 0 g V Z v y 5 c l V m K w X U f 3 0 U 9 V I R / e D 7 f u 0 2 m l 4 6 p o g C X b T y P b j / Z F n + 8 9 + f 1 M m n d W i b M D F C d t O e h P z k L Q f R O c y L 0 o U N y 3 l s s L H V d h + T m J + G J N k p m W Q B 5 h d s + k R R T T h e w 6 X o n G z b V M a A J A e h 6 Q J H k 5 1 + h u U M t V k b z L R I 7 a S z 3 t c y U w g N x S M f a j p O 0 2 E o 3 Y b 0 p W Y k d o 9 n 5 J q 9 o 3 L t f q Y x T S 9 A O r h 3 p x Q z W S n G b W 3 u s / V l q Y G J O D G V G o v M x J e 5 U Q N l 4 E N w 1 a 2 u t o W k p l l H M 4 7 + B I + F S z X U I c f 3 j h + B F g c T w s w l 8 f D c Z n 3 A N q f f c n J + f Z A h C Z N n P 9 r / 2 l 0 F y b O 8 m + R F m L 5 h g M Y w E B k p B b O Z p j X P U c i R + R l N f O D k k j w 6 s 3 5 Y h E L o q p 0 p u f F A A d a B 8 Q l d x 1 X h Q g u E f w N B L s C 5 + X J d b v / u v D x 0 t i Z z F W 8 l z U B 4 k K a u 2 Z 0 H 0 / Z H H G E N z T 8 i Z x 7 6 7 y g f L R Z o q A z D / x v X u X j 4 v W I X r s Q j a b Z 3 d e / 4 X D K B f q i o d d X q c K h g 8 z b b C J H E C D o 7 z X l b k L J 8 E / o y / I E y U h X O p A N i B r O R E E n U S q d I j N Z 8 6 q 6 z I H b N Y w 1 Y l 9 f d y A j L 2 p O U g h V n Q b U R B 2 l p N 2 s n 4 T L T 3 C B y P G S + 9 g Q k x i M g s m U l O o 5 J c A C S 0 2 c Y O W 0 1 w Q g t 4 + C G a E C b V V p l 4 b t + N 2 I m H m Y 9 z H P w H Y l l I t P q e 6 v w R 2 1 R 8 + a g R S / g B o 7 M Q + L g P z X T c I T n q a E u z 4 3 p 0 v k T t W W p t 1 Z f W l 0 s j u h 4 U a i d L g Y U R e 1 3 g l P t L k I D P a B k 4 W 5 O b S T z z H 5 w 7 i I j m T T / L h W G 6 M P e Q H u j P + g b N p o N q d W r K j x e e v m k v P q q M b n p Y H F N u n 5 / Q Y r Z j N Y r n b J 1 i h b 3 w O f A N A U N T e 4 N g X 7 e O Z a F d j E + X z / O l x w 5 M c e N Q o M D A R j Q q J a O S 8 s 1 0 9 7 i K 9 O r T P / 2 J w t C I j V + k 1 6 r C C K H S X T X T p i J + 0 Z P y K G p 4 7 K r 0 I J g o f V g L r s U R H / r t / 7 l b e r D Q L L p G y q S I H a + H R 0 E T P r k h i P c o p i b M w q Y q 4 v O + s 5 j F T i n Z 3 S s h q D L z e 0 W 4 + j o Q 1 N x + a l b J i C R G e 2 D C k W h u C 8 d F z E y f M 0 K c w c d m m r c X L / 3 V S 8 4 B S l D k y i u E a i s P S Z c 8 k 7 1 q Z d E T a d Y X Z h I w R Z h + h t / P r 6 y H I Z l 1 k O v x T 8 j a d n A M A F h 1 r j d u p q k l H C o I T 4 7 s t Q 0 r + L h 9 S y n M c l W c + W 6 p g T y q 3 o U E g 2 J K a P i + S h k a O Z s B l N X M q x J m w O l 4 1 o u + I / 0 0 2 h q L z d a U o Q Z V M y E K S a 5 V E z 2 Q 1 N c u 6 c o a W j I 1 V J f G s g A n m e 0 D J 9 N p k g l k 3 L 1 n h H 5 s R f t k L e 8 e H p N u v W G H X L V L v i k b A M V T i g q y k k h y X t 1 j A q V 3 s g E 5 P D D 4 7 N 1 e f h c V S N 1 v e D b S K b B b C / c l 4 c W X T X 5 2 0 5 Z z h 7 5 W 6 n O H 9 X 2 z E L K J W 3 m H 1 z Q h 9 T E T Z L b e y v 6 q F f T 8 W I j N B m 8 G s + M g q F S M p H 1 N B + a 4 e 3 u 1 s X T J f l Q l P C c v f r 1 Y 2 X 5 0 k M L 0 q h B 2 8 B 8 s i N t y U o N D N S R K / c X 5 Y q D f P V m X P L w b T i g W q q D Q F t 8 k R m u j a c l B Q c 3 G c m o 4 8 q N 8 w c 1 c A i a Z d y p l s S v W 5 l x z A P + l y s V N I O 5 T 0 0 K J I 5 p 8 O X Y b K B A + K + B + j p c / A d n N M q d c d H Z 5 B V 2 M o M e n L + W T Y 7 A 1 D i J 4 x w r S c h I a l r N U b N P I N u g J a 7 X Q O I y i p i U 6 V i j H j Q G k y A E T l x V p x w Z b 0 V T b R 2 o F 5 h e N z s E F q q e z M M k W r M 0 B d p L N S 3 k 2 J 5 C W g o w t 0 K C M V S 2 c T s b m L Z j O 7 X A T P V 6 R T L Z P N r J F 9 d t 6 f q v t e N h F 4 E G b Z A X i J E D 9 B y n o m n M q K W J Z C K X v m z u P D o n f 3 n X O T X z F F p s / U 9 e B A 3 4 n t f u k 7 3 j q / P 0 G u X T c u 9 n / 2 + p L x 5 H W 8 N / L E b g G 2 9 c u o n r P i g j V 7 w L 1 p 5 p w x W g D z 1 u l Q 0 6 o L m r D w Y Y z i 8 3 u n K + E p O F e g S M b V q I 2 m 4 j P K m g B K U 8 x 4 z a f E k 0 f k e h H q P x t j Q 7 N U j t J Q 2 f U 1 e k Y 3 B Q 2 3 E p O + e 1 E I w a 5 V M T Y M A M f I 2 8 6 Z x N p D k l n K 6 u h a b g p i r c r 2 6 + T O 1 o 3 g T C 5 9 A v Y r t z D w s y K b s r N P 5 W K o c v O n E U j O C 3 U Y 5 c U e c e M p S t + 2 l A / V M r 1 r x F N F x d W 4 1 z H B k 0 y S Q g G a E p q T m 5 7 H 2 h N g t T p i q j h U m d v F u B B D 7 b r M o h L n E A w 7 N O L I / 6 U N Q S / Z T z Z M D p P q q G e 8 Z q + s D 6 L Z P Z U a f x c G B X n 8 2 0 0 h L 4 C r G L 9 j S z E m h G U v P j G t S Z f x x v 4 1 A A p B Q 0 h 5 k v x 1 n m n O d n / E H W a V V T D A Y b H F o f z N R q U m p x 3 A 8 C A G W j W U z f M q D b l a L V n D Z M u 4 a U m 4 Z y 1 Z R m U a H K s 8 m Y X L E z K w V 9 I T n h y + L Z e + X u T 7 8 T x e d b K g 1 D J S H g B 8 G C t b T 7 5 f + v Z H a 8 Q u u 1 D m w D C q w 1 2 g t A u 7 c 6 F q y W K K w R M 8 1 s r s K h i O B 8 H 5 7 y O J Q x B 2 E e g N A r 7 T n B / + r w E 9 F u X p a r k E j J B W g B r n T N w b E c g 5 m S h a k H Z 3 W L h E a T L F y y T i 3 F M R N u l 8 X 7 a Z p w 9 r o G G 8 B Q u i o Y 9 z C x 2 R i E p w W h s z B g t r I c 0 W h C p o p c u Q p T D 4 k v 1 6 a v R s b i S + G W d U K p C W s n c K 2 O B Y E A T A g 5 I 6 X K B W m 6 N R k v 7 p D R L H c r i s r 3 q v O y H w z F Z e l 8 F x T N H L C 3 O u U 6 b o W y P i W N B S G l r 3 2 8 C K h J l j w T 0 m b I f C 1 I o a Z f l D l X W g k p I D D S L w e X u V U 0 t X O c 9 W Y E F h K d E 2 w Z a C A 4 D Y o B F E W g u f V m 8 w X / K M 6 Y L x I e C d L Q s v n x j u 5 x y P l 8 u r W 1 9 t D G Y C C K / R v S i e 4 J j 6 9 0 S d h 3 J + 7 / C z l y x 7 / T Y 9 l U R E Z z X G q j l 6 5 D c v Q F s u t l / 0 n s / B X B k Q F g u Z k 4 m B y C s z H I a K A P N d B Q H z L X Q j 0 K f 5 + b / u C S 4 F L i S f a w k W R E K + J I w 6 q K h 0 6 J t o p I q 6 F H E m v T S 8 l s Z T 8 e f h n K t E + y 6 R H t q E u T 2 r 6 O L y 3 W T 8 l i 4 6 y G e M P 7 V U u h K P w Z C h 6 W j K R D h m C n c P y J g 7 r U Z + o r I t H 8 z C b H o D E n J W 0 X I N k y K n l H s l M y l d s j O / I 7 Y O p x A 5 S W 1 B o 1 W V p e l o X l G Z l b O q X m K 5 d C t H x O u E V j A w k 0 + B I Y i e V w O m W d m d F 0 6 z o p t F p D + 3 D m A / 2 I T c A y U 4 p T Q + h A M J i A M 0 F I k L y f i U S m 0 r s P D J p Q O 3 K 2 x / q z b K B A K 8 E M X / l N j R c c 9 3 E / Z 7 h z X I h 9 Z C K S O I V z X C v G N / a z F T n u C L F k 7 q P J y 6 T M G q S V f J H w S X O c n c S 9 N O g z h 9 O O W I S L J a 5 h 4 r b W 7 D P t N / h H u D F 4 M 2 V b N Z Q 2 A x I D E p R X w c 9 1 y S 5 e i b w G 7 G a 1 B n i o C o M A r B M Z K q i H a m i U f S J n y e X j n l y / s y 1 X T / s y n T e b 5 B B P i q G q z q K c L z + q m m K u d k L q 7 X l U F q a C j c 5 o Q y M 1 c u I 3 E 1 K t p 2 F 6 x U C Y M W g l + C N w m r m D z q W C G o A B D j a M 2 r r 4 M 3 s t M B K F o z w B s P 4 k Q i a O h X A n o h Z X A O O 8 D g p z a g 2 0 R S E 5 K a m Y 2 d e P f w Q u x T 0 t S O S 2 Z O w R y W V 2 y w g Y K w a f i J I p G s d T 4 S v S e y M z F T I T a O A o N G U N + X d l b y o n D T z 3 W G 1 J z j o N q b h c b V v G f V F J p Z L K W N y c k p q L D K F M E R a 8 D 9 y 5 q F o F U y I 1 G n V x G t y 8 0 r w 5 h C / G 1 s g Z C G o Q U y V R P 5 K E i / M b Q o m f B E 0 q M P V f A f I 0 9 B w c 5 z W 4 n g J M x 8 9 w X s u u n B Y w j i Z 8 J + F x e l V P v j p U A S u G m 3 7 y P j O A z / O X D t 3 L E G 0 f z U T F K z e l d P 4 B P U 5 G C s f v l B z 6 E + q a G r 0 O 9 5 p V 2 R u C T K 4 3 K D E g 0 e x F f V R j s b 1 M o t D i v i p w U 2 V X 3 p N r p l y 5 f l d H C t A l Q T G 2 B k r r 5 e Y F f Z M E Z y J w g R 4 l N K f 3 l B q P Q / I 4 0 o L t 7 u B Y A p o p m 6 B Z d F y m R 0 7 J 3 t G q T B e 6 K 5 x 8 a b B 0 / t l U 7 n I 4 2 9 f J 7 s I 1 Y I o p F B 7 E A 3 N P g y X 4 x z U / X I 3 a b o K Z H D Q K T T y 0 C / t P t R K Y G V 0 i O Z s b W X J k P m g / p L g w q g M i g H l j w f G n V I 6 B i b m X h R I Y e i x u Q 7 p y l S v y 4 z z A T B y a L Z 7 V a U 9 J m H r c f u x w b l x 2 w Q x s J C a k D N O J b c Y h g k w G 1 4 G g y C R 1 a D w m M l j I W C G h c g 4 f t R M l u d m 4 B Z o Q W o P a k / P k m A / h O L w X B e 8 D B 3 L J 4 M 2 L M B S f R + t B G 6 0 H W h Y 2 B r B i Q T A I E m h h N g Q Z j f n z 2 p W D K 2 k 9 d M g F n 2 a V L L 6 t L / K l A d m w H 8 + 6 p 6 U e z N 8 j k 5 L W 2 R x K C n 0 p n t 4 l i e x e X A O G 3 w y M K o d j m b y Z G Q 8 E C g J C 4 I 5 Y d F / G U o 7 c v B 9 u y V Z 8 K D Y + Z y 7 w x W F k n k F g R 8 Q l L 5 F O V q V 8 m 4 4 l C S R f w 0 O 5 W T 1 n i 0 8 h L + 5 5 A O J U f 2 B w J 2 w G B j 3 I 1 N x e W B f P q U s A 5 l F B i Q Z A j d S n w l e O n f j q w 4 i c n u / K f N W X Y n I 3 C H Q 1 0 s O 3 d E x n f T k w P Y 7 O M Q 3 I + t B P W q y c h w l X W c 2 7 B x o d x H V 2 P C d T 2 Q M a d A k x 5 9 T x r D l d R p / P F D R A Q S J U s w / 3 8 D v N Q D 6 P D M e l D Z x N o U v W 8 b n y I g L 8 + e h g h m / L D d T V h 2 O M O l f r n i T B 4 E k w O J e Q j H H v d h A t y X c W G j K O C o 8 k U t r C Z A 5 l W D I C f U k 0 W A f M H g U h c C U 0 T T K e Z y S O n + o j o U w r 6 D h o Q 1 v v p c Z k O T l 4 T d N t M 3 Q h 5 F o o d y Q j q l l Z N 4 0 W b m E G x 0 a g d v 7 o P / 4 X q X z r D + R K d C M j e y M 5 C s D g g j 7 k d 7 1 W d t 7 4 m / C f D g R H N g H 9 V R I R Z 9 O r Y N k i n X K M d T O G 4 h Q U T h f i F s 1 c j N c L N n 6 Y G B q l 0 G M Y P A M i g t c i k a o t b m p Z u j C V O A O C m 0 o a h q T d e R h q u i 9 8 e Q n g T H I u n m N Y n T T a 4 i h p t A M i A Q m y E S h c 8 M E g L 4 M J D D p 8 6 F M z c t 8 T J J o g k w C 8 j l N b 3 v + G y 3 S m A c F p Q p y b 1 4 I m r n X n o e z W z w 4 I w Q V w 4 5 l 9 G t Q I Q Y a q u g 0 Z x X O T a J P + S a 5 s M 9 V I b T M U A A 9 A d 3 J i 2 c m o v d c S j 5 6 v y e 9 / 4 T i 0 F z g L 1 6 g 2 w X E y X N q O y r / 6 8 U M y U T B D A S X Y r z b u z 0 K C 8 r x h K D I z t T k + 0 W b x u I 3 7 O V h u 8 m N 9 l Z F R T s 7 o W N F Q B B i K 0 S + W m c T M b d R 4 D y c r G z 9 r M M E p b U C w O W V o a p u m L r U i / B k I C 5 1 B E Z S N t W B d 6 G p t B u Z J D f 7 z H 3 2 H J G b v l b f m f A i s C B i K 1 s c A o A 0 m r 3 6 P 7 L j u l y E U + 2 d a b I B 2 X e u r R B T m q u V c 2 y e D o A z F z m H q 7 0 i O / S w 3 Z q T S m I e E Z I M j U / 5 D 5 o a J j L m l j 8 V x n d E A K W 5 D + 2 T s U Y k 1 U 1 J l G D p e x g W r V E y p u C N 7 e a C l R B Z r n n z 3 F N + w v p 7 Y E 5 C 6 L 9 i b k y t 2 5 I I j B n w q i Z 1 T l F A 0 H Y T s R j y Y O t y C y 3 Q c Q Z L K w n Z 2 W w V 5 z 5 8 e k 7 O l w Y z x w X 9 y U H 7 m l j 0 o k x k e p q / D J Q Y U A I 3 u g n S s t c K k F 1 z d W o Q J 2 j s E w E 1 e q m 5 T R l G C G I 4 b q c x h g q C D A i j R B Z X m u Y 2 I 8 6 5 H S / L / / P l 3 g 1 / r 8 f F f v F Z 2 T b S M q R f J S g G E H k H f 9 K 4 d Y 9 6 s H 2 e x W G R + / O b 8 R m p K b k B D c 5 K a d C 0 z g + F 0 c 1 B D j C y r Y S q z 0 a c x S 9 d r K g 2 e Q N t y 3 M + r w B S C J a X L c V h f n O c z y G B c n t L h r k s 4 l o Y w 3 A x 8 / k J l Q V 7 7 H 1 8 n x W 5 D 3 j f a h R t g S S 4 9 m N h j 9 p j s u P a D M n r w n 4 I 2 Q b e k V 2 1 v t D V u 0 T F M H G d k 8 8 j 5 p v q q 6 R i 1 f x L C g h d Q w P k y n r M l l w z 6 T / s o T G t h l Z d K v u 6 q Q 4 Z C B l p p X E h m K o O Z a g 5 f c W I c e 5 M R v u h 4 i C m U 2 q / 4 y U J p R / A 7 / j h m M 5 K Y l o i T k F L 7 n L R i R o 1 y 5 k P R n h K + n C D E n Y 8 s Q P q e k H M l v l 8 2 O B h g u h i T D 7 z h g P z o d T u D I 2 v B A I T u a 4 f v f D n B o h N E A f F b o 1 P Q E O z C o 2 c S 8 m / / 9 r y U a u s Z g 4 3 0 x + + 8 R l 5 5 J U w + r a M h C L 4 K l U u t P a k g N S D 9 1 b Z E G U P / w Y D z 3 6 a y l 2 m d Q 9 T b n p y u L k s c B D u e z E g W D B W a c E 8 G X 3 p w X n 7 t k 9 8 L f q 3 H 7 7 9 t S g 7 v j 4 s j C Y E + l D x M 2 p S d V g Y x Y L 9 x j I w a B X 0 c M D / r S U 0 c 7 u j E 6 9 c w N b U T T d k e / 4 M E u V h z 5 L E z 8 3 D 0 y V B r B 7 G 5 X d q + 8 Q S s h i b O w d R 1 T V D D h l n K r P l M t o M H T c O 8 u M s t f R G + A S T E m j L 0 g H T 6 1 U f u k H / + X 9 + N O o q 8 H W T 0 q g l O G B h 8 f X r s W t l 9 4 4 c l P f p C b Q I F L 2 X + / I 2 u p J Z 2 v I b 8 m 8 8 9 J M f n I f x g p d C c D p f h k C Z u v q I o P 3 0 z I 7 9 4 K O 9 F O V a 7 k t f h B 4 5 H f + U D v 3 w b O z r C z s Y B I 2 U h h W A P V t x 5 8 e H V a 9 i S / k N Q X 7 S H 9 g e 3 o e J i Q J 7 T 0 G j w A N V 0 6 D R O M U o n C j B J o e 5 j H J z l 5 i V j k k c K p T n X 9 H z 5 4 U X 5 y s M w q z j u g A b u T Q c m U / L m G 3 f I W G 6 9 u m Z n c C 0 R m c q 8 y Z 1 7 l M N x T + Q l D n O S p h h D 4 9 w M 8 x v H G n L P 4 3 x N T x / H A m O 5 h P y z l + 2 S y f y q C c q 8 q a X o 7 6 V T y M c u I L + i m o + h 2 a r X I V H 4 U N p q n d X s Q 5 v g / 7 b r y k L L k S b a p g h / J r 5 J d O s c t O f / u v + C P H C y r B o 7 T P c + v i x f O 1 Y a O B k 2 x M 0 H Y U a P p i E A w P B e F X 3 S l j Q Y W X 0 k 9 i v H 8 W i e k T G C t i d 4 r g 2 p z T C 0 z p L H u T X E z J W 5 f Y O d P P / Q 8 R P y h 1 + a k z u O L u v u U n c e X Z Q 7 H j H p T q R D 0 x k p x L s 6 n 4 9 M G u U m n y l 8 g s 4 0 o S w c J N b 2 g 9 D h 8 6 k J G F o n g a u / h 2 Q s I I 4 f G n + V D P W 3 9 3 0 G b X K v b o 6 V B C M d y I I 5 k Q 8 X e z d 7 k g v B n 5 2 8 Q a Y P / z M w f t I I f d K r W l K k W 7 Q L m k J p 1 7 X k 0 Q s n 5 K 7 H 2 j I D j X p + y d X + Y D o L Q c + p X q + 6 a l K 3 Q m D / r k n 8 U C E L Q c F d j w Z N J 1 G b G 5 3 A 0 G + p c V Y r x Q q x 8 h R a X K j H k P C K o 8 6 W 6 c m C L 0 X L J c A 4 a E i n z D c F m r d 6 p N N Z s d O s n L m P O 7 x + 5 H O P y V c H L E W g a f L 6 F 4 7 J 7 / z T a 9 B w q x I y B M t D e 5 q v r + H j d d 8 F m B 8 m v G u 0 S M i 4 X O 7 w m W 9 f A E M Z 3 4 P Q 5 g B x 3 H h g R G 7 7 y U O y e 9 S Y o I Z R O S m U E j Y q 2 c z q P h Z s k 4 X a K a m 3 l u X E X F e + / K A n p + Y 7 K A c 7 i R r R + F G Z h C U / 9 Z J x u X 5 / R n w Q T q X T U s L a n Q x f h L Y e F C o f / v + P 4 v n B g Q B a T w i b Q Z t 2 h v j A G 2 x 5 2 c G k O K h 7 E U R c S K a l k B q H i R c w A x i j a 9 E P A n / 0 P Z 5 1 p Z V C X 4 6 7 O v W a p p V m R / I J a O Y + p n r 4 2 A l 5 1 8 d P i z t A Q B G / + m M H 5 N Z r s x q Z j L B t u h G J F 9 Y H I s g 0 d c e F e e 1 A o 3 L x J i w K F F J p D U x G Y U m z k m 2 n 7 Y A y v u O / v F P u P f V t t L d I C v 5 T M U s h E G T Y g 7 y d l X e 8 5 D 3 y 9 p v f h 1 8 D L u i B t 9 S S k 4 v n 5 d 1 / 8 Z C U B 2 x v x r v f / 4 a D O v 1 p M E w 7 W L V K e X C L K H y Z r T 6 h x K P 7 4 u G P v k r L Y 2 Q N D G X D F k d N 2 E m 8 l m q f 3 M 5 R 9 g k 4 6 X w 7 B g m Q 4 X X V d p A 2 8 R Y M E r + g 0 3 x S o 0 m 5 9 4 k l + d A n j 6 g f 1 Y + R d F R + + U f 2 y E / d s n F 0 h o 1 M m 5 7 h Z p o u 9 A M o I P r H O m g b 8 4 V l W l R O j Q K B U I i w I 7 h 3 e Y o D i P j O u s y W 2 1 K q O r C l X Z k e y + m Y Q 0 h g B D e A W a i f g T Y p y V / e 4 c A 0 X t + E m U h V / s X r d 8 s b b u C M D H Q 8 C K s C T b a I 9 m N w I A 3 m G 4 U 5 l A B 1 0 7 R I w G H + / H d m 5 T f / + 5 E g h 7 V A K 0 u + u y h p f / 2 G o n G r I 7 e + + o C 8 9 i W H d c V w F v Y / I 3 w r R M R o k c 5 4 6 J 8 9 Q e 1 K 4 Y G 2 a z Z w b w r m F 4 g e m p Y z 4 D k 2 R + a L W U E I n q Z f g I V K W f 7 J R + 4 X v o Z 1 E N 5 4 3 a j 8 + u u n Y e o W x E f 7 J E c 5 H L H a h i H w e G l 6 j P x 2 w T T Q G o E A p C Z i u R q N m g 5 X d E F H 3 A W r i T 5 + 8 x / 9 p C y A p l i c a B Z a d 9 A + H s D O / E 7 5 z V f / h r z m i l d r s K W f J n r R q j G o J f K L n / i U 3 P v Y n u D o W o x m E / K / f + N m p Z W N E F 3 Y c + t t X K j G G b 1 X T H M f t l V w x n W z U 0 X j Q u L Z U H e Z P W r C q S O H B o h J C o 2 d k l S 0 A J c K E g Q 6 O B n N q V a i N q J 2 Y D S u 1 D y n v x m Y 6 E R b 4 s V q Y L 6 o t C o R u e / E o n z t + A J 8 N x B G X 5 o q J u Q t N + 2 U n S P r C U G l G A x g M g W 1 J J m Z 0 o x Q J q d x j M + Q E f h i a D Y E N + p P I W + + 7 U J / I 9 H m D / m F n x Z 8 D W 7 C U k A D p u 3 V x Y I h y D 7 c 9 O X + E z V 5 4 A n O X j D H e 5 G 0 b X n l N b t 1 f R X D 0 d z z j 2 N E Y y D 0 S W g P P m g O z L U E H 7 X h L U s + W d R I 3 l c e X q + p i b i 0 5 d b 4 Z + V d i T + X 1 8 S / u i a 9 O n 6 X 3 H T 1 N Z L d c 5 l O C v b 8 i G T g Q y n 9 d q F d 2 P Z B A K g X b E F q g T B 8 b 9 Z x c W 2 U a Q c 0 i 8 m D Y D 4 9 f l Q K 5 u G X 7 v 6 2 L L i D d w / i j I u f f d V + 6 V b B T E W U h Z k N A B m K i b P I t Z 3 x P D N 3 k w z d k u X G n F R a M 1 K p L 0 L D c p M d X 7 5 w 7 9 9 A i z S 0 3 6 1 k 0 M f s l L 6 0 f / S A / F 8 v f Z f E f G g 9 M C j 3 4 + 8 V j L 3 g g H E b T L W v 2 J H b H 6 J J H 1 o y q x k 2 v Y 7 s K N h y z Z 6 8 n h m E 6 N L e N 9 9 W b r T k d d e M y 8 H J t Y 1 D f y D c 1 I M z F U i 8 1 F T c v y 6 X H t P Z A t y G K 5 s u 4 j e u S 5 K x Y r g W K p p h H V x f d / g m i M o 6 o u S s b C 9 W l 7 g 7 K 9 d O + n L 1 o a j c c D g m N 1 5 h 0 o s v j 8 t r r h 6 V l 1 w 2 h X J E Q b S w r d H Q N O X I q F z V 2 4 D m V K Z C I / E Y f S j O F S M 8 1 4 j O c P D T X A N G g 5 C w 4 q Z s G 4 F E x J e I W R r Z X H W 4 w 8 7 g J 5 c Y 3 P 1 Y V R 4 8 5 Q Y N v x Y j o N / X X o 0 2 n c p r 2 d W E Q a c 6 Y F R m k w F B j s G u T 0 I z 1 c E A i z g + v + D J P x 5 Z v x q W 4 M 6 6 y c J p a U y 0 5 F x + H G l M z q D t z + N 7 Z W q H H L r m 5 y W f 2 q O R v Q Z M O A 4 G 2 3 g m S A 4 V s p W n G M I 2 U S 5 k i M R y M R j B V 5 3 q G / K h N c M 6 r o F G a C k Q V x m K 1 3 0 T g v C J R Q q x I M O e l m i 4 b X n b y / f C I k F f c 0 L r g G w J l o U T T j k 3 k O 1 O A b z Q O A N h X o e Q b 0 i 1 s Y h c z X 7 t 3 J d x Y n R a H n j 0 b j l e O k X V K Z H U 4 I x j Y P 5 b D t w i P 3 7 d W 4 L + 6 s C c p D W w s X b h g s O x z L i 4 S 9 + C G e l I L m v L V K E T p K 7 s G q O L Y 8 k r D 2 / 8 v m H r 8 l / 6 j H / L F R n 5 D z / z Q i m k n 9 y 4 k C G W N q R I S Z b r c 3 C + E 2 C 0 M Z h Y r o b c / b g X R A 9 X w R W h Z D R b M p L x x 0 T s j s 4 V M y 9 A W + 0 4 2 t h c R 0 X m 4 d J 6 M j k D D l w Y y P v N q l I z 7 T 4 R o Y 9 g G k 3 f Y k h / B h 3 G g U g 6 w J y H x T X w V m L A j q g 9 o L l B M 1 I 3 Z w R h 8 t W f U T A r 7 + f g K T u I + 2 b 8 y R d P y F 9 / c + 3 m J i E O j F v y o V s v l 5 s P T a s 5 y j e Z k H r o B j G c n I G q T M S p G c 3 S + P s r y 3 L 8 S E N + 9 3 + d D n J Y C w r 4 1 1 / r y + u u h j m G O t s 4 A P k C X o H j n c / I w b F 9 Y r G s a B u + N X e 2 W Z M U h F s B m p h M x Y F u b Q t W G 4 m E 3 I W p y D r 6 8 F U T m V x g 9 g 7 Q J P R H O V u i z 4 / 6 q z v u k 8 / d c 1 z a P s 4 F z a m M i 8 t t 5 P N v f u 6 N s i O R k e Q k l + i Y 8 / 2 g v K N p q Z O W w V G 0 L e i 3 z 1 Q e M 0 t t P D B N z N d Z / R O 5 v W L H U / K 3 / / A / 5 V c / + 2 t i p X F u g 3 B 5 x s 7 I v 3 7 j h + W t 1 7 1 V + 5 I r q j n L n X 7 2 R n 1 P g e M u t y R a Z K A G j Y u y r Q F u I 2 0 m L j I o H Z 2 + 5 e 2 3 / d I P 7 Y c a 2 2 z i 4 G C Q m T j 3 r F x b l O X q g r S 6 T T C S g 1 T X h r F i 6 F 4 1 q c J K W M J 1 R y Q K m k 3 S t u C P o c L W o g Y u d F 9 u k A Q Z h 8 T G Z R p l Z 0 b P u U i c 8 k M T i V O e a E Z y U R i X B f C t i 7 z W 6 3 K T S z y / W z M q H p 3 k e F w 1 y n V M D o j O Q 5 n W r 6 p l P c J P M h S d X 2 p D E h j N F 9 r 5 5 j U 2 J E 9 L q n C i 7 z 5 y W k 6 d m 5 M Y / J M 4 y h W m B N K e E V t e d c 0 u 2 T m a V U e b g 6 X 6 x g 6 U h + 9 + 8 m H O 6 P t 5 o f F 9 G M 8 x m M u P P D o n X z s C 8 7 j V X J c 4 6 / v 1 h / b I q w 7 s k z 3 Z n T K d m Z Y 9 k z t k E q b 4 j v F x j S A y b w p g T o W J w 4 R a B q E n K Q i g e W J c O G r D N I Z p o w n X 0 i o 2 s z R g n j N 0 C 4 R + T t g e C n 5 F m / C N H N R w / M 3 + 3 J m 3 5 N r d M X n Z o Y y 8 7 G B e X r Y v J z c j v W R n T l 5 + 5 a j s n 9 o F A Q T G 7 7 D / g 7 x D M g j A 4 z z c B O M Q 3 A o A D 5 K l + i z q j X P 4 z Y H g f J o v i 8 g r T e S g T f / H N / 9 K 5 4 7 q z S x f X y q m i v I r r / k V K a Q K q o k Z s a V v P S g A F 4 L l 4 4 J a s 0 6 P L w x n 2 6 1 N F 9 N w h P X T H / m q / 8 f v u h Y c v a o V t o K Q 8 F h Y x 2 3 I c n l e R 9 D Z U d 1 o W w k + k u R + 4 Y a o e 8 G X T l O j L N R P i Y + G j L Z h / i W r a A e O 3 X N m Q 1 p 2 5 A 4 p M X O T x n p r C V q q p k z D x u b f V s B x I b 7 7 i c z E t x 3 G u 2 k Z y R S 1 g 2 L Q U g T r w L q w H t Q U 1 E g 0 z d g r b F i W n + F w 1 2 v r o j t S b D Y N Y Q A z 6 d 5 H j 8 l D Z 0 6 h r o Y Y Q 3 D c Y t / 4 F H y o F 8 h E c e 0 + 2 l x X V K k 3 Q c S e Z E H k C T i L H g g 6 G r X l 3 q 9 8 Q / 7 u i 5 8 S F 5 q l H + m E J W / 8 k T f I t d f f I A l G C n 0 w J w i 1 g z Z K j q G M S i R s F 5 j A w Q y U R a 8 p D d R 9 d x p + b U B E 9 E + I c J o U 6 0 7 z m M L C Z / 3 B 2 E b 4 8 Q 6 Y + G g / h r n B 0 c i X Q g g 6 h O 3 D J i L 4 S F y P Y p h + R v I q H a m D E c a K t A j q a N O U S n 8 y I 1 e F 6 1 v x A 5 A / G x 5 p y d S R h g z X v J 2 a f x j t D U 2 e y 8 o Y B A i H K 8 J F n r S G 3 v + H v y B / v 3 y H D o n 2 I q S M l x 5 8 q X z i 5 / + b f m c E k 9 s 2 U D t R s A 2 C m s I o Y x d l a d f b Y o / G I X g H a 7 + L w f r s N 4 7 6 P / S C 6 e D n 5 g i J j 5 8 u p H S z A q 3 h w 9 7 1 a 2 A k d A o K Z n m o O E w v 3 c M u T g Y D w X H J O o 4 x 5 W O T 0 F B p q T r c u s q S V B Y O h 4 3 8 y D B A m l u D B S + k p h a i p u M U o 3 B s i 8 e 4 F x / B t V d h e X S P C J i B 6 x g O P z m r I x 0 d 0 0 W P m Z Q J N D C s w v G j c A 4 b p R I l I A m K W r L m L S i R 5 J I T E v X j q r W q V Z g O 3 L 0 W x 3 l N u 2 8 6 F k F C Z J g 3 G e c 6 q 7 U S j Y G T W g M M B e L l N U 0 H P h i E R S y Z l w t H v i x 3 3 v V h M E E f l Q B Z l O 3 Q D f 9 C 8 v t u V f M T T 4 C 2 t a Q R g V 8 J c 5 k v T + O T + L 5 E a g W a U B S m 1 b Y r B z N p D a N z x g Z I B n W l 5 g W x o 5 4 u i J N 9 x p X O F i w N v m y t G 3 B L s 9 F A W 2 X V X F 4 R i v g o w Y x v e F U I R s 7 a N 7 s i K U O R E f G P U r 6 6 1 B Y v E 4 M G r Y L J G P L m P E U I A B 1 y Q c H Q J 9 p n I I 0 O 8 k 5 m u J a J p h b 6 E H n P l k / p 9 n H c 8 m 0 8 t w f C x + y I R b T r H f n y P Z + T 7 5 6 / X d u f Q z h 5 m K 8 5 a O R Z J y V 3 H U / L z 7 z u T f L T r 3 2 9 t j P n H 9 I X T r P f K B y A T h O 1 p P 3 N L A N m U s 0 N J q K Q j c Z B r 7 y 2 r / 8 2 g 7 W 8 t O R v t q Q i l O L s C B I f U w s + h O P C 9 E r V x Y 8 y I o K u A r G 0 u J k k + o o L / U i 0 / L O C d 7 r S Z u d + 4 h P Z v a Z D k a c u D s Q 9 r B z z Y M e F C e I U n W 0 a n h W O F 6 C y V Z O S L P g R M A 7 L p / d G N K L I E H 0 / 1 B e S p G S t K c n l 8 + i s K j q D D G p W o d I 8 7 B 1 / Y V 2 5 q Q w 3 g Y z D R J z M H N C y N B 3 U X V e 0 t i U L 6 Z l O k W m 2 L s l Y T j I V S 0 4 C o T b k m x R n F u b k j p l 7 4 Z f 9 D g S U 0 S K 9 4 G y M n 7 j + w / L i f W 8 N j h h o C 2 j Q w M C U 3 o C B D D K H F Y W 1 A D 8 2 A 8 Y r p t F O u A i 9 o + / B g j U p C Y G v 0 k 3 K l b m M m c 2 A 6 p A Q q 9 W K j i O R 8 X t N 5 J p X k c X q n E S c q I w m p 0 z 7 2 c g R B M m 8 u U V c u 4 K 8 s / C r X V u m 4 Z N Q + 0 d h M t E 1 4 Z A L S i T z N f P q n 1 0 p a C I I y R Y Y w o F Q 1 e 3 e Y O K y D C x / G h q W Y 2 o x r h 4 G H b Q b M N + K 5 A M I V j B v u w 6 h R i a g R g H d c R s g a n 6 a v R 6 E Y A N 9 l k o m d L Y K 6 8 F V x E 4 J 5 v C Y G f Q 2 r c d 2 Q e H D B k T e u n x D t X 1 v q 1 4 c V u n M v B / P 9 U i g P j A o w B A y n X w + m R K 3 3 X S l 7 M 9 I J + Z A C p q G J t O 1 U T k S O R e F a e U G g I u 0 8 o l J G U 1 f R C v i O W S i 3 j L p U m q o Y q 7 a 5 E T 2 J k 0 4 8 J b N 1 9 C Q A X E T X 2 B d j c 9 I v b s Y 3 L U K 5 h e B 9 M 1 F p i W T y c D M c S S d y a t N z I Y M G a k X j C p y q 2 b u 1 c 7 Z F v F I S j L x E T X b q v W G L s J L o 6 P s v n G q X r T x X E 6 U r X O G N 7 5 3 y J U A Z 2 D w e x v + p g e N l G z W o E G h M W t t m H Q x M G x S S k 5 M Z j t c W E K D L q o O e e / 0 p k t F I d W V q 6 d o a t K M j c j j 8 x 1 5 f J H a w 5 B M D g J v f 6 Y j k x N o k 4 S v S 0 w Y O e X E X p X s u I 4 b l L Z q E A i Q 6 q 1 k U + b c c 7 I z u R t W C X R j G 4 x H b k S G 3 E 1 r 0 b X k y A U L / g z H + n x Z b l j a d 7 h V n 4 l / o A c w F J j j 8 A T 6 E Y 8 g H V W 9 e Z j 5 Z b S B o + v Z L L R F I T 0 J S w E + F E z S O P e N o N V D w Q M L h 2 u z O m h f F 8 9 P 8 P l c 0 o P 2 I v M x g u l w Z j 0 1 F O d T o u 5 e 2 d P y k U 4 v C s 0 f z 9 E g 2 d Y 0 l V U 6 t e B T q 8 X z q x 1 F 4 t O p H 5 C k n P 5 j 9 h h A I S J J F L A u 1 e g c Z F o Q l k a h V Y O B T r i / 3 8 p m l I P p S 8 F t f Q v 2 R P B r a 2 D j 1 1 2 R p Y b I o 7 M 0 D c w j y M 8 c W 8 r C Z E Q T S s a p i Z W H b w Z T y E h u M B o + W S d K v o Q P r R I p S C 6 b F x u + S H 9 w Y h D 4 a k 7 m R D O 1 C 6 Z 0 v Z a U Q P h L V V d 2 Q c q N F 4 z k 6 4 c H c / J 0 o y K 5 G K 6 x 0 1 p e + l d a K q U o m s 0 V e f g C N 1 y E i Y j O g 2 y V J v w W G D J G C 2 8 j 4 j A L d x X a S s A 2 + m i p 2 p D v X M g q c Y d I o q 1 2 J l o y N Y L m i 7 W U 4 T O Z H O o d F Q d 1 d u B v N S D A 6 h B o N T B R q x t B P W m C g t D R B D F O v G V F 8 R + Z h x G 8 z U C j Y y r v y 1 i a / Y h y 4 r f G J m B S M 0 j F b c w o x H L Q V J x O t V Z 4 o f C w I / k W x 7 p L g R U N Z s H T d 4 c 2 g 4 b i U A q H B N I w e 1 X 5 g 2 a j 6 a 0 x i D G R U B H 2 n g q z 3 m e v h 7 V 4 c t 6 P Z a C u 2 R o s G 1 p A f Q o 0 P p 0 / + h Q U K Z Q 8 X c 7 A j i y L G 4 G j C W L h G I 9 u b 4 w C q p T X e X 9 s W t U X w S P W I w d m m g B T X Q o o 1 R 4 4 a 8 k C T P K N c 0 b n g A z 3 p m f E t s v S 5 e p C M h X r F f N w B h 0 E p i o m p i U F b Z P K j q i Z t x W E p t p 5 m A p 8 c x 8 3 d k z B z O E 8 w E x y / f g N 2 4 S a i f P H y E x m C + d e c I + N p p x f 7 s h j S x k I C H N e 2 / t p B A 2 H X N K H T w X C j U B D l e h H B i c D U D D R J 0 l B a M Y i 0 I / R p D T b M a l C G z j 0 h T Y h q i c L G i Q Z C E Z q N I 4 D k q l o g U R g x D W a Z b R 3 S n K c C U O z D d f D I I F f y 0 F 2 / A D h z 5 Q 7 s t y M y W i W 9 8 M 3 h 2 8 V A T P Q R M / D n y t k O I N 8 t e w 0 i F W w A U q / e N K G U B O Q 9 I R r t I 8 G t 4 E 1 / / g F P 5 F N 4 l q Y H 7 B Z X T x c o x w Q F T o 3 D S q A t M B o m x s t S z s K 0 y 8 A x 1 Z a D q M / q 8 / R K B + Y z U T K j G / T D 7 4 + Z n f + 6 u D X 1 s B G + + 4 5 S 1 8 7 u R k m 8 6 d l J L W g v p s F I o h 7 K W k l G j p L w 7 a y 0 F L o m F R B o 2 U k 4 P t P L u v k R 2 r j f n A W x S 2 H R m U C G r w N g T K 7 s A x J B 1 O P k z 4 h 5 T l t q J + Z a A 5 x R y i + w s B O x 5 U A 1 o C 2 P 5 h z t t w F Q c e l 0 e K M + O c e a H m Q 7 F R E b k G T P x 2 g B Z J k g K B j I s g p R m h x k F 3 F N 0 Z y G V w D C o S l Z C N S 8 I Y g 7 3 B h C F 8 p W k h H w G j w + a A F + d 5 j C h Y O x X C L O j I V J y N o W F 6 Z i l S L P 6 U H W G p g J H 7 n 3 h 7 o W S S j M s h U D J L F Y L k Z Q S j y f w C L 9 T K + Q q 5 v Z 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 G u i d = " a b e e 8 0 f d - a 1 8 5 - 4 1 7 7 - 9 d c c - 6 d 6 0 5 4 e 1 1 5 3 4 "   R e v = " 4 6 "   R e v G u i d = " e e e 8 e 1 6 0 - 0 0 9 3 - 4 4 0 4 - 8 d 4 0 - 2 f 2 8 a a 4 9 7 f d 7 "   V i s i b l e = " t r u e "   I n s t O n l y = " f a l s e "   G e o D a t a G u i d = " d 8 f b a a 6 f - f b b 0 - 4 2 c a - 9 e 0 b - 7 c 1 1 7 8 2 e 0 3 f c " & g t ; & l t ; G e o V i s   V i s i b l e = " t r u e "   L a y e r C o l o r S e t = " f a l s e "   R e g i o n S h a d i n g M o d e S e t = " f a l s e "   R e g i o n S h a d i n g M o d e = " G l o b a l "   V i s u a l T y p e = " S t a c k e d C o l u m n C h a r t "   N u l l s = " f a l s e "   Z e r o s = " f a l s e "   N e g a t i v e s = " f a l s e " 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i c e s & g t ; & l t ; G e o F i e l d W e l l D e f i n i t i o n   A c c u m u l a t e = " f a l s e "   D e c a y = " N o n e "   D e c a y T i m e I s N u l l = " t r u e "   D e c a y T i m e T i c k s = " 0 "   V M T i m e A c c u m u l a t e = " f a l s e "   V M T i m e P e r s i s t = " f a l s e "   U s e r N o t M a p B y = " t r u e "   S e l T i m e S t g = " N o n e "   C h o o s i n g G e o F i e l d s = " f a l s e " & g t ; & l t ; G e o E n t i t y   N a m e = " G e o E n t i t y "   V i s i b l e = " f a l s e " & g t ; & l t ; G e o C o l u m n s & g t ; & l t ; G e o C o l u m n   N a m e = " P r o v i n c i a "   V i s i b l e = " t r u e "   D a t a T y p e = " S t r i n g "   M o d e l Q u e r y N a m e = " ' R a n g o ' [ P r o v i n c i a ] " & g t ; & l t ; T a b l e   M o d e l N a m e = " R a n g o "   N a m e I n S o u r c e = " R a n g o "   V i s i b l e = " t r u e "   L a s t R e f r e s h = " 0 0 0 1 - 0 1 - 0 1 T 0 0 : 0 0 : 0 0 "   / & g t ; & l t ; / G e o C o l u m n & g t ; & l t ; / G e o C o l u m n s & g t ; & l t ; A d m i n D i s t r i c t   N a m e = " P r o v i n c i a "   V i s i b l e = " t r u e "   D a t a T y p e = " S t r i n g "   M o d e l Q u e r y N a m e = " ' R a n g o ' [ P r o v i n c i a ] " & g t ; & l t ; T a b l e   M o d e l N a m e = " R a n g o "   N a m e I n S o u r c e = " R a n g o "   V i s i b l e = " t r u e "   L a s t R e f r e s h = " 0 0 0 1 - 0 1 - 0 1 T 0 0 : 0 0 : 0 0 "   / & g t ; & l t ; / A d m i n D i s t r i c t & g t ; & l t ; / G e o E n t i t y & g t ; & l t ; M e a s u r e s & g t ; & l t ; M e a s u r e   N a m e = " S i e m b r a "   V i s i b l e = " t r u e "   D a t a T y p e = " L o n g "   M o d e l Q u e r y N a m e = " ' R a n g o ' [ S i e m b r a ] " & g t ; & l t ; T a b l e   M o d e l N a m e = " R a n g o "   N a m e I n S o u r c e = " R a n g o "   V i s i b l e = " t r u e "   L a s t R e f r e s h = " 0 0 0 1 - 0 1 - 0 1 T 0 0 : 0 0 : 0 0 "   / & g t ; & l t ; / M e a s u r e & g t ; & l t ; M e a s u r e   N a m e = " S c o t i a   C r e c e r "   V i s i b l e = " t r u e "   D a t a T y p e = " L o n g "   M o d e l Q u e r y N a m e = " ' R a n g o ' [ S c o t i a   C r e c e r ] " & g t ; & l t ; T a b l e   M o d e l N a m e = " R a n g o "   N a m e I n S o u r c e = " R a n g o "   V i s i b l e = " t r u e "   L a s t R e f r e s h = " 0 0 0 1 - 0 1 - 0 1 T 0 0 : 0 0 : 0 0 "   / & g t ; & l t ; / M e a s u r e & g t ; & l t ; M e a s u r e   N a m e = " R o m a n a "   V i s i b l e = " t r u e "   D a t a T y p e = " D o u b l e "   M o d e l Q u e r y N a m e = " ' R a n g o ' [ R o m a n a ] " & g t ; & l t ; T a b l e   M o d e l N a m e = " R a n g o "   N a m e I n S o u r c e = " R a n g o "   V i s i b l e = " t r u e "   L a s t R e f r e s h = " 0 0 0 1 - 0 1 - 0 1 T 0 0 : 0 0 : 0 0 "   / & g t ; & l t ; / M e a s u r e & g t ; & l t ; M e a s u r e   N a m e = " R e s e r v a s "   V i s i b l e = " t r u e "   D a t a T y p e = " L o n g "   M o d e l Q u e r y N a m e = " ' R a n g o ' [ R e s e r v a s ] " & g t ; & l t ; T a b l e   M o d e l N a m e = " R a n g o "   N a m e I n S o u r c e = " R a n g o "   V i s i b l e = " t r u e "   L a s t R e f r e s h = " 0 0 0 1 - 0 1 - 0 1 T 0 0 : 0 0 : 0 0 "   / & g t ; & l t ; / M e a s u r e & g t ; & l t ; M e a s u r e   N a m e = " A F P   P o p u l a r "   V i s i b l e = " t r u e "   D a t a T y p e = " L o n g "   M o d e l Q u e r y N a m e = " ' R a n g o ' [ A F P   P o p u l a r ] " & g t ; & l t ; T a b l e   M o d e l N a m e = " R a n g o "   N a m e I n S o u r c e = " R a n g o "   V i s i b l e = " t r u e "   L a s t R e f r e s h = " 0 0 0 1 - 0 1 - 0 1 T 0 0 : 0 0 : 0 0 "   / & g t ; & l t ; / M e a s u r e & g t ; & l t ; / M e a s u r e s & g t ; & l t ; M e a s u r e A F s & 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S t a t 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0 . 5 4 5 4 5 4 5 4 5 4 5 4 5 4 2 8 6 & l t ; / D a t a S c a l e & g t ; & l t ; D a t a S c a l e & g t ; 1 & l t ; / D a t a S c a l e & g t ; & l t ; D a t a S c a l e & g t ; 1 & l t ; / D a t a S c a l e & g t ; & l t ; D a t a S c a l e & g t ; 1 & l t ; / D a t a S c a l e & g t ; & l t ; / D a t a S c a l e s & g t ; & l t ; D i m n S c a l e s & g t ; & l t ; D i m n S c a l e & g t ; 1 . 7 3 8 6 3 6 3 6 3 6 3 6 3 6 2 4 & l t ; / D i m n S c a l e & g t ; & l t ; D i m n S c a l e & g t ; 1 & l t ; / D i m n S c a l e & g t ; & l t ; D i m n S c a l e & g t ; 1 & l t ; / D i m n S c a l e & g t ; & l t ; D i m n S c a l e & g t ; 1 & l t ; / D i m n S c a l e & g t ; & l t ; / D i m n S c a l e s & g t ; & l t ; / G e o V i s & g t ; & l t ; / L a y e r D e f i n i t i o n & g t ; & l t ; / L a y e r D e f i n i t i o n s & g t ; & l t ; D e c o r a t o r s & g t ; & l t ; D e c o r a t o r & g t ; & l t ; X & g t ; 5 4 8 & l t ; / X & g t ; & l t ; Y & g t ; 1 2 & 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g t ; & l t ; L a y e r I d & g t ; a b e e 8 0 f d - a 1 8 5 - 4 1 7 7 - 9 d c c - 6 d 6 0 5 4 e 1 1 5 3 4 & l t ; / L a y e r I d & g t ; & l t ; M i n i m u m & g t ; 0 & l t ; / M i n i m u m & g t ; & l t ; M a x i m u m & g t ; 2 8 8 1 1 3 0 & l t ; / M a x i m u m & g t ; & l t ; / L e g e n d & g t ; & l t ; D o c k & g t ; T o p R i g h t & l t ; / D o c k & g t ; & l t ; / D e c o r a t o r & g t ; & l t ; / D e c o r a t o r s & g t ; & l t ; / S e r i a l i z e d L a y e r M a n a g e r & g t ; < / L a y e r s C o n t e n t > < / S c e n e > < / S c e n e s > < / T o u r > 
</file>

<file path=customXml/item3.xml>��< ? x m l   v e r s i o n = " 1 . 0 "   e n c o d i n g = " u t f - 1 6 " ? > < V i s u a l i z a t i o n P S t a t e   x m l n s : x s i = " h t t p : / / w w w . w 3 . o r g / 2 0 0 1 / X M L S c h e m a - i n s t a n c e "   x m l n s : x s d = " h t t p : / / w w w . w 3 . o r g / 2 0 0 1 / X M L S c h e m a "   x m l n s = " h t t p : / / m i c r o s o f t . d a t a . v i s u a l i z a t i o n . C l i e n t . E x c e l . P S t a t e / 1 . 0 " > < r p > & l t ; R e g i o n C a c h e   x m l n s : i = " h t t p : / / w w w . w 3 . o r g / 2 0 0 1 / X M L S c h e m a - i n s t a n c e " & g t ; & l t ; r e n t r y & g t ; & l t ; r e n t r y k e y & g t ; & l t ; l a t & g t ; 1 8 . 8 6 3 7 9 3 5 3 8 5 2 8 7 0 7 & l t ; / l a t & g t ; & l t ; l o n & g t ; - 6 9 . 3 6 9 9 0 0 0 1 9 2 8 0 0 8 1 & l t ; / l o n & g t ; & l t ; l o d & g t ; 1 & l t ; / l o d & g t ; & l t ; t y p e & g t ; A d m i n D i v i s i o n 1 & l t ; / t y p e & g t ; & l t ; l a n g & g t ; e s - E S & l t ; / l a n g & g t ; & l t ; u r & g t ; U S & l t ; / u r & g t ; & l t ; / r e n t r y k e y & g t ; & l t ; r e n t r y v a l u e & g t ; & l t ; r p o l y g o n s & g t ; & l t ; i d & g t ; - 7 8 8 9 5 0 9 3 4 5 & l t ; / i d & g t ; & l t ; r i n g & g t ; t q g t 7 r 8 v t E 0 z y 3 F m 2 3 9 B l 3 p i B n 1 j t E & l t ; / r i n g & g t ; & l t ; / r p o l y g o n s & g t ; & l t ; r p o l y g o n s & g t ; & l t ; i d & g t ; - 7 8 8 9 5 0 9 3 4 4 & l t ; / i d & g t ; & l t ; r i n g & g t ; s o p s x 9 6 u s E u y o k F 2 o z e g g q 9 3 B s p h 1 E p i _ 7 C v _ - p C v p o k C 7 9 j o C - 3 m p B h i v m F r p 4 0 D r 6 8 k B 5 t 8 4 D i 1 o 2 C j - m j Q u n 2 4 H z 4 p i E 2 i 1 5 G o 4 i L o y 3 1 B o n y T p 6 w r I w t p s C p y k _ E i q 0 n P s v _ q C v 1 o 4 E w 2 8 i B _ z 2 s E 1 p 7 - Q - m - 8 Q n _ 5 t Y 0 3 u 7 R _ m g h D 6 9 z k R 6 n 3 d g r 8 k E y 9 4 n B m p 1 7 N 2 3 r l D k 9 5 m O k 0 2 u I 2 q _ s B i 5 _ o G 2 6 g q D 9 i t y F _ s j g J t x 0 x I m s n _ L 8 u i u D 5 2 n 3 d x k l s I i x 6 j D 3 x 7 z T 6 s p m I l g 8 i Y x i k 7 a h q 5 p B q 3 i g D z l z 2 7 B t n x q g B q z 0 z G y _ z 6 F x 0 7 y C n 8 x z E - w t - C i 6 1 u d 4 l k 3 u B 6 9 r z Z - j j 0 I s 5 _ r G 6 _ 6 w c _ 1 w h J 1 _ z l R 7 q p 9 F 0 z j q B 4 7 i T n p h x E s y z q J s t y W z 8 m - J l l i 8 M 0 9 m 8 E 0 l - v a 7 2 i 0 H 3 s s h B 6 x m y B w 2 1 j B t v t i D w 4 g u M 5 - 9 r F 2 m o o B l y p u E v j q g R _ p t s G 1 x j h B s o v u C 0 5 h 0 B p u 3 f q v 2 X p 1 0 3 C k 2 5 K 8 y v l D r s x X g o 6 s D i s v Z o r _ f 7 5 h 5 B 0 6 x 3 B r i 4 d j l 8 o D i 2 h 0 C r r 9 m N k n m h 0 G q u y q U i j p g W u o - 7 1 F 6 i z 6 L n 3 u s 2 C z g j z M 2 - 5 p 8 B p 2 q 2 B 2 1 o 1 O l 2 p 1 G - x _ 7 H 3 7 7 n B x 7 l 5 H 9 r n z N o t - o Q x k s - F 9 2 j - E u z m t Q z 6 9 j E _ n j R z w 7 h F 7 t 7 9 T u v 6 1 U y s 6 j E t l o w I u g 7 v E h x 6 e 7 z 2 K r 3 - - D u w u h C 0 h 2 x E t u w 5 V j o 5 n e s o i s B - l 2 3 O 7 l r - F - l q n l B 7 8 0 8 F n n p k F g 4 s _ Q p y 7 9 B t o q 8 e & l t ; / r i n g & g t ; & l t ; / r p o l y g o n s & g t ; & l t ; / r e n t r y v a l u e & g t ; & l t ; / r e n t r y & g t ; & l t ; r e n t r y & g t ; & l t ; r e n t r y k e y & g t ; & l t ; l a t & g t ; 1 9 . 0 5 4 0 7 3 5 9 9 3 2 1 3 0 3 & l t ; / l a t & g t ; & l t ; l o n & g t ; - 7 0 . 6 3 2 2 5 7 7 1 5 9 1 4 5 & l t ; / l o n & g t ; & l t ; l o d & g t ; 1 & l t ; / l o d & g t ; & l t ; t y p e & g t ; A d m i n D i v i s i o n 1 & l t ; / t y p e & g t ; & l t ; l a n g & g t ; e s - E S & l t ; / l a n g & g t ; & l t ; u r & g t ; U S & l t ; / u r & g t ; & l t ; / r e n t r y k e y & g t ; & l t ; r e n t r y v a l u e & g t ; & l t ; r p o l y g o n s & g t ; & l t ; i d & g t ; - 7 8 8 9 5 0 9 3 4 8 & l t ; / i d & g t ; & l t ; r i n g & g t ; u q 6 s 2 h 1 h x E y z 8 q T h 7 o r P q l _ 3 C z s s l Q 2 m q r E o 6 s g B i j n u C 3 4 s 3 I g m i q Y w y g j 0 B o o 7 2 V z m p m I m 6 u 8 d t z z t J m q r x F v m 3 n B l o m 9 T v h l 5 F u m w n K n 5 u p C v g p 9 U s 2 4 h E s 7 2 0 q B o s 3 r P 1 h u p H 5 0 x x B h m - j O r 7 m m n B r 3 v g B l p q o I k 8 _ d q t 9 x N 8 p o j E _ r 0 y q B 5 j _ f k 9 s y B z 6 7 u E x h x 3 C w i j 1 J 4 j 1 3 I g h p r B r o t g C 2 l 8 1 d h - 7 o P 6 q 3 5 y B q o q R k k m f 5 s 5 6 p B t m t y P p v 8 k I 7 7 i 6 E 4 n t q P 2 8 r 3 G 7 0 4 N 0 z 8 2 B q i x M 3 3 x - G j 9 4 s B 8 9 s 8 B h x g 8 B j 8 _ - D 0 w u m C - y 2 S 5 k g W n s y m B 9 5 y Z r o 8 V h y p 6 h B j 3 i 6 L 3 4 v 8 S k 1 4 0 R j v v 5 K 3 0 o i w B x n j y e - p r 0 C q 8 0 q I u p q x b g t m i E r i 3 i U _ 8 i h C 8 w t r F - 5 4 g E 3 t w j D 8 p l w H u g q i D 0 2 o _ O 2 s _ g T y _ 4 1 E j k _ h D r m 5 n P 9 j k s Q y h 5 h z B 9 j 7 5 U 8 8 l x J 2 l 7 h I _ q v - B g _ o o Q 9 7 u h p C 5 p 7 w X 4 x 1 4 M k 2 4 z i C u 4 v 8 B u y x 5 B h 9 5 g C u 6 l _ D 3 s x k r B k 4 7 8 Q q 1 t g H o m m t E h y r 2 F 2 v 4 r B q g 2 h E 4 v w p C y t 2 m B - 6 l l B v w q k C 2 q 5 6 B - 8 3 o D 3 9 r e 3 0 5 R 4 o - n H r 4 z p H 1 6 p g l B 9 q 0 s G r z t d t 2 g P j 2 q 9 B p l n y D 1 6 2 l U r j g g C - w 3 y R w r j z D r 3 w q B 0 i q 7 K 9 m - s Q 5 5 0 0 E x l 3 7 W z h l 2 S - s u 6 V n g 1 l D x p s w B 5 t _ p 1 B - - i i I v n m 9 F v 7 y g D 0 3 s t F _ k h x H 5 w - p 1 C 9 r k 0 b j v g 4 E s 3 9 1 a q t r _ D 1 k 5 j T _ w u g Q j 7 o w H 3 h y p C w h 2 x L 9 3 0 k C v h 4 q B s x 0 1 B v j y z C 9 u - y J m y - x B - p r 0 D g 2 1 _ V i 4 7 9 F _ 3 6 k K n n n 6 X u l 6 4 6 D v 7 4 6 N m g x g n B s j _ y H t 4 9 8 C 7 n n r G v u o n C 1 8 n p T 0 p 1 7 F j n 4 5 P k 9 2 - C j r t 3 y B l 2 x h Z & l t ; / r i n g & g t ; & l t ; / r p o l y g o n s & g t ; & l t ; / r e n t r y v a l u e & g t ; & l t ; / r e n t r y & g t ; & l t ; r e n t r y & g t ; & l t ; r e n t r y k e y & g t ; & l t ; l a t & g t ; 1 8 . 5 1 1 8 7 0 0 2 1 8 6 8 0 2 7 & l t ; / l a t & g t ; & l t ; l o n & g t ; - 7 1 . 3 3 4 6 1 7 0 6 8 2 0 8 8 & l t ; / l o n & g t ; & l t ; l o d & g t ; 1 & l t ; / l o d & g t ; & l t ; t y p e & g t ; A d m i n D i v i s i o n 1 & l t ; / t y p e & g t ; & l t ; l a n g & g t ; e s - E S & l t ; / l a n g & g t ; & l t ; u r & g t ; U S & l t ; / u r & g t ; & l t ; / r e n t r y k e y & g t ; & l t ; r e n t r y v a l u e & g t ; & l t ; r p o l y g o n s & g t ; & l t ; i d & g t ; - 7 8 8 9 5 0 9 3 3 9 & l t ; / i d & g t ; & l t ; r i n g & g t ; o l 6 0 q g j 4 x E i 9 w o D _ t j 8 D - h v i C q 1 7 v D 0 i j 2 E t w w 0 B s v r 8 C 2 n g u J 4 3 z i C r - q h V 8 0 2 1 C _ 6 3 8 M 7 - x p C 4 9 z 1 C j p x v C q 1 r _ J l 0 3 o C j - l w I o 2 u _ V u r p g K v 6 s 0 K 5 6 s 4 B o 9 o x B h 8 n k H 6 r 0 6 F x q 4 n B 3 k p _ C - k 8 o F 4 _ 7 _ B p j _ 3 B n 5 l 1 I z 1 _ q F 7 v x s L _ p - s C g 9 s x B p u 4 9 B l j l z D h _ w u I z u x s D h _ t j C _ u o l h B i 1 g 6 G q 6 6 k D r j y _ n B 7 y x g C 9 q 8 6 E i t q q E 9 w m 9 N n 7 u p n B 6 1 3 - 3 B 3 9 3 j Z u - 6 h I 9 s g q C 6 m n o B s v w 3 q B 5 w o 2 Y o w y w U 9 r - _ L 3 t o w l B o h y n Z x g 4 k h B 2 y j 6 F u q - o F z 1 4 x K 1 0 n 0 U - x 2 5 B k 0 o n M v t h 7 G 2 7 8 o m B v l 6 s E 4 5 o n B 2 9 r p g C q s q I 3 _ m g G x - g o C 4 8 s 1 J m x 0 _ C 9 u r m J i _ 0 9 O m k o s n C 9 g w r K 5 s l 1 m B h 5 2 u r S r - 9 p t B u p u m C u t k w N _ l x r g B y - 9 _ G m s 5 3 E o v v i n B y o z h D 7 5 0 1 _ C u v z W 0 - p 1 K t w - 7 w B - m g t E _ j 9 o E w i s w D 5 o 8 r F 7 0 _ - C i k 2 h D z 1 - y f m j l j O & l t ; / r i n g & g t ; & l t ; / r p o l y g o n s & g t ; & l t ; / r e n t r y v a l u e & g t ; & l t ; / r e n t r y & g t ; & l t ; r e n t r y & g t ; & l t ; r e n t r y k e y & g t ; & l t ; l a t & g t ; 1 9 . 4 1 8 0 2 2 1 8 7 9 1 0 0 5 4 & l t ; / l a t & g t ; & l t ; l o n & g t ; - 7 0 . 3 6 7 9 1 6 2 3 2 9 1 5 3 3 4 & l t ; / l o n & g t ; & l t ; l o d & g t ; 1 & l t ; / l o d & g t ; & l t ; t y p e & g t ; A d m i n D i v i s i o n 1 & l t ; / t y p e & g t ; & l t ; l a n g & g t ; e s - E S & l t ; / l a n g & g t ; & l t ; u r & g t ; U S & l t ; / u r & g t ; & l t ; / r e n t r y k e y & g t ; & l t ; r e n t r y v a l u e & g t ; & l t ; r p o l y g o n s & g t ; & l t ; i d & g t ; - 7 8 8 9 9 2 6 1 1 5 & l t ; / i d & g t ; & l t ; r i n g & g t ; j 2 5 h g j - k y E r o 8 i w B j 3 x 8 f 7 1 - t Q y i 1 l C o i w 7 M g p 5 2 P x p s i E w y y g D 2 l r i B z y 7 1 B 5 4 w 0 G g j z 1 C p y n 6 T z x g _ C m w z j C k m n 7 E 5 k j x F _ o r 1 D u z 9 s J x 7 s X w i _ y I 4 q p 4 C x v p _ O _ t 0 8 F o o _ 4 I 4 j n d - s v l B 2 s 6 9 D p j n x C z o 6 4 H h k u j G y p m v J 8 j q z D w 1 n m F j 5 z n F 8 8 4 - F h 3 m q v B _ m v x U 8 1 - 9 Q t _ 6 6 c 7 q i 1 R g p 5 p B _ z - 9 B t 7 o 1 J j q 2 j B n r r T p 9 p k E v 6 i t H 2 i n q P w s q 0 C 0 g o j D o 1 7 g I y 4 h s I y 8 v n H r 3 j _ L 2 2 8 i G p p n x E z j i 9 F h q z _ D h 4 8 w I 6 1 l p E t - p 9 l B 4 4 0 h C y 9 3 p b 6 o h 5 G 7 w t r F _ 7 _ g C q i 3 i U w 2 g i E t p q x b p 8 0 q I j 3 m 0 C w n j y e & l t ; / r i n g & g t ; & l t ; / r p o l y g o n s & g t ; & l t ; / r e n t r y v a l u e & g t ; & l t ; / r e n t r y & g t ; & l t ; r e n t r y & g t ; & l t ; r e n t r y k e y & g t ; & l t ; l a t & g t ; 1 8 . 5 7 9 4 5 8 0 9 3 5 1 6 8 0 9 & l t ; / l a t & g t ; & l t ; l o n & g t ; - 6 8 . 6 5 5 8 8 3 3 9 3 5 2 2 0 3 2 & l t ; / l o n & g t ; & l t ; l o d & g t ; 1 & l t ; / l o d & g t ; & l t ; t y p e & g t ; A d m i n D i v i s i o n 1 & l t ; / t y p e & g t ; & l t ; l a n g & g t ; e s - E S & l t ; / l a n g & g t ; & l t ; u r & g t ; U S & l t ; / u r & g t ; & l t ; / r e n t r y k e y & g t ; & l t ; r e n t r y v a l u e & g t ; & l t ; r p o l y g o n s & g t ; & l t ; i d & g t ; - 7 8 8 9 5 0 9 3 4 7 & l t ; / i d & g t ; & l t ; r i n g & g t ; x r v u q _ 6 w p E v t s u E p j m w E t i w x C t r u y F 1 x w - B 2 8 4 l D o s r a k s h g J 9 m 8 h B 4 3 p x Q m 8 m x 0 B t 2 g 4 I p w o z s B 8 y 5 z e p w w g T - 4 7 i c g o h w E 9 i s h N q j m 2 E q - 4 m H n v 2 w B l 0 i q j D 3 x 4 3 r D q _ 0 n S m q r l k B n s 9 6 k C r i m y q E z z 0 m e 0 z i q B 7 3 z Y i 4 8 w B y l - j E t i n i B 6 y q F - u 5 S m y h Q n 3 i W 8 w 5 l B 3 q 1 0 w F j 2 k 3 G 6 2 x 7 S k 8 3 7 I 6 p l f p l w g i B 3 h k t j C 3 2 o h D l v n 7 D o o o s n B i z 0 x X u u 2 r B 7 9 6 _ t B v n q o B _ q n - R s 8 y v z C 5 r - z D s - 7 i O - n u M q n m k f 6 x 4 r m C v 9 u w B 0 2 n k L 7 s r g C 1 s p _ D t u z n C j m y g D 4 - t F 0 5 9 7 B 3 p B 5 1 o L q 2 z l v E q 9 2 w 3 C x 4 w r z C p h 3 l 6 B v t 3 l E g l 9 0 D _ j v P 8 - j N 7 8 n h C 6 1 1 r C 6 - m y G l z 5 p K 7 r k q B 6 u u 0 E o m o o J t p y x E 6 t v n T o k i s E t v t 7 B r 7 s 0 C g 3 u - B 5 p y z x B 1 i 3 - D - i - - T 9 - x - B n v 8 m B q z r x E 4 9 u 6 W y w s 1 B - g 5 h C r 8 4 z H n v - k E 3 6 3 v b 3 0 o u G g 9 u 8 D 4 5 5 l C h 5 o - P w m _ 7 K 9 z t q E z _ m m S r q z j N w m g 7 D p r x k K g 5 1 7 C y _ x 9 B z u 8 l C m g v g P v r 1 x H 8 1 v r J 8 - s s C 2 r q _ C 7 8 9 h H z y v m D 7 0 z y B u 9 w p B 3 y x m D i 9 5 s H q y 2 k B w 5 j _ B x 5 v _ g B 2 _ 7 e 7 m v h G r 8 5 n D i i i g F 0 2 w p E u 6 8 o H v h s k B o 6 n k D h v t h B 5 h _ 2 E 7 4 i 5 C - k q - F 9 s k e g 7 s y n E i 0 m 1 B 2 w p p H 7 g 4 x p C o x m u u C t h 9 9 0 B x y 9 - L 5 t _ 3 U & l t ; / r i n g & g t ; & l t ; / r p o l y g o n s & g t ; & l t ; / r e n t r y v a l u e & g t ; & l t ; / r e n t r y & g t ; & l t ; r e n t r y & g t ; & l t ; r e n t r y k e y & g t ; & l t ; l a t & g t ; 1 9 . 5 8 4 8 0 0 6 6 5 0 3 8 3 2 3 & l t ; / l a t & g t ; & l t ; l o n & g t ; - 7 1 . 0 4 2 5 3 2 7 8 6 7 3 5 8 1 9 & l t ; / l o n & g t ; & l t ; l o d & g t ; 1 & l t ; / l o d & g t ; & l t ; t y p e & g t ; A d m i n D i v i s i o n 1 & l t ; / t y p e & g t ; & l t ; l a n g & g t ; e s - E S & l t ; / l a n g & g t ; & l t ; u r & g t ; U S & l t ; / u r & g t ; & l t ; / r e n t r y k e y & g t ; & l t ; r e n t r y v a l u e & g t ; & l t ; r p o l y g o n s & g t ; & l t ; i d & g t ; - 7 8 8 9 5 0 9 3 6 4 & l t ; / i d & g t ; & l t ; r i n g & g t ; 6 s i r 4 9 z 3 0 E 6 r o s I 0 u l 7 H i 5 0 u N r 4 0 s F l x y y R g 5 5 _ C s _ q l B t k _ 0 B - _ _ j B 7 n q t J 7 _ z s F k z 1 x J i 9 q 6 K 2 t j x 1 C 2 9 1 3 O 6 o p 0 B 6 k w h C h u v i B u 2 s u E m y i 3 B q q u b m h w i B j u j o S 0 q w m D n r 4 j C s 8 s v q C l k - 8 F v - 4 3 C j 2 m 1 E x i 1 h P 6 0 o d i l k j J m 4 6 r C 0 p 9 _ D g v p 2 O z n i z D z i w y J z 8 t t C 3 3 5 9 v B - 5 u u I z u 5 _ M 0 s g h K 8 z n l b l s o 0 C n 2 o d o m q T z l k x C 8 i j r G y 6 s l q C y v z z G 2 x v _ B 5 4 k s N s _ p 1 q B - u 2 l E z n o 2 P h z h 3 N _ 6 7 m C _ 5 k 1 C z 9 u 2 M z z j j D r 3 z u C 3 z 7 3 G k h o q E 9 9 0 q G 0 m - z C p g 0 t D n l g t B y t t Z r 1 6 q E - w n 5 B l z x 1 B 7 p 6 h B i i - F z u x i D s 4 4 s G v h 9 5 B u 1 i S _ v x q D p p 2 v B 6 t g 5 G 5 5 8 l B 5 7 4 n 3 B o v n h E 5 v 6 i U 4 3 t l E u s 0 h C 2 z u n j D 0 - 2 8 M 2 k 1 f p 9 g q C t i z 4 L g r 1 7 G & l t ; / r i n g & g t ; & l t ; / r p o l y g o n s & g t ; & l t ; / r e n t r y v a l u e & g t ; & l t ; / r e n t r y & g t ; & l t ; r e n t r y & g t ; & l t ; r e n t r y k e y & g t ; & l t ; l a t & g t ; 1 8 . 4 2 3 5 3 1 8 5 7 8 8 8 7 8 6 & l t ; / l a t & g t ; & l t ; l o n & g t ; - 7 1 . 6 2 1 7 7 0 2 0 2 5 3 3 0 8 5 & l t ; / l o n & g t ; & l t ; l o d & g t ; 1 & l t ; / l o d & g t ; & l t ; t y p e & g t ; A d m i n D i v i s i o n 1 & l t ; / t y p e & g t ; & l t ; l a n g & g t ; e s - E S & l t ; / l a n g & g t ; & l t ; u r & g t ; U S & l t ; / u r & g t ; & l t ; / r e n t r y k e y & g t ; & l t ; r e n t r y v a l u e & g t ; & l t ; r p o l y g o n s & g t ; & l t ; i d & g t ; - 7 8 8 9 5 0 9 3 4 6 & l t ; / i d & g t ; & l t ; r i n g & g t ; 3 u 1 r k p k 9 x E _ v 1 j a 0 q 3 p B y m q m G 1 5 9 v Y 1 u 7 9 D - _ j 9 V 4 2 u w C y 0 i _ L o x 5 y 6 H 0 2 x 0 L m 9 g w Z 4 t 3 m 9 B h 5 z y H s o t 9 7 B 6 i q 5 3 B l 6 s 1 T 7 1 1 - V 0 1 - y f j k 2 h D 8 0 _ - C 6 o 8 r F x i s w D m - i p E g n g t E u w - 7 w B 1 - p 1 K u j x W n p 5 0 _ C y q u h D w 5 9 h n B n s 5 3 E z - 9 _ G - l x r g B v t k w N m j q m C s - 9 p t B i 5 2 u r S 6 s l 1 m B p k 5 r K _ g g t n C 6 7 - 9 O _ u r m J n x 0 _ C o 2 1 1 J t n l o C z 8 t g G w 5 l h h B x j p n G m g 6 3 C 7 y 5 p 2 C l i t 2 x D x 6 4 1 M o n n l D 5 u j 3 D i m s s C p s 0 h D h k z m D s 3 5 i F l l q _ E m 6 5 5 M x 8 1 o E 5 g 2 r E z u 0 j G 5 m t h M j k v 7 D w t 7 g B j n p W 8 4 2 u I v w k 1 R v i _ 6 R x l 6 h p C m t _ n N q n 2 m o B 0 n 2 x E 9 _ 2 m D 7 i 8 x M l 4 j 2 C 9 w 6 0 W z 1 t x g N u 3 0 p E q 6 v - a 3 6 z 3 a q 0 r m z E 4 j 5 r m B t 5 5 3 U 7 i 5 P q j w 8 I s n 0 g q L l v n w l B 2 _ 1 2 X x q 8 4 Q r i w s Y 0 3 7 n p C t - j 0 b u r 4 p D p - t _ C 4 z 1 l C i 5 r 2 P _ _ 9 8 K - _ w x H o g m l V u w m 2 J j 6 3 y B s w 6 3 Q 8 j i w g D t v m 2 j B & l t ; / r i n g & g t ; & l t ; / r p o l y g o n s & g t ; & l t ; / r e n t r y v a l u e & g t ; & l t ; / r e n t r y & g t ; & l t ; r e n t r y & g t ; & l t ; r e n t r y k e y & g t ; & l t ; l a t & g t ; - 3 3 . 6 0 4 1 4 5 2 4 3 2 0 7 5 4 & l t ; / l a t & g t ; & l t ; l o n & g t ; - 7 0 . 6 2 6 9 7 3 4 5 3 4 7 2 7 1 5 & l t ; / l o n & g t ; & l t ; l o d & g t ; 1 & l t ; / l o d & g t ; & l t ; t y p e & g t ; A d m i n D i v i s i o n 1 & l t ; / t y p e & g t ; & l t ; l a n g & g t ; e s - E S & l t ; / l a n g & g t ; & l t ; u r & g t ; U S & l t ; / u r & g t ; & l t ; / r e n t r y k e y & g t ; & l t ; r e n t r y v a l u e & g t ; & l t ; r p o l y g o n s & g t ; & l t ; i d & g t ; - 7 8 8 9 7 6 6 8 3 8 & l t ; / i d & g t ; & l t ; r i n g & g t ; 4 z 4 - l x 5 v l G 1 q u i F u 7 l _ H v k y r M h o 5 1 I - q m p B u m y 7 M 5 8 l 6 C g 2 6 7 F z 0 2 k M w 0 y n K 7 n n r H v 5 n w S w l s t R 3 k g y B r g k t e z 3 u l C p h 3 x C l h w j C w y j 8 M 7 r 4 u D 5 i y u M t h 7 g G o q w h F p m x 2 G 8 x n - F u _ 3 q V l 8 n z e z s - g B g 5 v g H r z 6 3 E 4 9 p 2 R _ 3 7 s C o - 1 _ I x u l 6 H m 6 m y J r 8 q 9 D j 6 7 9 Y u h j 1 I 8 t x u J k h g 4 h B _ g 2 m B 0 w v u E z h z 9 M 0 7 q v K n t p n E h t l k m C 1 n 8 h T r g 5 s H 6 g q j i B 8 p 1 y D t p h t I _ s t x S i z n 8 I l 4 g k Q g h w p F 9 o x 6 D v 2 v z D o 8 r l E _ g 7 x C 5 _ z o q B z 8 t l e r m 3 x G u i u r Q j u q q S _ w x n i B 0 - l 8 K 9 q _ w E 5 1 3 k L r 4 x u F 4 m _ 0 R x 5 _ 6 I j - x g R - m g 5 H v n 9 i R s g m n Z n u n w W _ _ v 0 z C u y j 8 E j k j z h B 0 j 0 x R 3 w 4 5 H j l v m E 8 i 4 y K x r x z B t z 8 t U l 8 t b 4 q u v E 8 o 7 g D 1 2 8 p C i 2 8 i U g l y 7 B j 8 l 2 X v i - 9 D _ k 3 0 m B n p 3 z R m k y - I v 5 _ z s B 6 w w 6 q B i s 1 g b 2 8 u j Q 8 4 0 5 E r z 9 _ G w 1 _ 7 E r _ 7 l N 4 n u j F r t 9 j G 0 p p - b 4 2 u w O t 3 1 h D v p x 3 C 6 6 g s Q m _ 1 g T o j 2 o C v u q 2 L 8 z m k C k m 0 w E t 9 _ - M _ j 7 x D 0 h 1 _ F 8 q h _ D r 1 q r B x - y 8 d 4 - 6 t D 5 x u y C 2 x 7 6 G 8 5 n 3 l B o 3 n q H 7 0 2 k S 7 r 4 r C 1 y o 0 H m q l 5 L g 2 k s 1 B - r g u L j o 0 - L q w k 4 2 B y n q g J h 9 y v J 5 z _ k T 7 2 m q B k 9 j m C _ p j 3 B w n i g G g w 0 y N 0 q z v C 6 o 5 j D _ s 5 m K g n x p L 2 j _ n w B j q m 5 H y 7 6 k F w 2 3 p F x q 9 q Y t 3 o 7 H 3 0 g t X t 1 w i i B s 3 5 g K g j x m D 5 y l i m C p q 7 5 I y p w y C i h s j D v - 5 q B 6 l - 0 F g 2 v n H i r m k N v y _ l z B 8 w g 5 H s o u 5 I 2 y x o I 5 5 x o P 9 k w l G 7 q 9 y u B 7 l p g U g p 3 g C 2 6 h _ G t y t o V t h p h l C h y p x K g p z 2 2 B 3 z x 7 E u z j 6 I 9 s 5 m q B z v g 2 F j m v n K i 9 k 3 G q i 4 t F t w o 2 D 7 _ h j S g 9 p w M l z _ 3 C w 4 5 x C w v m 1 e i _ t z M z v w y O j h x j I o r n t G w u n q E q g v s S j m v g O 8 2 7 r V n v o x E u 2 j l K k u l o C h o 9 h E 2 7 - i L q _ _ o D n t 5 n X s x 9 1 E o 3 3 z I w 9 z 9 K g s j o Y h r r s E g n h j L _ u x j T 3 q t R k 0 z z F 0 n q g H 9 j 7 u F l x m r R y k t j B j 1 o 2 K w k 6 j D l 5 n 1 H p 2 8 j C 0 7 m m B z l o 7 L 4 h p 0 N o v v 2 D z n m g G - k y y N s q z m c v r o u G 1 g t k W 2 z u r M 4 w 2 4 E q z 8 s F 8 z o 9 E r 8 2 - D o _ 3 x D j i z t R o j i 9 I 5 k x t J 4 g h 0 M y v _ w B q s n t M _ 5 p l C 8 2 - 3 G o k n W i _ t o M 8 0 z k e m g n 9 J 0 m _ 0 C 6 g 1 x I t u 0 5 M 9 q v 6 E w p j 2 F k 6 i i S i 4 3 R 5 r 9 n G g k 9 3 D 5 k t h E t t v 9 U r g t o G v 7 y h C n n q l j B j l z _ U 4 v u h R 8 m 1 j S 5 x h o K _ j x 1 W 2 u i j B 5 q p - B t l j 9 U 0 s - 8 Z p x m 8 Q 2 - g y C y s 8 3 E - 5 t 6 E k g 6 0 t E j q o _ G w i y v D 1 o q 4 k L l 2 7 o Z y r s v d i k 7 e 6 9 u v E x i t w B l l h 8 B 0 z o o D l 8 5 g D 2 u n x O s o 3 x I 6 1 _ i g C 6 t o 7 H 6 h r 3 H r g v u C 5 3 n Y l j v w J v r 5 v F j h - o D j n m 8 B u 2 w i D 5 g 4 2 B u j _ l B g j r w q B m 3 m 6 z B k 2 o j 3 B s j p x D u t g x W s q i _ J 6 2 x 8 F y y s g C l 1 r q k B g r 8 j C r 5 - s L _ 3 h _ K q 9 m w J 1 - y 6 B 9 n k w R 3 3 z w L o o p s L m v - h R h t 7 x C w u h s B u 5 q m I n 6 4 q a 4 j 2 1 I x k v 7 C 8 h q q W 3 o l h C j z v n D j 1 h m P z 8 r t q B w j 0 h U 6 p v z Q t n i q E t 9 i 6 I t r k i K w o 5 d 7 n h 6 P x r w h D k p g w K z q 6 9 M j y q 7 E 3 z w 3 _ D o u s - I 3 u h 7 j B s w 1 p H 6 i t 6 P z w 3 m Q 7 - s 6 J w u 3 w C s 3 0 j E g z n 6 z B m l 4 s W 5 w t p J y k _ _ F k 1 p r J 0 1 w q B 4 t x j C _ 6 o v D r m s j e k 7 y w B 1 2 g m O u k 7 l K 8 y i u e k x - k D n p 8 _ V h q u 8 K 3 r n p N q 2 y j C 5 s p j 9 B z 4 7 y F h t w t I j i z x J n y s z k C 0 t n j E x q 8 v D 4 4 n p g B i z 8 6 j B x h n z K s p 8 t E u r y u _ B m 1 9 j H j q l 5 L r l m 8 J t m o l J r l 7 g O v h i i Q j 1 v z J n 7 z v C 5 8 3 q W x s x 4 K 6 w 2 7 F l h n q F h 7 x 1 D w 9 5 n N 7 m g z F 3 0 6 m D t m 0 z D g p v u T 5 t q t G v z u y F u 9 p 8 E - t 5 - E 5 x - _ C i 0 5 u F 5 o v r c 0 2 u y O _ 9 i y M i j 8 Y x 4 v 2 P n x k 6 d l i w i I k z x 4 G l k 3 6 E v p t t X l o w o D t l i y F p k m k M h o i y V 5 z p 5 O 3 2 t _ C t j 2 y H 8 g 5 j B r 5 0 m H j u m w H j 2 o 2 F 7 3 - m I m l m q I h 0 p 3 C l j 1 u k B h g z 8 6 B x 4 q x S 3 n s r G 1 n 2 p W k z g o G 0 s 6 g C 1 v 0 h E 0 u 4 3 P h 7 _ z W _ 5 n 7 E k 6 2 1 C v 7 4 i E & l t ; / r i n g & g t ; & l t ; / r p o l y g o n s & g t ; & l t ; / r e n t r y v a l u e & g t ; & l t ; / r e n t r y & g t ; & l t ; r e n t r y & g t ; & l t ; r e n t r y k e y & g t ; & l t ; l a t & g t ; 1 8 . 8 3 3 5 4 2 9 0 0 6 6 8 1 1 & l t ; / l a t & g t ; & l t ; l o n & g t ; - 7 1 . 1 6 6 8 6 3 4 1 8 1 6 6 5 7 1 & l t ; / l o n & g t ; & l t ; l o d & g t ; 1 & l t ; / l o d & g t ; & l t ; t y p e & g t ; A d m i n D i v i s i o n 1 & l t ; / t y p e & g t ; & l t ; l a n g & g t ; e s - E S & l t ; / l a n g & g t ; & l t ; u r & g t ; U S & l t ; / u r & g t ; & l t ; / r e n t r y k e y & g t ; & l t ; r e n t r y v a l u e & g t ; & l t ; r p o l y g o n s & g t ; & l t ; i d & g t ; - 7 8 8 9 5 0 9 3 6 2 & l t ; / i d & g t ; & l t ; r i n g & g t ; n 7 l h o x u l z E g o g o Z j 4 5 w l B 8 r - _ L n w y w U 1 y 2 2 Y k - i 4 q B 5 m n o B 8 s g q C u g j i I 2 9 3 j Z u 5 j 1 O k - 3 h O t o 1 g E - 5 8 4 H 5 i - i R 5 6 5 0 E 9 u i - O h 1 h 0 B h x _ U i g n r N o t m 2 B j 4 n r D w x - x C - w w d 1 k r w P u w - y C s n 5 w M 4 9 l q G g 9 i 0 c w w j v Z o 4 x x M u m o r O p w s n B 3 i x p C i s k 2 E u i m 4 K q l x n J 6 q u z B l t 5 T 8 v m y 9 C h _ 2 5 o B 5 h y h B - u 5 r G o n 7 v I 3 _ q 5 B h i - z G k p 3 i P y m w z I u 1 r j D m 7 h 9 B p p t j C t l z n L s z r 7 T k o 6 z L k v g 4 E _ r k 0 b 6 w - p 1 C 4 4 m d 4 t 6 k i B l n 5 5 D - 1 y n F w l k z X 9 s u 7 B 5 m 0 p C p g _ 2 W 0 r u r o B t p z j E g h _ z 6 B - _ j n L p 0 l 0 I g k r 2 N s y 1 p K _ t h z p B - o w z C g 5 0 8 F q q 8 z D 3 l g t D u 3 p z k C k 9 t 2 T 5 u z n G 5 8 o x F v n j r M 7 - x s Z p h 5 7 F g p i i F k j y f h x i s C z 6 3 3 E s i z r P 9 t r g R 8 _ 2 o D h y 5 8 e j p z t F q - l t N w 2 w i G j y 4 i b 5 v s 6 B 4 i v j G k 0 0 u Q j w 2 t I s m h m N l z 8 k L g 2 j m K 9 l 9 p C n p p v G i 3 y 3 X q j 7 3 C 4 g - - F v 3 5 q D 3 7 7 l n B 2 7 9 q D 7 t n 5 B o q 2 c 1 k 3 q J - 0 v i I 2 5 6 M l n l X 6 k s l G p 8 r p Q 9 o 3 9 U p 4 o p Q g _ h z K s y 8 p C j h t 3 F x 0 s m T 6 h m p F y 2 q 6 D g k r q H 2 9 q 1 F g s m i C g 7 r s S u 5 g l P x t p 2 O _ 4 i i U - o r 6 D 7 m j m B x k 5 8 M - s j r B i 0 _ y G h _ h 4 H 1 w s i i B m 4 x u Q 1 9 r p g C 3 5 o n B u l 6 s E 1 7 8 o m B r 6 o 7 G j 0 o n M z r 6 5 B 0 0 n 0 U 3 7 h y K t q - o F 1 y j 6 F w g 4 k h B & l t ; / r i n g & g t ; & l t ; / r p o l y g o n s & g t ; & l t ; / r e n t r y v a l u e & g t ; & l t ; / r e n t r y & g t ; & l t ; r e n t r y & g t ; & l t ; r e n t r y k e y & g t ; & l t ; l a t & g t ; 1 9 . 2 2 6 9 3 0 3 6 1 4 9 4 0 3 4 & l t ; / l a t & g t ; & l t ; l o n & g t ; - 6 9 . 4 8 0 1 0 4 5 5 0 2 4 6 2 & l t ; / l o n & g t ; & l t ; l o d & g t ; 1 & l t ; / l o d & g t ; & l t ; t y p e & g t ; A d m i n D i v i s i o n 1 & l t ; / t y p e & g t ; & l t ; l a n g & g t ; e s - E S & l t ; / l a n g & g t ; & l t ; u r & g t ; U S & l t ; / u r & g t ; & l t ; / r e n t r y k e y & g t ; & l t ; r e n t r y v a l u e & g t ; & l t ; r p o l y g o n s & g t ; & l t ; i d & g t ; - 7 8 8 9 5 0 9 3 5 8 & l t ; / i d & g t ; & l t ; r i n g & g t ; 7 g y 9 m p j 7 u E k t v i 0 G h 6 6 p D n _ p h C p j 1 V 1 l q i C x u 6 g M w g 1 8 F 8 1 y V 1 i n r D - 1 i q 4 B q _ n 2 J g - 0 0 H u 2 k j B g u h 9 B i - m Z o v j g H 6 p 5 N i x n 5 C z r 5 k D n 6 o 6 L 6 q - 2 E 3 5 9 n J t z l h C p g j _ Z h i z 4 P - h m x H s l w w C 9 u n 0 D t 3 u y P t 5 v y P l y 1 3 N w o q y G x t 0 u G _ z 3 8 C r i i z u C _ s y 9 B s _ 1 Y t l r c 9 2 8 r R 9 o m q B i 9 g 2 F 1 y _ 3 B s n w k M v j 6 l 2 B z 6 5 h H k l 7 8 D 4 k v R s 0 7 V 7 t _ 1 g B 1 5 n 5 z D m u p n U o h 2 s E 1 2 m i I n _ 5 5 N u t o p D y 5 9 s D i 3 p p F 0 2 r r G l 7 s u I g l - - D i - k 9 H l l j y 0 D 9 5 w e 7 - _ u D r x k 4 F i j 6 1 V 6 g g - B y m g h B 6 n u o C 7 v v Z 7 m 5 q N p l n t 4 B z s n w C 5 u 5 m G q 6 y n B k 6 r _ K 0 l g 3 I j i i k G l j 1 1 G 2 x 7 1 B 6 x 7 i O h 8 o m C w i j 8 I 8 9 u _ P _ s 7 o E r m 9 o C u k v 1 K j p k i a w r w t V 5 4 s q F q z z j D y 9 y h B w 2 y u B q v j 2 C u q 9 3 D k - l 1 E _ s n z 9 C w o n 4 V 4 i w - a k 0 h 4 g B m k 3 n t C q l 8 v g D 5 v 9 i Y p l 7 2 D j j p g D l 1 2 4 D y m m u H s m 4 y I u 0 v k C h 8 3 d 9 9 i v B 0 x r g B 9 _ t U 9 3 j g C 0 z 5 i B 6 u 9 n C s m o 1 C 2 y 3 x D u h 7 1 Q _ 9 8 1 D u o 4 z F 0 u 1 - E o w z i z B 3 t q 8 C 0 o 6 m C 2 x q 2 E l 1 v 3 u B o 5 4 7 S q p g 5 F 5 y w 1 R i q v w L k y l 7 g C & l t ; / r i n g & g t ; & l t ; / r p o l y g o n s & g t ; & l t ; r p o l y g o n s & g t ; & l t ; i d & g t ; - 7 8 8 9 5 0 9 3 5 7 & l t ; / i d & g t ; & l t ; r i n g & g t ; r p 2 9 u _ w _ v E h r 0 n C 9 1 k b w g 6 q B & l t ; / r i n g & g t ; & l t ; / r p o l y g o n s & g t ; & l t ; / r e n t r y v a l u e & g t ; & l t ; / r e n t r y & g t ; & l t ; r e n t r y & g t ; & l t ; r e n t r y k e y & g t ; & l t ; l a t & g t ; 1 9 . 4 3 5 8 0 3 7 6 4 5 3 2 0 7 1 & l t ; / l a t & g t ; & l t ; l o n & g t ; - 7 1 . 6 0 3 2 8 4 5 6 0 4 8 7 0 1 2 & l t ; / l o n & g t ; & l t ; l o d & g t ; 1 & l t ; / l o d & g t ; & l t ; t y p e & g t ; A d m i n D i v i s i o n 1 & l t ; / t y p e & g t ; & l t ; l a n g & g t ; e s - E S & l t ; / l a n g & g t ; & l t ; u r & g t ; U S & l t ; / u r & g t ; & l t ; / r e n t r y k e y & g t ; & l t ; r e n t r y v a l u e & g t ; & l t ; r p o l y g o n s & g t ; & l t ; i d & g t ; - 7 8 8 9 5 0 9 3 4 0 & l t ; / i d & g t ; & l t ; r i n g & g t ; _ w 6 x v 2 6 l 2 E p y r q E 1 2 u z D s g _ 9 C _ 8 s _ E 4 y i 1 G j o u j C 1 - - n P l w 6 n B s 9 v T 4 z r p C z u _ r G 4 p u 8 G l 1 1 1 E k h t k B v u s 6 B s j _ l G 9 p x 8 F z y u 3 H o k k i E i 6 s 6 E 3 u 1 1 I 5 3 l 3 C 9 9 8 3 t B 7 5 s 0 K h r y w C l 6 9 u C 8 5 o m G p 3 t n E j t i l P r 4 m i M 0 5 s z E 6 0 q v E i r u w C 6 0 j Y z k _ t E q l j x C v 3 m 6 E z m 2 6 C x o j o F _ o s 2 B 8 k - X j 1 9 4 H 2 m w _ T x t p 6 O s h l g L 7 7 2 p H l p 8 - F n 9 h 5 J m o z 5 B 5 6 y w C 3 2 9 3 G 7 h v w L g - u 6 B j o t X z 6 u 0 E 7 _ i z B u m 2 O j q 8 _ C 7 t l x E k 7 8 k Z v 5 i l G 5 u 6 u D 9 p j t D 4 p u x D l t u s D 4 z y 5 B v n 4 v C 1 i i u B l u w w C 9 m 4 t D 9 q q g R p 1 l 7 E 7 7 8 s J 5 g _ m M 9 1 w 5 f _ 3 z 5 F 0 0 2 p M - v i 4 B m n - 3 D n m y 7 E x 6 l p u B m m l v v C 6 j 7 o F 2 1 n 0 C 8 i 9 4 K 2 i q 1 C t 4 - z i B _ 1 8 5 e i k 5 g G 4 y 0 w I n 8 j 4 E 8 1 x m H 3 _ 5 6 R w 8 2 m E h i k s B 2 2 k g L o _ 4 6 C r h x p B l 9 m m Z 1 6 7 p G v j l 5 I 4 p i v I t x m o O 5 z - 1 I 4 z z u C 8 5 - o D - w - w C z 2 y g C l r n 0 D h y t m D x 3 r 7 B - p j o D 7 - 6 5 J 9 1 7 z C k k k l L m 4 1 g B j g u j K p 8 j 0 E 1 o g h B 6 w 7 h U 6 8 8 p C m 7 _ - E & l t ; / r i n g & g t ; & l t ; / r p o l y g o n s & g t ; & l t ; / r e n t r y v a l u e & g t ; & l t ; / r e n t r y & g t ; & l t ; r e n t r y & g t ; & l t ; r e n t r y k e y & g t ; & l t ; l a t & g t ; 1 9 . 5 3 8 5 4 2 6 4 4 1 8 9 3 & l t ; / l a t & g t ; & l t ; l o n & g t ; - 7 0 . 3 9 1 2 4 3 7 5 7 4 0 6 7 8 4 & l t ; / l o n & g t ; & l t ; l o d & g t ; 1 & l t ; / l o d & g t ; & l t ; t y p e & g t ; A d m i n D i v i s i o n 1 & l t ; / t y p e & g t ; & l t ; l a n g & g t ; e s - E S & l t ; / l a n g & g t ; & l t ; u r & g t ; U S & l t ; / u r & g t ; & l t ; / r e n t r y k e y & g t ; & l t ; r e n t r y v a l u e & g t ; & l t ; r p o l y g o n s & g t ; & l t ; i d & g t ; - 7 8 8 9 5 0 9 3 4 3 & l t ; / i d & g t ; & l t ; r i n g & g t ; 1 q g - u _ i 3 y E 0 0 z _ O v g q i D 8 h t w H 2 t w j D z v _ g E y 0 o 5 G y 2 m q b 5 4 0 h C 5 s 7 9 l B 7 1 l p E t g l x I i q z _ D 0 j i 9 F l q t x E 3 2 8 i G s 3 j _ L i w 3 n H y _ p s I 4 1 j h I 1 g o j D w - u 0 C 1 i n q P u 6 i t H t 1 v k E m r r T i q 2 j B s 7 o 1 J 9 z - 9 B w w 8 p B n n u 1 R x k q 7 c 7 1 - 9 Q 9 m v x U g 3 m q v B - m 4 g w B z 5 3 h Q - 5 g 6 B i p j j C p 4 0 _ L _ z z 7 H l y 0 8 C i 9 6 w B t s k s E i 3 3 - F p l 9 R n t 3 z I i 2 2 t a q 9 q k C 3 o z - C 1 o k z C h l u N w 3 _ 2 D s v 8 - E u 3 p m B s l r M l x k 6 H w 4 h y y C v y 7 r h G 9 t 3 l V m n r 6 k B h z 8 q h C u _ - m B z 6 z m B y 0 7 g w B g - k 0 H n 5 1 K _ o r 9 D 2 u k v D 9 - 0 y Y j 5 w 8 W w 8 8 y B g i u i D w t o i B _ v 8 r E k o y x B 0 s 3 r H r z m s G n 1 h g J q 4 7 z D q y 8 m C q x o _ B 2 7 9 g C x x 0 9 B p y n w C 8 0 w o C r 0 4 t C r q h n r B k i - t B i _ k z D q t 0 i H 0 9 r q W - g k - E y t l 1 D v j g w C _ o p 0 E k _ z 4 G u 8 1 3 C m p q r T u q 5 k O w v 5 p H j 2 - q C 9 j 5 l F 1 w 8 o D v 7 v y U i n 1 0 C p 8 s t G n 4 h i C w 6 u 5 O s q 7 h H w j p o G q y m 1 B 1 4 8 3 C h o g i B w q q 4 L 1 v k p C z l 8 x D o u z q N 4 0 v - G 7 8 l x J 8 j 7 5 U x h 5 h z B p y v s Q q m 5 n P i k _ h D 6 6 y 1 E _ h y g T & l t ; / r i n g & g t ; & l t ; / r p o l y g o n s & g t ; & l t ; / r e n t r y v a l u e & g t ; & l t ; / r e n t r y & g t ; & l t ; r e n t r y & g t ; & l t ; r e n t r y k e y & g t ; & l t ; l a t & g t ; 1 8 . 1 6 7 1 6 4 0 5 0 5 2 9 0 8 8 & l t ; / l a t & g t ; & l t ; l o n & g t ; - 7 1 . 2 1 3 4 1 3 6 4 7 8 5 2 1 0 7 & l t ; / l o n & g t ; & l t ; l o d & g t ; 1 & l t ; / l o d & g t ; & l t ; t y p e & g t ; A d m i n D i v i s i o n 1 & l t ; / t y p e & g t ; & l t ; l a n g & g t ; e s - E S & l t ; / l a n g & g t ; & l t ; u r & g t ; U S & l t ; / u r & g t ; & l t ; / r e n t r y k e y & g t ; & l t ; r e n t r y v a l u e & g t ; & l t ; r p o l y g o n s & g t ; & l t ; i d & g t ; - 7 8 8 9 7 5 9 5 1 3 & l t ; / i d & g t ; & l t ; r i n g & g t ; 6 0 o _ 2 k 7 v w E 1 h g w y B r u 9 x s B k _ u - n B x l l 9 0 H l 4 5 r N m 5 y U 0 1 z o L g y z o T 2 l i k R t 2 w _ G k r v n q C r s r o j B r 9 i _ G 3 1 r q N 3 x 2 u L 5 _ 8 3 e p x n 2 G - t u 4 m C q h t - T 8 7 r n 8 D i 7 7 8 Q y - x R n k Y 4 k _ L v 6 8 P 0 w v O 9 p 7 d - 0 4 - a 1 7 0 s a s 8 9 j b j - 6 6 G 6 i w 7 g B k 7 p s E v o l h F n g k 2 D i t h y F w u 7 8 J x q i 4 C u 5 g 4 I t o 7 j C 0 g o 3 C o n u w u C l _ r M z j 2 x D 4 0 1 1 M _ 9 g 8 G 2 0 4 5 B w 9 w w G 2 3 3 9 b 5 - m n F k v p t I - j _ 7 C k s 2 x K z p t 8 x B q x t 6 F i 8 n k H g t l x B 1 i p 4 B r z j 0 K v r p g K o u h _ V k - l w I 5 r z o C p 1 r _ J v 6 s v C 4 p v 1 C 8 - x p C _ 1 t 8 M 9 0 2 1 C n g _ g V o 1 v i C 2 x 3 t J r v r 8 C x 8 s 0 B z i j 2 E p 1 7 v D z - q i C 9 t j 8 D y 5 r o D n j l j O v t o - V k 6 s 1 T 6 _ 0 4 3 B t o t 9 7 B i 5 z y H 5 t 3 m 9 B m 0 y v Z 8 h o 0 L n x 5 y 6 H x 0 i _ L 3 2 u w C r 3 2 8 V 2 u 7 9 D 2 5 9 v Y q l j m G 1 q 3 p B 9 v 1 j a m w 3 v D q 9 3 5 N t 8 k s I 6 g o 6 F 5 j 1 _ P y j v v J 8 i 7 g D x 6 k 4 P 9 - i g E g u 4 _ U j 0 u 3 l C y - 5 W u 6 k z G 4 2 p g B l 7 - z K g q u 3 H _ - 5 w K w k - k H - u 5 t F k k _ y R p w i h C g s q p B s 6 3 p C u 4 l 3 B h q u l E g 9 p 8 E s w 3 n G u i n h I y 9 3 j N z 6 z z E i i m p I 6 x i x i B w _ 3 g H r z m _ l B w m 1 u L & l t ; / r i n g & g t ; & l t ; / r p o l y g o n s & g t ; & l t ; / r e n t r y v a l u e & g t ; & l t ; / r e n t r y & g t ; & l t ; r e n t r y & g t ; & l t ; r e n t r y k e y & g t ; & l t ; l a t & g t ; 1 9 . 4 4 5 4 8 5 9 9 3 4 1 3 6 5 5 & l t ; / l a t & g t ; & l t ; l o n & g t ; - 6 9 . 9 6 7 7 3 2 2 2 2 9 3 0 1 1 & l t ; / l o n & g t ; & l t ; l o d & g t ; 1 & l t ; / l o d & g t ; & l t ; t y p e & g t ; A d m i n D i v i s i o n 1 & l t ; / t y p e & g t ; & l t ; l a n g & g t ; e s - E S & l t ; / l a n g & g t ; & l t ; u r & g t ; U S & l t ; / u r & g t ; & l t ; / r e n t r y k e y & g t ; & l t ; r e n t r y v a l u e & g t ; & l t ; r p o l y g o n s & g t ; & l t ; i d & g t ; - 7 8 8 9 5 0 9 3 4 9 & l t ; / i d & g t ; & l t ; r i n g & g t ; 3 7 i i y 1 p i w E 1 2 1 7 D v 1 n v E _ - i 3 M 7 9 r v O 2 - v o t C w 1 3 s 3 D w - h v U n p q 5 G 7 5 0 g C z 0 v m g B o w y j G - m t m F n 3 g 1 x C z z 8 q I l 9 u h C i t 0 r B r t w 0 B 1 2 M 1 z l E x x u x C - i w o B z m 8 U 3 k k N h y n - E 3 h m 2 C 8 7 3 q D z w i e 8 n r 9 C 5 z u M 9 m y 3 D y k r 7 F k w o s C l t i u q B - 5 6 r N q - 5 7 F i l q V m x 1 5 X 1 m l x G _ 0 o o i B g - 9 g F q k 2 l E 1 j m i B 2 8 6 2 B q m z g F x y w v H z v k 8 y B t 5 5 k B w t 0 m x B t o p 8 F q k x h a 3 4 q u Q r l r M t 3 p m B k l 2 - E v 3 _ 2 D t q s N 0 o k z C r s u - C p 9 q k C 6 k o t a z j v z I 1 h 7 R y 5 w - F h v _ r E q t 3 w B m y 0 8 C m 2 r 7 H q 4 0 _ L i m - i C _ 5 g 6 B y 5 3 h Q k w j _ q B - 9 4 2 B 6 0 - 8 J s k y x F 0 t r r I 6 w g x H z u q _ E 5 u 6 k B 5 q m i F 8 4 7 k D q z 1 a z g h p I u o 9 x G s 0 o - W g o p g X 2 - 3 _ I m s j 0 D o i l 0 V t l r 7 F l 5 n - j C 3 9 x _ D j _ u y P v x r 2 D s g 1 6 K l 8 0 l D v z - k E 0 g 3 p o B 2 s s g E 7 6 h 5 H - v 3 z L p m i 2 K 5 y k j J z y 0 6 E i 5 z m J 1 6 2 o R w s x m C 7 q k z Q i u q w I g 8 k p c & l t ; / r i n g & g t ; & l t ; / r p o l y g o n s & g t ; & l t ; / r e n t r y v a l u e & g t ; & l t ; / r e n t r y & g t ; & l t ; r e n t r y & g t ; & l t ; r e n t r y k e y & g t ; & l t ; l a t & g t ; 1 8 . 8 1 9 1 2 2 5 4 7 3 8 1 8 7 & l t ; / l a t & g t ; & l t ; l o n & g t ; - 6 9 . 0 4 5 9 3 1 1 3 2 8 4 0 4 0 8 & l t ; / l o n & g t ; & l t ; l o d & g t ; 1 & l t ; / l o d & g t ; & l t ; t y p e & g t ; A d m i n D i v i s i o n 1 & l t ; / t y p e & g t ; & l t ; l a n g & g t ; e s - E S & l t ; / l a n g & g t ; & l t ; u r & g t ; U S & l t ; / u r & g t ; & l t ; / r e n t r y k e y & g t ; & l t ; r e n t r y v a l u e & g t ; & l t ; r p o l y g o n s & g t ; & l t ; i d & g t ; - 7 8 8 9 5 0 9 3 4 2 & l t ; / i d & g t ; & l t ; r i n g & g t ; _ 2 l i _ 8 - z r E x r _ 0 H h 0 4 r K g 6 r t D 0 x s 4 D i 4 j 3 C 0 u x 8 W v _ 5 o Y m s x i n C 2 3 4 l E l m s 7 J j h 7 1 G l 6 0 n C i 2 j n N - 3 z 2 C g 4 l 7 D s q z j N 3 g z m S _ z t q E g x n 8 K 9 i 0 - P w - 9 l C - 8 u 8 D z 6 v u G r 1 m w b o v - k E n 2 g 0 H g h 5 h C y l w 1 B o u 8 6 W q 0 x x E o v 8 m B x - 1 - B g j - - T x 3 8 - D 6 p y z x B w 2 y - B s 7 s 0 C 5 q x 7 B p k i s E 6 6 7 n T x q 4 x E p m o o J 6 x 0 0 E 6 r k q B 5 1 i q K 5 - m y G i h 6 r C 8 8 n h C 8 5 l N _ i x P - k 9 0 D w t 3 l E k s j z M 0 m g w J 0 r 9 - U - w r _ V q n - 6 u E u 0 6 q O 1 y x 7 E 4 m 7 i H v 4 0 i F w - 3 w B j 8 z w D k 4 8 6 F 2 l k 8 E _ m 6 t M l y l m I u r m t y C 5 i y 7 F g x 5 1 F z k x q D k 3 q h G 9 u 8 o w B 7 p m j D 0 p u j G i g k m E y s 1 0 B h 8 v l L x o j s G g o 3 w B i 3 p y B t u _ t B o 8 p 3 C 1 j s y U k 9 0 v P k 5 u v E s n x q g B y l z 2 7 B y 6 9 - C 1 i 2 p B y i k 7 a m g 8 i Y 7 s p m I 7 g v z T j x 6 j D y k l s I 1 k z 7 M p 8 0 3 E 9 u i u D u z 9 9 L r 3 4 g B 9 4 7 8 J 8 p _ z R 1 6 g q D q 2 3 o G 1 q _ s B j 0 2 u I j 9 5 m O 2 2 m l D l p 1 7 N y i 8 n B w j i l E 5 n 3 d 5 9 z k R u p 7 g D z 3 u 7 R m _ 5 t Y _ m - 8 Q 0 p 7 - Q m 2 w s E v 2 8 i B j w i 4 E r v _ q C _ z - 4 C m n - b 6 p l z R v t 7 9 C k k t 7 H 4 v 0 i C 3 n n 2 L _ p x r I n s h r Z j m u 0 C 4 v m v Q z t i s B - y u 6 L 0 0 w S 1 r i l E u 0 2 8 Q z r r n h D - l t 4 D z j p r B m g l k H t z v 9 d & l t ; / r i n g & g t ; & l t ; / r p o l y g o n s & g t ; & l t ; / r e n t r y v a l u e & g t ; & l t ; / r e n t r y & g t ; & l t ; r e n t r y & g t ; & l t ; r e n t r y k e y & g t ; & l t ; l a t & g t ; 5 8 . 9 2 2 2 9 9 9 8 5 0 3 7 8 & l t ; / l a t & g t ; & l t ; l o n & g t ; 2 4 . 7 0 0 7 9 6 5 3 8 2 0 2 8 0 2 & l t ; / l o n & g t ; & l t ; l o d & g t ; 1 & l t ; / l o d & g t ; & l t ; t y p e & g t ; A d m i n D i v i s i o n 1 & l t ; / t y p e & g t ; & l t ; l a n g & g t ; e s - E S & l t ; / l a n g & g t ; & l t ; u r & g t ; U S & l t ; / u r & g t ; & l t ; / r e n t r y k e y & g t ; & l t ; r e n t r y v a l u e & g t ; & l t ; r p o l y g o n s & g t ; & l t ; i d & g t ; - 7 8 8 9 7 0 7 0 6 8 & l t ; / i d & g t ; & l t ; r i n g & g t ; g 1 h v r j 5 t 9 D - t y 2 B j n 2 2 t B u - k 0 c g z 1 3 M m y 3 a 0 n _ 4 l B m _ 8 m n B 2 5 w u P q m 1 t F _ 0 m 2 i B 3 0 v 1 P 9 2 u _ C w p x 3 P z 9 r t g E w g 9 z i B p n g o D j s _ i S u s i p F l 1 t 7 l C 0 z _ 7 Q v 4 u n D 2 h z j I m p 1 w N k 2 p i c 6 z 2 t 8 D _ l m 5 j B s 9 3 9 F y 7 8 i C 6 z y j B 8 4 g U o z r p I - l - p L i 9 i n O h l y t C r 1 6 n J k t h k D 0 t 4 - F k j t y E y 1 k q E j q 2 3 B o m u S 4 0 _ h D h g n 0 I q 7 8 q E p 2 _ 4 G h 7 0 y B s y 3 v G o 7 p y p E 3 u y q D 4 q g - a g 8 u 7 C 3 l o - X l 4 i r C - 4 8 - J o 5 x 7 6 C l p u r E 2 g m o K l w p h S l 4 s X s 7 9 5 S z 2 4 s D j j 7 q f 2 j 1 m C u g p x D n s g x I 5 n 0 _ K t x j N w l y x C 5 8 i x B z j p 0 B 0 r i k B g u k s R u i 4 u h C o w 0 7 o B 3 s m x m B r j k - 4 B 2 l 3 m B p 3 p 6 C 5 - 0 0 Z _ y u 5 B h h 0 7 E g z 4 y K p w y 5 D 6 k h p B w 9 6 2 s B k 4 s M m p 7 7 B l v 6 _ c o k w X z x o p H 4 2 0 0 F 0 t p 4 d 7 u j s T 4 v - g N r l l v Q 1 t m _ C l y 6 s E 7 g x 4 e p x - o v B 4 - 5 9 - C y x s 6 D l k 1 o F 3 8 2 2 I u 1 7 3 D p o z x L s p n 0 Z x l 2 g C y 2 9 e 7 _ 8 l E s l - Z m 8 r l C i t v z H q r w Q _ g s y I p j 7 s P k y 9 2 g J l 5 5 a _ l 8 w J 1 w 5 x F 7 m y l D j o o c m x h v G z 0 o 4 K n n p 2 H 6 h 0 0 U 5 r r g D i r k 4 B 7 u m O g 8 7 _ W s 1 j i G - x n w B i q 2 h P 9 g r f 1 t 5 - C g p t l I 7 p p y g B 7 _ 4 h T 9 0 u m E m g 9 _ V h r t m V - w t p i B q - r 6 I 3 u o - B 0 m s l E q 6 v 2 Q 7 g g 7 h E i l j - o C 3 s u y s C g r j Q i l 3 5 S h y 0 1 C r 4 8 z D g 9 p k G i o o m G o r l j B - o _ d n 6 - h I 5 s k 7 L w w 9 X o s 7 j I s n y p C _ 5 8 r D 1 y n 6 I q h t 9 B q - v Z k 9 3 3 B 5 - w t E v 6 q 1 C v 2 s o G q y h m B q 3 n x I 7 4 t z C z k 1 w B 6 m 2 w z B j m 5 p o B t 9 9 v k B m q l h K l n - i 9 D j _ n o B w y 1 p F 5 l 5 j N 9 i 4 2 F x 7 s t R u 7 3 Z j v t y C 1 p n 8 p B u m x 2 M g p 2 m E t 4 6 2 E j i l 2 E i x 9 m M 6 z r n B u m g 0 H w s - 3 J m q l k E j 0 r o Q 2 x 1 t E p i s g G - - o v H m u - m G k x n u J 6 m u h S 2 r u _ B o l r 1 B l q r u D 9 0 5 z O 8 - 5 9 B x 9 t u J n x 0 u I g g y x B t j n m T - 8 o t _ B 7 g 9 5 L t 4 7 4 C 9 v 0 l B l _ l g B i h 6 y C 4 v h o K h _ y t D l v x h k B 4 h j 2 T j x n 4 C 7 0 0 a 7 i q 1 5 B h u r 2 3 D 7 n 2 w _ B z 5 5 5 - B 4 4 w v 5 D j t _ p g B & l t ; / r i n g & g t ; & l t ; / r p o l y g o n s & g t ; & l t ; / r e n t r y v a l u e & g t ; & l t ; / r e n t r y & g t ; & l t ; r e n t r y & g t ; & l t ; r e n t r y k e y & g t ; & l t ; l a t & g t ; 1 9 . 3 7 9 9 0 9 4 1 6 4 5 4 3 3 6 & l t ; / l a t & g t ; & l t ; l o n & g t ; - 7 1 . 3 2 2 8 5 3 3 3 9 5 6 1 5 4 7 & l t ; / l o n & g t ; & l t ; l o d & g t ; 1 & l t ; / l o d & g t ; & l t ; t y p e & g t ; A d m i n D i v i s i o n 1 & l t ; / t y p e & g t ; & l t ; l a n g & g t ; e s - E S & l t ; / l a n g & g t ; & l t ; u r & g t ; U S & l t ; / u r & g t ; & l t ; / r e n t r y k e y & g t ; & l t ; r e n t r y v a l u e & g t ; & l t ; r p o l y g o n s & g t ; & l t ; i d & g t ; - 7 8 8 9 7 5 9 5 2 1 & l t ; / i d & g t ; & l t ; r i n g & g t ; t l h 8 0 1 x 4 0 E m l h 0 k C r h 1 0 b n q 8 w B 6 x i u J - 0 9 t E p 0 7 4 B q w n t D u w _ 3 F 8 p h 9 C x 7 h r B 0 m 3 m C v 7 1 1 G i 7 o V 7 o 3 y F 5 1 2 P 5 n 9 i C m l 4 1 B l t 8 _ R - j t m B w 3 q 8 J t q u x B q 5 t j F t w r 5 E 1 - 3 Z 2 z i 3 B r 8 x j B 6 s t u B 9 5 r i D h s k u D m k 8 j C h 1 t i E p m s k I o s 9 _ G n 4 s 7 D 9 y 8 0 C v m 4 8 D m 3 y 4 B 3 z 1 g C - k j X p 6 _ _ G 3 2 9 u C 6 - n 0 F l 9 4 2 R 9 3 _ u G t 7 _ H z 1 7 i G q 7 g l D w l g v J w w - n B l j u r B r n - n B 4 8 y q H o w 8 l D v s 0 h C g - n l E l 6 t i U p v n h E 6 7 4 n 3 B 6 5 8 l B y 5 n 5 G q p 2 v B - v x q D u x g S w h 9 5 B s 9 - s G 2 5 i j q B 2 i i u X m 8 _ o C 8 7 u h H j 9 m y F u 2 m h y B 7 1 2 a 7 0 1 6 G k j 5 y K l z r k C v k j 9 F 1 2 p y H n k 7 3 e 7 q 2 n H v 5 8 t K i j - 5 G 6 1 p 0 B h v 0 p B 6 j x g D h x - z B r w r 7 B 4 5 3 Q l x _ 5 O u y j _ T 3 4 1 4 H 0 2 8 X 9 o s 2 B l 5 8 n F y m 2 6 C 7 w g 6 E q 1 _ w C y k _ t E q m h Y h r u w C q 1 k v E z 5 s z E - 9 8 h M i t i l P l 9 n n E 0 4 h m G k 6 9 u C g r y w C 3 y j 0 K 5 5 p 3 t B 4 3 l 3 C 2 u 1 1 I q z m 6 E n k k i E - 2 m 3 H o 9 j l E t y q g E u q v j E 0 g 5 p D z t h 2 E 3 w m v B i 5 9 w E 7 m g j B _ 9 7 4 G k u w _ K x 0 l x l C t v h q I o 7 o 0 P y 3 x k H n w 0 y S _ k z u f 9 x v x F 9 w 6 n G j 9 t 2 T & l t ; / r i n g & g t ; & l t ; / r p o l y g o n s & g t ; & l t ; / r e n t r y v a l u e & g t ; & l t ; / r e n t r y & g t ; & l t ; r e n t r y & g t ; & l t ; r e n t r y k e y & g t ; & l t ; l a t & g t ; 1 8 . 4 8 4 5 5 5 3 6 8 9 4 7 7 9 5 & l t ; / l a t & g t ; & l t ; l o n & g t ; - 6 9 . 9 4 2 5 1 8 2 8 1 6 4 6 8 2 6 & l t ; / l o n & g t ; & l t ; l o d & g t ; 1 & l t ; / l o d & g t ; & l t ; t y p e & g t ; A d m i n D i v i s i o n 1 & l t ; / t y p e & g t ; & l t ; l a n g & g t ; e s - E S & l t ; / l a n g & g t ; & l t ; u r & g t ; U S & l t ; / u r & g t ; & l t ; / r e n t r y k e y & g t ; & l t ; r e n t r y v a l u e & g t ; & l t ; r p o l y g o n s & g t ; & l t ; i d & g t ; - 7 8 8 9 7 5 9 5 1 8 & l t ; / i d & g t ; & l t ; r i n g & g t ; 6 9 k s j p k m u E 5 i _ _ p C l s 7 h I g 9 r k M l 2 0 4 q B o n o u B t v z _ F w 8 u x G 2 z 4 i D 4 2 7 i O z 2 z 6 C h o j 4 F t n g 6 K 3 g t l G 5 7 q q I k 8 4 9 G r 8 h g N j 8 j 8 U j s u n B 1 g x - B j 6 z - H n r 4 y h C v x 1 n G 2 r j 8 R 0 j z l e k s _ q B & l t ; / r i n g & g t ; & l t ; / r p o l y g o n s & g t ; & l t ; / r e n t r y v a l u e & g t ; & l t ; / r e n t r y & g t ; & l t ; r e n t r y & g t ; & l t ; r e n t r y k e y & g t ; & l t ; l a t & g t ; 1 8 . 5 8 3 7 1 6 0 2 3 6 2 3 2 2 2 & l t ; / l a t & g t ; & l t ; l o n & g t ; - 7 0 . 8 3 3 8 7 4 4 7 2 4 9 8 7 9 2 & l t ; / l o n & g t ; & l t ; l o d & g t ; 1 & l t ; / l o d & g t ; & l t ; t y p e & g t ; A d m i n D i v i s i o n 1 & l t ; / t y p e & g t ; & l t ; l a n g & g t ; e s - E S & l t ; / l a n g & g t ; & l t ; u r & g t ; U S & l t ; / u r & g t ; & l t ; / r e n t r y k e y & g t ; & l t ; r e n t r y v a l u e & g t ; & l t ; r p o l y g o n s & g t ; & l t ; i d & g t ; - 7 8 8 9 5 0 9 3 3 8 & l t ; / i d & g t ; & l t ; r i n g & g t ; 1 2 _ - l r o 1 w E 0 h 5 1 K t q n o D 7 3 9 9 C & l t ; / r i n g & g t ; & l t ; / r p o l y g o n s & g t ; & l t ; r p o l y g o n s & g t ; & l t ; i d & g t ; - 7 8 8 9 5 0 9 3 3 7 & l t ; / i d & g t ; & l t ; r i n g & g t ; 9 9 i q r z x z w E j 5 u - G w - 8 d 7 8 l 0 G & l t ; / r i n g & g t ; & l t ; / r p o l y g o n s & g t ; & l t ; r p o l y g o n s & g t ; & l t ; i d & g t ; - 7 8 8 9 5 0 9 3 3 6 & l t ; / i d & g t ; & l t ; r i n g & g t ; 3 l o h y 0 o 4 w E v 8 1 j H p t t 8 D v v 4 k k B j 0 r t q D 0 j q m D g 3 8 9 j B p m q x G y 7 q 2 B g 2 4 H h x 6 i B k t x O s s l v C m - 9 v C z 7 8 t B y 1 z z C v 4 - l B 7 z 9 q H 1 u o - B v k u o q B r y r p O - l 7 6 u B r _ _ 2 W i p 7 v H 0 t h z B y r j V 8 m k 5 C 3 0 u o F g l 1 z T n w 7 m O - 7 t _ B w y t x H u r h p U r w n 2 L 4 0 y 8 G y 2 j y b l _ 1 1 M - 5 k k C 6 g z j D 0 2 i i T l 0 r u F k o t p E z u - k b u v - m J 8 h w g N 0 g q 0 D y s j s d 2 k y 5 m B 8 o t 5 g B 7 y 9 p N 8 5 l 8 J 1 u i w P - p w m F v l l e i - r s B k k w s B - w 8 s D p j - i E i q 1 x C y 3 3 l B g g 5 c 6 6 p r D s h w - D z w t s B z 0 k 7 B 5 2 9 9 b h 3 v 5 B v m q 1 M n 2 o 3 E 0 9 1 q C x x y 7 C n g j 3 I w 3 z v O 1 4 1 z C - 2 3 3 B w t m n C _ r m p 8 C l 4 6 s B h g i u X _ 5 n 2 L r 0 6 t F 9 w t u 2 B 0 g y - C - u j 6 P 8 k 8 7 F 2 8 n p T z 1 s n C - r u r G u 4 9 8 C t j _ y H n g x g n B 7 q u 6 N v l 6 4 6 D o n n 6 X - 3 6 k K y 0 i _ F h 2 1 _ V z 2 w 0 D n y - x B p n o z J w j y z C 0 m 4 1 B u h 4 q B x 8 4 k C x h 2 x L 4 h y p C k 7 o w H m 7 5 g Q 2 k 5 j T r t r _ D 8 j v 1 a j o 6 z L k g - 6 T h 2 p n L o p t j C l 7 h 9 B t 1 r j D i 9 n z I 0 p s i P l 5 3 z G z l n 5 B w - y v I z q y r G l l v h B g _ 2 5 o B 7 v m y 9 C h m 3 T 5 q u z B q y o n J 2 5 8 3 K i o _ 1 E z 5 s p C 9 r p n B v m o r O p 4 x x M 4 n 1 u Z - 8 i 0 c 3 9 l q G k n v w M t w - y C p g g w P j 6 t d x x - x C v y i r D w 3 i 2 B 6 q x r N i x _ U 1 h _ z B 5 w 3 _ O 1 3 z 0 E 1 s z i R z 9 0 4 H u o 1 g E 8 r t h O _ _ 4 0 O 5 1 3 - 3 B m 7 u p n B 8 w m 9 N q p w q E 8 q 8 6 E v z 1 g C q j y _ n B i 7 - k D h 1 g 6 G 9 u o l h B g _ t j C - n s s D 9 2 o u I x 3 - y D q u 4 9 B w t w x B - p - s C 8 v x s L v k 4 q F m 5 l 1 I 1 r 6 3 B 5 _ 7 _ B j 1 1 o F 2 k p _ C w q 4 n B - o h 9 x B j s 2 x K z q 5 7 C 0 o h t I 4 - m n F u 5 o 9 b w 2 p w G 3 0 4 5 B 2 w 5 7 G 3 0 1 1 M y j 2 x D m _ r M n n u w u C k 2 s 3 C p s - j C t 5 g 4 I w q i 4 C 4 x y 8 J h t h y F m g k 2 D u o l h F j 7 p s E i 8 - 6 g B v y z 6 G x y n 1 D & l t ; / r i n g & g t ; & l t ; / r p o l y g o n s & g t ; & l t ; / r e n t r y v a l u e & g t ; & l t ; / r e n t r y & g t ; & l t ; r e n t r y & g t ; & l t ; r e n t r y k e y & g t ; & l t ; l a t & g t ; 1 8 . 6 1 8 8 0 5 0 2 9 1 3 3 0 1 8 & l t ; / l a t & g t ; & l t ; l o n & g t ; - 7 0 . 4 9 5 2 7 2 1 4 0 9 5 8 8 3 2 & l t ; / l o n & g t ; & l t ; l o d & g t ; 1 & l t ; / l o d & g t ; & l t ; t y p e & g t ; A d m i n D i v i s i o n 1 & l t ; / t y p e & g t ; & l t ; l a n g & g t ; e s - E S & l t ; / l a n g & g t ; & l t ; u r & g t ; U S & l t ; / u r & g t ; & l t ; / r e n t r y k e y & g t ; & l t ; r e n t r y v a l u e & g t ; & l t ; r p o l y g o n s & g t ; & l t ; i d & g t ; - 7 8 8 9 5 0 9 3 6 1 & l t ; / i d & g t ; & l t ; r i n g & g t ; 8 _ 1 2 m p _ 3 v E s t u 3 g B m 0 _ w D 1 1 m x B t 2 4 R o k l v C r s i n L 1 z p y B x t 3 2 E 3 u 0 g E 8 m 5 y H o - p 2 D r j q i H - g y m P 5 - g Y r p x f i l p U m k 4 _ C n q 5 V p 2 5 0 Y z 2 h s B u s 3 7 C x s r p B 2 7 0 m I q 0 x y D 0 y o g F n 7 o v C 9 9 g U _ k 8 V t 6 m a h g - g B m k 5 y C _ 3 7 7 B i 4 0 x B r 7 5 1 C n u j t D 3 x x a 0 o _ j B k 6 m r C x 2 9 i J z n m q h B z - s 5 N 2 n h x X z 4 l r X 0 z x l Q _ 1 m S _ z _ o L 5 0 8 _ B - s i _ I i m 5 i N r x q 1 O z p g 0 I s m y 3 H h g s m Q k 8 o m b w y g 7 U v y g j 0 B 4 n 0 p Y r t k 3 I h j n u C o - p g B 3 m q r E 3 g h l Q q v 5 3 C g 7 o r P y l w q T m 2 x h Z v m 5 2 y B 8 w t u 2 B v h 0 t F 9 5 n 2 L 9 p 0 t X k 4 6 s B 9 r m p 8 C v t m n C z - z 3 B 0 4 1 z C v 3 z v O z r r 3 I w x y 7 C z 9 1 q C j 7 u 3 E u m q 1 M t w z 5 B 4 2 9 9 b 3 v o 7 B y w t s B k 2 1 - D 5 6 p r D o q 2 c q 1 0 l B y 5 w x C o j - i E j q 3 s D j k w s B y 0 o s B u l l e z 7 p m F 0 u i w P & l t ; / r i n g & g t ; & l t ; / r p o l y g o n s & g t ; & l t ; / r e n t r y v a l u e & g t ; & l t ; / r e n t r y & g t ; & l t ; r e n t r y & g t ; & l t ; r e n t r y k e y & g t ; & l t ; l a t & g t ; 1 8 . 9 9 9 9 8 9 3 7 5 1 6 3 1 7 8 & l t ; / l a t & g t ; & l t ; l o n & g t ; - 7 1 . 6 1 0 4 6 4 9 2 1 1 8 4 3 7 4 & l t ; / l o n & g t ; & l t ; l o d & g t ; 1 & l t ; / l o d & g t ; & l t ; t y p e & g t ; A d m i n D i v i s i o n 1 & l t ; / t y p e & g t ; & l t ; l a n g & g t ; e s - E S & l t ; / l a n g & g t ; & l t ; u r & g t ; U S & l t ; / u r & g t ; & l t ; / r e n t r y k e y & g t ; & l t ; r e n t r y v a l u e & g t ; & l t ; r p o l y g o n s & g t ; & l t ; i d & g t ; - 7 8 8 9 5 0 9 3 4 1 & l t ; / i d & g t ; & l t ; r i n g & g t ; j 2 x 5 8 g 5 i 0 E y 6 r I n 4 x u Q h h 9 i i B i _ h 4 H j 0 _ y G j 2 m r B 1 p j 9 M 8 m j m B g p r 6 D u u v i U y t p 2 O v 5 g l P h 7 r s S o u q i C m 1 x 1 F g 5 y q H y n w 6 D 7 h m p F l h 5 m T v o m 3 F 8 o 4 p C h _ h z K 1 l 0 p Q h n k _ U 1 p 3 p Q i k l l G m n l X u g 5 M g 1 v i I p 5 - q J g g 5 c - m r 5 B m h j r D r y t m n B u 3 5 q D w _ l g G q 5 - 3 C h 3 y 3 X m p p v G x v h q C g 3 s m K m z 8 k L k v r m N k w 2 t I s j g v Q w i 2 j G 6 v s 6 B n p n j b x 2 w i G p - l t N - 7 5 t F g y 5 8 e 7 _ 2 o D p j 3 g R r i z r P y 6 3 3 E 1 8 m s C l j y f 4 0 o i F q h 5 7 F - n g t Z z l t r M - k z u f j q o y S z 3 x k H p 7 o 0 P u v h q I y 0 l x l C 0 i n _ K - 9 7 4 G n o 9 i B j 5 9 w E 7 i j v B 0 t h 2 E k 8 z p D _ h 1 j E u y q g E p 9 j l E p u q 8 F t j _ l G w u s 6 B 0 g q k B m 1 1 1 E o 8 m 8 G 0 u _ r G 4 q n p C t 9 v T m w 6 n B p _ 0 n P i o u j C o p 7 0 G - 8 s _ E s l 5 9 C 5 q p z D l 2 l q E n 7 _ - E q z 4 p C 7 w 7 h U 5 s 9 g B w s 5 8 C z r r d 1 h 0 y E h 9 p 0 M l h 6 X v y l Y r 7 q y I i 1 - o B _ 6 l 5 C i 8 9 p I r i 8 8 B 1 7 m o E 7 9 o v B x r 7 - B p n l 0 G l v g 6 H p 1 t U o q u n D 8 o t o F u o u _ B g p 0 8 D y 0 x l H 0 i w p G 0 y 5 _ N k r y - C 2 7 k w C n i x m B o s g q D 3 k v n C y v 6 x B j 3 3 g H 1 m 0 e h v 0 s C m y j z C x y 5 3 B 3 w w i E t j s l B 7 - 2 p G g r k z D 1 8 z _ B 2 n s z B h 9 n j B 0 h o T 7 u - 7 Q 6 m t q B q h 3 h E _ t 9 s K w p u 8 B 8 k j 8 D 8 8 n 3 L t n 2 y C _ x w y B m o q q C x r g n F h k u v C _ - j l C g u - p B l 2 y V 5 x z _ M r 5 z w F 9 k _ c - m 4 s B z 0 6 g C 0 l n 1 B y 3 7 6 G j 8 z c 5 g l d z n 4 c w z v c 1 r 0 _ D i v 5 1 D r - _ 6 C 3 n 0 p I 3 o o X o i 0 t B h v v 5 E j 8 1 2 E r z w 9 D 5 9 i j E t u 7 p C k 8 x U l - n t B 0 s g 2 D 9 s z 3 C u m 1 g F s q y u B 8 j 5 o D o q q 3 H v k 0 v B t 4 7 W 0 s 6 y B l 9 0 - C g r h 3 B - 2 h 0 6 B t 7 v j m B n l _ r E v q 9 8 F 2 4 k 8 L - g t t H j m z g D v l 2 j Q 7 x 9 k 0 F g q n w s C m p y 5 F q 6 n s C 4 u j 3 D n n n l D 9 8 i 2 M k i t 2 x D 6 y 5 p 2 C m 2 _ 3 C w j p n G v 5 l h h B & l t ; / r i n g & g t ; & l t ; / r p o l y g o n s & g t ; & l t ; / r e n t r y v a l u e & g t ; & l t ; / r e n t r y & g t ; & l t ; r e n t r y & g t ; & l t ; r e n t r y k e y & g t ; & l t ; l a t & g t ; 1 8 . 5 5 2 1 9 7 9 5 3 7 2 8 7 & l t ; / l a t & g t ; & l t ; l o n & g t ; - 6 9 . 3 6 8 9 7 6 1 5 8 5 1 1 3 5 9 & l t ; / l o n & g t ; & l t ; l o d & g t ; 1 & l t ; / l o d & g t ; & l t ; t y p e & g t ; A d m i n D i v i s i o n 1 & l t ; / t y p e & g t ; & l t ; l a n g & g t ; e s - E S & l t ; / l a n g & g t ; & l t ; u r & g t ; U S & l t ; / u r & g t ; & l t ; / r e n t r y k e y & g t ; & l t ; r e n t r y v a l u e & g t ; & l t ; r p o l y g o n s & g t ; & l t ; i d & g t ; - 7 8 8 9 7 5 9 5 2 0 & l t ; / i d & g t ; & l t ; r i n g & g t ; q 7 k j 1 y p m r E y u n 3 J i 1 _ l D 6 2 n 1 B g k y n G n s 0 X z 4 - s C - r v m T t 6 o s B h h 8 N p 0 6 1 B 9 7 h V o r i j B t y 5 v C y 0 4 g B k 6 o u W y 1 x i D 4 z 4 0 C x i - 9 d _ x s k H 0 j p r B z 1 y 4 D 0 r r n h D j 4 z - Q 2 m 8 m E 1 0 w S g z u 6 L 0 t i s B 5 v m v Q k m u 0 C z k z q Z 2 v 5 r I 4 n n 2 L o i 0 f n n y T g 9 z 1 B n 4 i L 2 2 t 5 G y 4 p i E m r u 4 H - z 7 i Q j 1 o 2 C 9 9 2 4 D n 5 5 k B q p 4 0 D 1 z o m F r x j p B 6 9 j o C r l k k C u _ - p C 9 o 5 7 C k m 7 0 E o 7 0 8 3 B 1 o z e u l i k F u o q 8 e l w - 9 B h 4 s _ Q r 0 v k F 8 8 0 8 F g m q n l B n j y - F g m 2 3 O 0 y l s B k o 5 n e h 1 9 5 V 1 h 2 x E _ x y h C s 3 - - D 6 z 2 K 9 p 9 e v g 7 v E u l o w I q k g k E v v 6 1 U - h o _ T n 8 h i F 6 h j 7 D m h x j C h 3 j q D g t k z B s m h y U s 6 n m Y o z 5 6 G h s t R t 5 k k e y 2 m 7 7 B 9 r g v 8 B 4 t 5 t F i k h m N 2 8 o w F 1 _ 0 o B 0 t w i D 1 n h o B 3 9 0 v a - s h n I x 1 n T t 6 j d n m h o C 5 u h 5 h B 5 4 2 0 F j i i - N s 0 z Q 8 7 t g D w m r s B k 5 5 0 N t 3 1 i G v 0 - r g B r h t z Y l p 6 m 9 C z q j v H p 2 j 6 1 D n _ u 4 Y v r 9 q k E l 2 p y X 6 u 9 r B r 0 4 m E 7 g 4 t Z l 5 0 1 X q - 8 2 Q y v h t G s z 8 - F m 5 g Y p w - w Q t g 6 g a y 4 l i r E & l t ; / r i n g & g t ; & l t ; / r p o l y g o n s & g t ; & l t ; / r e n t r y v a l u e & g t ; & l t ; / r e n t r y & g t ; & l t ; r e n t r y & g t ; & l t ; r e n t r y k e y & g t ; & l t ; l a t & g t ; 1 9 . 7 1 9 2 0 9 6 6 4 8 2 8 9 8 8 & l t ; / l a t & g t ; & l t ; l o n & g t ; - 7 1 . 4 5 0 3 3 6 4 4 6 4 9 5 4 4 2 & l t ; / l o n & g t ; & l t ; l o d & g t ; 1 & l t ; / l o d & g t ; & l t ; t y p e & g t ; A d m i n D i v i s i o n 1 & l t ; / t y p e & g t ; & l t ; l a n g & g t ; e s - E S & l t ; / l a n g & g t ; & l t ; u r & g t ; U S & l t ; / u r & g t ; & l t ; / r e n t r y k e y & g t ; & l t ; r e n t r y v a l u e & g t ; & l t ; r p o l y g o n s & g t ; & l t ; i d & g t ; - 7 8 8 9 5 0 9 3 5 1 & l t ; / i d & g t ; & l t ; r i n g & g t ; r 8 3 9 t 9 g 7 1 E _ k j p C _ 4 v u X 1 5 i j q B v t 2 i D j i - F - m 9 h B p o 1 1 B j q r 5 B s 1 6 q E q _ v Z z w j t B q g 0 t D 1 m - z C _ 9 0 q G l h o q E 7 _ i 4 G q 3 z u C - y o j D n g 5 2 M - 5 k 1 C 2 h g n C i z h 3 N n u z 2 P g v 2 l E 0 t 8 1 q B 9 j v s N 5 7 v l t C t n 1 l l B t m 2 - I 6 v x l D 6 8 9 1 F 2 k h 6 F j x p h J l 3 z 5 V z r 0 7 M 9 4 w l i B k 2 h o o B 8 i - m F n l y z I 2 w 2 7 I n j h 6 O 5 7 x x M _ 0 u z x B x r w k G n k n 6 h B 1 m v r V k l 3 w I n r 6 3 N g o q 6 G 4 y z 5 C u z 3 p B 5 0 l a x l y j K k z i 6 M 4 1 7 1 G 2 l - o C t j 6 2 Q j 3 r x H k t 3 i K h 5 q g R h g w 1 B 4 w 8 3 I p 3 u 3 j B h n k v C m 3 x v h C 3 s q z G n o j a t 5 7 a 6 w 8 v C o 4 s p E z g 9 9 B h h h v B x w 8 g J l p 8 k B _ 5 i 0 E m - s Z 0 h v T z w r i G u w q u E l s m g C 8 _ k 4 B 3 9 j l B 1 w n 6 B v x 4 2 P n s w r I 9 7 _ 2 G m i g T h 1 y o H w r k y B y r o l B m t o p N q x 8 V _ t r j C g 1 t 5 F 0 y n u B p r r s E t s i 7 B y u u i C 4 7 5 p Q s k 7 w B 9 p x _ B v s j H i t r - J j m h 6 C w o z s B z 5 s w B r 2 5 j B x 8 q v D t p - o a v 2 x n G s k s _ C l n - 3 D 7 n m 4 B z 0 2 p M 9 3 z 5 F 8 1 w 5 f 4 g _ m M v x l t J 1 8 r 7 E p g 2 g R 8 m 4 t D 5 9 0 w C 0 i i u B u n 4 v C o t 2 5 B k t u s D o 0 z x D 8 p j t D t m 1 u D u 5 i l G k h r l Z 8 t l x E i q 8 _ C m p 0 O 6 _ i z B 3 3 o 0 E 3 6 q X 4 k r 6 B 6 h v w L 2 2 9 3 G 4 6 y w C 2 h 3 5 B m 9 h 5 J k p 8 - F 6 7 2 p H r h l g L 3 5 3 Q s w r 7 B g x - z B i h 2 g D i v 0 p B y p t 0 B h j - 5 G u 5 8 t K v _ 9 n H m k 7 3 e 5 v x y H w k j 9 F x 3 v k C j j 5 y K 6 0 1 6 G n j 0 a t 2 m h y B i 9 m y F 7 7 u h H & l t ; / r i n g & g t ; & l t ; / r p o l y g o n s & g t ; & l t ; / r e n t r y v a l u e & g t ; & l t ; / r e n t r y & g t ; & l t ; r e n t r y & g t ; & l t ; r e n t r y k e y & g t ; & l t ; l a t & g t ; 1 8 . 3 3 3 5 5 2 5 4 4 7 5 9 8 & l t ; / l a t & g t ; & l t ; l o n & g t ; - 7 0 . 3 7 2 2 0 2 0 8 6 0 1 4 6 1 & l t ; / l o n & g t ; & l t ; l o d & g t ; 1 & l t ; / l o d & g t ; & l t ; t y p e & g t ; A d m i n D i v i s i o n 1 & l t ; / t y p e & g t ; & l t ; l a n g & g t ; e s - E S & l t ; / l a n g & g t ; & l t ; u r & g t ; U S & l t ; / u r & g t ; & l t ; / r e n t r y k e y & g t ; & l t ; r e n t r y v a l u e & g t ; & l t ; r p o l y g o n s & g t ; & l t ; i d & g t ; - 7 8 8 9 5 0 9 3 5 6 & l t ; / i d & g t ; & l t ; r i n g & g t ; k m i 4 8 7 r j v E 6 p x s t B o g _ 5 8 B l q 4 i q B o u u r 7 C w i m o N r 4 n t k B 4 7 p 3 9 B w 5 z t i B w z r 1 N n r u 4 B p t s o C w 2 v m f 6 g i j D g u m l H w n q _ N - z u c o 6 8 g B v 6 o w C x x 4 v C - 7 3 g H l x s q Y r w 4 k D x q h o G 4 p 2 0 P 7 u h s D z n t l D l 2 k v D 7 5 i y C - p y 2 D z - - 4 C q l h g Q 3 s p l B 3 u r 5 O 8 q g u C 2 v o x C q p 9 6 C g 7 n - B r _ - n B o s _ Z 1 l j v C v s u p C 2 i _ p D n o 2 n E 4 _ v h F w m y 3 E m r 3 l B y q l m F r u m r F 2 k _ 6 F 4 9 w q F 5 _ t N s z l p B 1 3 9 j C j g n m P 3 y i i H o x k 2 D 0 t x y H 4 u 0 g E l p x 2 E 2 z p y B n 9 4 m L p k l v C h z 2 R 2 1 m x B m q 5 w D 0 n _ 2 g B 7 5 l 8 J 3 o z p N 0 i 9 4 g B 1 k y 5 m B i i 0 r d k 0 k 0 D s 7 l g N 2 8 2 m J - 2 w k b 0 s n p E x 7 n 6 P 6 0 n z S m g k 7 b _ 3 9 c m t l q D r _ 2 7 I 8 o 8 h f t 8 v 4 D h o g q B 6 1 s v d 6 w y m B z g q 1 h B y s 8 p L 1 t l 5 B & l t ; / r i n g & g t ; & l t ; / r p o l y g o n s & g t ; & l t ; / r e n t r y v a l u e & g t ; & l t ; / r e n t r y & g t ; & l t ; r e n t r y & g t ; & l t ; r e n t r y k e y & g t ; & l t ; l a t & g t ; 1 8 . 9 0 6 7 6 4 6 8 3 9 9 3 4 3 & l t ; / l a t & g t ; & l t ; l o n & g t ; - 7 0 . 4 1 5 6 7 6 7 2 3 1 1 5 5 6 7 & l t ; / l o n & g t ; & l t ; l o d & g t ; 1 & l t ; / l o d & g t ; & l t ; t y p e & g t ; A d m i n D i v i s i o n 1 & l t ; / t y p e & g t ; & l t ; l a n g & g t ; e s - E S & l t ; / l a n g & g t ; & l t ; u r & g t ; U S & l t ; / u r & g t ; & l t ; / r e n t r y k e y & g t ; & l t ; r e n t r y v a l u e & g t ; & l t ; r p o l y g o n s & g t ; & l t ; i d & g t ; - 7 8 8 9 5 0 9 3 5 0 & l t ; / i d & g t ; & l t ; r i n g & g t ; t s j 0 j o p n w E 1 t 6 n G t 3 - g f 3 7 r o D 7 1 k 0 I r q 3 7 B 8 x q 1 C 9 u 4 s H l t m w i B y h w o D n 6 s q V n 2 r 9 H j k h o i B _ 8 4 x I k i 5 s B 4 6 k 7 C s g 7 m B - 3 w p E i o 1 c s k p p K r 3 p o C t l t _ G y o u g I 5 y 3 u J z m 6 4 K j o q 5 Q s 9 n n D h y x 5 B n s 3 2 n B 7 h 3 _ B g x h 8 C 5 h z f k 7 6 t L u 9 y k T 7 q 3 5 y B i - 7 o P 3 l 8 1 d - n p g C - g p r B o 4 s 3 I o p 6 0 J 9 r s 3 C 0 6 7 u E 0 r p y B t p 7 f - r 0 y q B 0 y i j E i g z x N 0 k 8 d k p q o I n 8 s g B q 7 m m n B g m - j O 4 0 x x B p t m p H w p s r P s s k 0 q B r 2 4 h E z i 8 8 U m 5 u p C _ k n n K 7 n _ 4 F k o m 9 T u m 3 n B m 1 k x F s z z t J u r - 7 d y m p m I n o 7 2 V v y g 7 U j 8 o m b t s 3 m Q r m y 3 H v z o 0 I q x q 1 O y t j j N _ s i _ I 4 0 8 _ B 9 z _ o L 9 1 m S z z x l Q y 4 l r X 8 2 _ j L & l t ; / r i n g & g t ; & l t ; / r p o l y g o n s & g t ; & l t ; / r e n t r y v a l u e & g t ; & l t ; / r e n t r y & g t ; & l t ; r e n t r y & g t ; & l t ; r e n t r y k e y & g t ; & l t ; l a t & g t ; 1 9 . 2 5 9 6 5 3 6 9 0 9 2 4 5 9 8 & l t ; / l a t & g t ; & l t ; l o n & g t ; - 7 0 . 0 8 3 2 1 3 7 1 3 7 1 0 5 9 2 & l t ; / l o n & g t ; & l t ; l o d & g t ; 1 & l t ; / l o d & g t ; & l t ; t y p e & g t ; A d m i n D i v i s i o n 1 & l t ; / t y p e & g t ; & l t ; l a n g & g t ; e s - E S & l t ; / l a n g & g t ; & l t ; u r & g t ; U S & l t ; / u r & g t ; & l t ; / r e n t r y k e y & g t ; & l t ; r e n t r y v a l u e & g t ; & l t ; r p o l y g o n s & g t ; & l t ; i d & g t ; - 7 8 8 9 7 5 9 5 1 4 & l t ; / i d & g t ; & l t ; r i n g & g t ; 1 g 1 p n t 4 5 v E z _ o k C j s y 9 I 9 u z g E h i i y D 0 s j g C 0 x n w C 6 r 2 3 K v _ u t K t 1 u 8 c 4 n 3 n S h 9 y - D 5 i g p C 9 p r n K r q - 8 P _ 1 w 2 E 1 o 6 m C 4 t q 8 C p w z i z B 8 4 7 - E t o 4 z F 9 9 8 1 D m z m 2 Q 3 y 3 x D r m o 1 C y 2 h o C 1 z 5 i B 8 3 j g C p n w U z x r g B 5 r m v B i 8 3 d _ 4 z k C 0 v g z I y 9 t u H h l 8 4 D k j p g D 9 2 1 2 D 6 v 9 i Y r l 8 v g D v l h v O m 9 4 2 M w 1 n v E 5 k w 7 D h 8 k p c i m i w I 8 q k z Q x s x m C x i r o R j 5 z m J 0 y 0 6 E 6 y k j J t _ 4 1 K g w 3 z L 8 6 h 5 H u 3 m g E 1 g 3 p o B w z - k E x 9 5 l D t g 1 6 K z - w 2 D k _ u y P 4 9 x _ D m 5 n - j C u l r 7 F o n y 0 V n s j 0 D 2 u g - I h o p g X t 0 o - W 2 g 2 x G 0 g h p I r z 1 a 0 5 g l D 6 q m i F 4 u 6 k B - 3 w _ E 7 w g x H 1 t r r I 0 5 4 x F 7 0 - 8 J z n 1 2 B l w j _ q B g n 4 g w B s - x - F i 5 z n F o n h m F k 4 k z D z p m v J t k n j G y o 6 4 H l z i x C 1 s 6 9 D j r s l B 3 j n d w 0 m 5 I 9 t 0 8 F 1 x _ 9 O w 0 k 4 C o 5 1 y I w 7 s X _ 9 0 s J 2 7 l 1 D 9 v 8 w F 8 _ g 7 E 2 s v j C y x g _ C t - 6 5 T - i z 1 C 6 4 w 0 G n 9 3 1 B 1 l r i B v y y g D 9 y m i E - o 5 2 P 4 9 l 7 M i 9 w l C - m 0 t Q i 3 x 8 f i v v 5 K j 1 4 0 R 2 4 v 8 S i 3 i 6 L g y p 6 h B n z m 3 D _ u 0 c h - p t B l 8 j 0 B q 9 r p G z o l a 5 8 u v D m 1 v 8 B n i u n C g 0 j 9 E m j 2 h D 8 3 1 p N k m 4 z G y k _ 7 B 6 0 k t P 2 2 q R 3 m z Z v k n v D q t m l D 0 s z 5 E t g o - B l _ t Z 7 - 1 0 D 1 4 4 u B 9 0 8 t B w z g g B t j q c h v 2 4 B m o j p B 8 k 2 7 B 3 2 n n E 2 x s s B p s w y B v p x w D m w - v B z 3 1 U 1 u h n D 7 q 3 c j w - U m 5 k 3 C x 0 t 2 H h 7 h m B r h o w D u i i u D i g y h C 2 s m 1 B v q 1 3 O 9 t k k W m 5 o o r D 2 m 1 j G 0 6 2 6 I 1 _ 2 n D h 8 y x X l h 6 2 N _ y x 1 g B x g g s D 0 3 _ i L 1 v h z F y p o O 0 k 8 t B l 8 w g L o m 1 1 I & l t ; / r i n g & g t ; & l t ; / r p o l y g o n s & g t ; & l t ; / r e n t r y v a l u e & g t ; & l t ; / r e n t r y & g t ; & l t ; r e n t r y & g t ; & l t ; r e n t r y k e y & g t ; & l t ; l a t & g t ; 1 8 . 8 3 7 2 7 2 1 4 5 0 2 0 6 4 5 & l t ; / l a t & g t ; & l t ; l o n & g t ; - 6 9 . 7 9 9 5 0 7 4 3 2 6 8 7 & l t ; / l o n & g t ; & l t ; l o d & g t ; 1 & l t ; / l o d & g t ; & l t ; t y p e & g t ; A d m i n D i v i s i o n 1 & l t ; / t y p e & g t ; & l t ; l a n g & g t ; e s - E S & l t ; / l a n g & g t ; & l t ; u r & g t ; U S & l t ; / u r & g t ; & l t ; / r e n t r y k e y & g t ; & l t ; r e n t r y v a l u e & g t ; & l t ; r p o l y g o n s & g t ; & l t ; i d & g t ; - 7 8 8 9 5 0 9 3 5 2 & l t ; / i d & g t ; & l t ; r i n g & g t ; 9 2 s m 4 _ z g u E r r o j F - 8 5 V l w q p F s - 9 x D k g 2 - c l j m x L y 6 5 R u u k r F h w v 1 B 5 3 p y R 3 9 9 x t B t 0 z 2 C y z - g D - y u m F h 4 x y i B s - 8 r W 4 g g u F 5 r 2 v 8 B 6 y 8 7 7 B p q 0 k e i s t R g g h 7 G 0 3 1 m Y 8 g u y U w - n z B 9 7 o q D l h x j C 5 h j 7 D m q l R 0 6 9 j E m i y t Q 5 g q - E w k s - F w 6 q p Q 5 5 x z N l 4 t 5 H 4 7 7 n B g y _ 7 H x s i 1 G 3 1 o 1 O t g n 2 B 3 - 5 p 8 B 0 g j z M o 3 u s 2 C y r p 6 L v o - 7 1 F j j p g W r u y q U l y l 7 g C j q v w L 6 y w 1 R r p g 5 F p 5 4 7 S m 1 v 3 u B s q - 8 P _ p r n K l 6 7 o C i 9 y - D o l r n S u 1 u 8 c r 6 l t K 7 r 2 3 K s i j w C 1 s j g C g i i y D x 5 t g E i s y 9 I v 6 k k C p m 1 1 I 5 v n g L 7 h 3 v E 3 t 3 o I p z g L 1 l l 4 L 0 3 z s F g 7 3 _ H 2 7 4 9 C y v 3 y D 4 q y m H 5 - h g E 7 i s q L l v t 9 J u r u u E 2 p t s L u u z p a q u k j J 0 9 3 5 B m 3 j - G 5 3 j v J 5 y l 4 K 5 l l 4 E x n q 8 F 3 k p 3 E 2 k 4 m E g y 3 p G l p 9 y J q j q 8 P q 6 t u D p h z u J 5 s o r G x 2 n m F - 7 h t J 3 6 - v U k _ 8 r H 3 2 h k U z 2 4 v Q v 8 s n M r 4 - p V o g 9 j _ B - h 5 4 E 4 - p - D s g 0 r N j 7 h s S s s v r J o q 6 p L 8 0 m 1 s B m n s 3 E t x u l L o q z l U q z _ u i B 3 y x h Z 6 k g 0 D m 9 s 0 O n 2 o h G w i h i B 6 l i l D k 4 j q D q o 1 2 B z l m r B u 3 7 n E _ x j v B m s 4 1 D r t 6 i B y p w - P 1 9 1 - B t y s w F k _ z j n B y 6 y i D h _ w k D 9 0 0 S k u 0 i C r 3 m 4 C 0 r m T y w 6 q B 9 m n j W 1 i u 7 D n l q k G w p y m B 7 s j n B v u n p B m v p _ K 6 v 5 _ E o 6 n 5 B 1 3 7 l D 4 0 3 0 E 5 - u e x 3 u Z z r o 5 G 6 j 2 x L & l t ; / r i n g & g t ; & l t ; / r p o l y g o n s & g t ; & l t ; / r e n t r y v a l u e & g t ; & l t ; / r e n t r y & g t ; & l t ; r e n t r y & g t ; & l t ; r e n t r y k e y & g t ; & l t ; l a t & g t ; 1 8 . 5 0 8 2 4 1 7 8 2 7 1 6 2 5 1 & l t ; / l a t & g t ; & l t ; l o n & g t ; - 6 8 . 9 7 2 9 0 0 6 9 0 7 1 5 8 4 6 & l t ; / l o n & g t ; & l t ; l o d & g t ; 1 & l t ; / l o d & g t ; & l t ; t y p e & g t ; A d m i n D i v i s i o n 1 & l t ; / t y p e & g t ; & l t ; l a n g & g t ; e s - E S & l t ; / l a n g & g t ; & l t ; u r & g t ; U S & l t ; / u r & g t ; & l t ; / r e n t r y k e y & g t ; & l t ; r e n t r y v a l u e & g t ; & l t ; r p o l y g o n s & g t ; & l t ; i d & g t ; - 7 8 8 9 7 5 9 5 1 7 & l t ; / i d & g t ; & l t ; r i n g & g t ; w k k w _ j t i r E p 2 u - l C - r _ g I l t p s G i o 6 r J s v 8 p E 5 7 - n B j 5 _ 0 f s v g j B 6 u t m J 5 k n e r i x - F 8 4 i 5 C t m k 3 E i v t h B w 6 s k D w h s k B 2 u k p H 1 2 w p E y s o g F s 8 5 n D v l 2 h G 3 _ 7 e l h g - g B x 5 j _ B q z 5 k B q z h t H 4 y x m D v 9 w p B 3 m 3 y B 0 y v m D 8 8 9 h H 3 r q _ C 9 - s s C 9 1 v r J w r 1 x H _ _ 5 g P 0 u 8 l C i h u 9 B o y 6 7 C q r x k K j j v 2 C j 2 j n N 5 y w n C k h 7 1 G w m q - K w o y 5 C r k s m N q o l n 2 C 4 l 6 n b 5 4 u 5 D i 1 _ _ s B l x 2 0 H w g 0 0 C 6 2 s i D s t 7 t W i 5 1 g B x j 1 v C n r i j B x y - U o 0 6 1 B g h 8 N h w l s B _ r v m T y 4 - s C j 6 2 X - j y n G 5 2 n 1 B y z 5 l D x u n 3 J 5 s x 6 b & l t ; / r i n g & g t ; & l t ; / r p o l y g o n s & g t ; & l t ; r p o l y g o n s & g t ; & l t ; i d & g t ; - 7 8 8 9 7 5 9 5 1 6 & l t ; / i d & g t ; & l t ; r i n g & g t ; n s 9 9 8 9 x 3 q E o t j r D m r 4 3 J v g 5 s K y s j Z n k - g U 7 u _ x j B & l t ; / r i n g & g t ; & l t ; / r p o l y g o n s & g t ; & l t ; r p o l y g o n s & g t ; & l t ; i d & g t ; - 7 8 8 9 7 5 9 5 1 5 & l t ; / i d & g t ; & l t ; r i n g & g t ; v n s r p r j 2 o E n 5 5 r E i 1 z j O 4 5 h x s B j 1 v 1 y B r r 2 2 I t x 7 m G y x - h S l 3 6 v L 2 j 2 v 6 C s g 1 k M h u m y F j o o k q B n r w x E _ q z p B _ 6 x 5 o E o g p 9 C s q r x C u n z - J u - - 5 E z w _ x u C 6 5 r 1 K & l t ; / r i n g & g t ; & l t ; / r p o l y g o n s & g t ; & l t ; / r e n t r y v a l u e & g t ; & l t ; / r e n t r y & g t ; & l t ; r e n t r y & g t ; & l t ; r e n t r y k e y & g t ; & l t ; l a t & g t ; 1 9 . 7 4 4 1 3 4 2 6 2 9 3 7 3 8 3 & l t ; / l a t & g t ; & l t ; l o n & g t ; - 7 0 . 7 9 8 8 6 8 7 5 8 8 6 2 1 7 & l t ; / l o n & g t ; & l t ; l o d & g t ; 1 & l t ; / l o d & g t ; & l t ; t y p e & g t ; A d m i n D i v i s i o n 1 & l t ; / t y p e & g t ; & l t ; l a n g & g t ; e s - E S & l t ; / l a n g & g t ; & l t ; u r & g t ; U S & l t ; / u r & g t ; & l t ; / r e n t r y k e y & g t ; & l t ; r e n t r y v a l u e & g t ; & l t ; r p o l y g o n s & g t ; & l t ; i d & g t ; - 7 8 8 9 7 5 9 5 1 9 & l t ; / i d & g t ; & l t ; r i n g & g t ; 6 h j 3 u h _ v z E r m t o F 3 g k r C x v 5 p H _ _ j l O u 3 2 r T 2 m x 3 C j _ z 4 G m m j 0 E u j g w C z 4 k o E q t 9 q E 1 9 r q W r t 0 i H 6 p q z D j i - t B s q h n r B q 0 4 t C 7 0 w o C 1 h s w C w x 0 9 B 2 8 h h C p x o _ B i 5 g n C p 4 7 z D 7 k q g J q z m s G s i - r H l o y x B 9 v 8 r E x t o i B - h u i D x 8 8 y B n q _ 8 W _ - 0 y Y u 3 p v D - o r 9 D z t 3 K _ y h l 8 B v z k g E t 8 z k C o 3 w 8 H 5 5 g y 8 B t 5 s x l C 7 g 8 k J _ 9 l k D x r t 5 C h y z l B 5 n q 8 I 1 w j 8 G w y u n c 3 o v k M 0 k 3 v I - z y 9 F j o 1 0 B 2 _ w Z i - y 3 D _ k p v H n l 0 t 9 B k n v 9 B 0 1 z Z g i l Z w - w v B 4 q 0 y E z 0 9 1 K 2 9 4 y B w 6 2 5 K - q r w O h - q 8 E x m t s B 8 y 9 1 C _ 5 k 6 B - z 2 h H m 1 w 9 C t j r u B 2 l k t B o k u R x m i v M p 4 _ 4 F 2 z g 7 H z 1 z n F 0 p 7 d 6 5 s d 1 i 1 n I 3 x v g E i 6 q 2 E _ u v v B - y q 2 K q 0 i p X o n 9 5 G k 6 x x G _ 5 o y B u 5 4 J q 0 g y B t s 6 c y 0 7 i I m h r t B k g t l C _ z 9 s B 6 z h 1 D 5 l o f q z x 1 2 D j 8 2 r M y - _ s v B s n 5 x C 1 6 k p R o p x p G s z 2 j B h p 8 m B u 7 w k F - 4 u j H k 7 4 u U y 1 1 4 F r p m 3 i B _ o 6 _ D 4 o 1 3 B x u z g E 5 p _ 7 X s 7 p l P 8 1 8 s B j 0 g t D 1 e u p B v 7 j 8 B 6 l g 3 C i 6 l j D s m D 1 j q 8 D - j n 5 B v 3 g w h B o 2 9 o D 3 3 n 3 N 3 g 5 u v B z l t s H 1 k h 6 F i l 3 1 F 5 v x l D s m 2 - I 0 t o j N v 5 i p 6 E o m 4 8 H x 6 s l q C 7 i j r G y l k x C g g o T 7 s r d k s o 0 C 7 z n l b s r p h K y u 5 _ M _ 5 u u I 2 3 5 9 v B v p y t C j t h _ s B 1 5 _ v E 2 8 2 8 F 7 z 9 y O 5 r l i F r n k v D 7 i x 9 T 8 n 7 z E g i h k H 2 j u o m B g r g 2 C r o 5 y I 2 h x y K 6 h t 0 8 B m - k _ H x p s r I 3 3 9 8 H 2 w q l D z 7 p 8 G h 2 t 5 J 6 v l - k B j g 6 9 O m u m i C o 4 v h M o 5 y 6 B y u s p B - m 6 p F _ t w r D 7 6 m y D v z z 5 l B q p 0 s B v 2 _ o o C & l t ; / r i n g & g t ; & l t ; / r p o l y g o n s & g t ; & l t ; / r e n t r y v a l u e & g t ; & l t ; / r e n t r y & g t ; & l t ; r e n t r y & g t ; & l t ; r e n t r y k e y & g t ; & l t ; l a t & g t ; 1 7 . 9 6 5 1 6 7 4 8 1 9 7 9 0 7 6 & l t ; / l a t & g t ; & l t ; l o n & g t ; - 7 1 . 5 3 4 0 0 5 3 8 2 2 2 9 5 & l t ; / l o n & g t ; & l t ; l o d & g t ; 1 & l t ; / l o d & g t ; & l t ; t y p e & g t ; A d m i n D i v i s i o n 1 & l t ; / t y p e & g t ; & l t ; l a n g & g t ; e s - E S & l t ; / l a n g & g t ; & l t ; u r & g t ; U S & l t ; / u r & g t ; & l t ; / r e n t r y k e y & g t ; & l t ; r e n t r y v a l u e & g t ; & l t ; r p o l y g o n s & g t ; & l t ; i d & g t ; - 7 8 8 9 5 0 9 3 5 5 & l t ; / i d & g t ; & l t ; r i n g & g t ; r 5 _ 8 1 5 1 r w E k p 8 s J x h 9 8 Y p _ i u c v 2 y x J 3 5 u 7 D n s t - Y q 3 _ - R j r i Z - 0 h j K s 8 y p E y h q h G k - u k F y i k u O 0 w 6 y E & l t ; / r i n g & g t ; & l t ; / r p o l y g o n s & g t ; & l t ; r p o l y g o n s & g t ; & l t ; i d & g t ; - 7 8 8 9 5 0 9 3 5 4 & l t ; / i d & g t ; & l t ; r i n g & g t ; k 7 9 4 w p q k w E 0 q o k k B 9 r l 1 p B 0 u 7 l G - s 6 2 j K 3 u 0 Y j x q R 5 u w 1 C q - - m n C p o 4 v X i q 8 8 D t g y 0 B o 9 q 2 D s g g h U 9 x w U 5 z 4 _ B k i j s C x m 1 u L s z m _ l B x _ 3 g H 7 x i x i B y 9 9 o I y 6 z z E 6 1 t j N v i n h I t w 3 n G g 1 j 8 E 9 i 0 l E v 4 l 3 B t 6 3 p C h s q p B t x m h C l k _ y R j 8 y t F x k - k H - - 5 w K 4 l 2 3 H m 7 - z K 4 x s g B t 6 k z G i s 8 W - n m 4 l C h u 4 _ U h 1 o g E y 6 k 4 P s g g h D x j v v J t t g - P 7 g o 6 F u 8 k s I i t t 5 N n w 3 v D u v m 2 j B 9 j i w g D t w 6 3 Q k 6 3 y B 2 2 9 1 J p g m l V r m p x H - _ 9 8 K j 5 r 2 P o u x l C q - t _ C _ m z p D u - j 0 b 1 3 7 n p C s i w s Y y q 8 4 Q 4 m 6 u s E 3 p 3 y C v 0 n v F k x 9 1 P 9 y q m N 5 y 1 g K s 2 g 4 D p l n n i B q u o x B k w u _ B n 1 0 s E 2 r j w T t y u 7 E _ w 2 h C 9 o q 6 E 3 k n t K p 9 g g C - z 3 q C t 1 4 p E 7 8 v m C 2 0 w v Y y j z u O 3 9 6 u R 0 j r w 0 B p x s 1 6 B _ 7 n g E l i k T m l p j F _ q r 0 K 2 s j z V 3 v 4 s b _ n o o Z v 1 q p G s _ z h M i 0 s 1 G 7 n 9 p j B p q v i X s x w v g B 0 l 3 z 8 C 1 n 5 o 4 B v l g q 1 C g 7 s t i C 7 6 z l 7 D r r 3 p R 6 y p 1 J l 7 y v e & l t ; / r i n g & g t ; & l t ; / r p o l y g o n s & g t ; & l t ; r p o l y g o n s & g t ; & l t ; i d & g t ; - 7 8 8 9 5 0 9 3 5 3 & l t ; / i d & g t ; & l t ; r i n g & g t ; u 4 u 6 7 o q u w E 7 z 1 _ B 3 k 0 - B m w r x B 9 r z 3 C & l t ; / r i n g & g t ; & l t ; / r p o l y g o n s & g t ; & l t ; / r e n t r y v a l u e & g t ; & l t ; / r e n t r y & g t ; & l t ; r e n t r y & g t ; & l t ; r e n t r y k e y & g t ; & l t ; l a t & g t ; 1 8 . 5 6 7 4 0 1 1 2 7 8 9 0 3 4 2 & l t ; / l a t & g t ; & l t ; l o n & g t ; - 6 9 . 8 5 1 8 5 6 0 0 5 4 7 3 4 6 5 & l t ; / l o n & g t ; & l t ; l o d & g t ; 1 & l t ; / l o d & g t ; & l t ; t y p e & g t ; A d m i n D i v i s i o n 1 & l t ; / t y p e & g t ; & l t ; l a n g & g t ; e s - E S & l t ; / l a n g & g t ; & l t ; u r & g t ; U S & l t ; / u r & g t ; & l t ; / r e n t r y k e y & g t ; & l t ; r e n t r y v a l u e & g t ; & l t ; r p o l y g o n s & g t ; & l t ; i d & g t ; - 7 8 8 9 5 0 9 3 6 3 & l t ; / i d & g t ; & l t ; r i n g & g t ; 1 t _ l 4 x m - s E j 2 h 0 E l o 5 k F t z _ _ B s 5 5 2 B h x 6 o F n v k n C x v j _ D 5 m i 9 O x 1 l z b n - s t c v 7 v 6 S h z 1 n 9 C s h t z Y w 0 - r g B u 3 1 i G l 5 5 0 N g 8 n s B 9 7 t g D 0 1 1 Q v 0 s - N 9 v 9 0 F 9 8 x 5 h B j u l o C 5 w m d t v l T g t h n I z v j w a 2 n h o B 8 u r i D 2 _ 0 o B m x v w F 6 s r m N t - 8 r W i 4 x y i B z k o m F i 2 6 g D x - u 2 C 7 6 q x t B t 8 9 x R i w v 1 B m 9 9 q F x 6 5 R 5 v 8 w L 8 4 m - c 0 0 4 x D h g k p F g 9 5 V - _ h j F 7 j 2 x L v 3 v 5 G y 3 u Z l 4 x e 5 0 3 0 E 2 3 7 l D o h k 5 B 7 v 5 _ E 2 6 y _ K w u n p B - w m n B x p y m B j l j k G 2 i u 7 D _ m n j W q 5 9 q B 1 r m T s 3 m 4 C l u 0 i C h 6 2 S 1 9 r k D z 6 y i D k o i j n B u y s w F h _ x - B z p w - P - u 3 i B n s 4 1 D m k g v B t 3 7 n E y l m r B i y x 2 B s z _ p D 7 l i l D o l _ h B 7 3 h h G _ i i 0 O y 4 6 z D 4 y x h Z r z _ u i B 4 z m l U u x u l L n n s 3 E 9 0 m 1 s B p q 6 p L - 8 u 6 K - z x r T x 7 o d k k p h J o 7 w 5 I h 8 _ 0 G 5 u 8 s H _ 6 v g B i p k l F y m 1 q O r 2 1 x K _ o z 5 K 8 z x 1 X 9 9 o 4 B _ u r _ B y 0 w p C i 0 0 4 S s 5 4 _ I _ v h h S l _ m h C j _ z p B w 8 5 5 H r x 9 8 C 6 s w y D q x q 5 G k k u o I i 6 1 x C p n l p D 2 m m p C 5 9 7 k D z v w x F 2 p 1 0 X _ o 7 m M u m m T q n t 6 G n h s d 2 z 8 s B 1 5 z v E i - r h B t h _ z D h i 6 l H k w y y C r 1 _ q G 4 4 w z B 8 0 i m e u q v 8 R z z 8 n G o r 4 y h C - 5 7 - H 2 g x - B k s u n B 3 5 w 8 U q 8 h g N j 8 4 9 G 4 7 q q I z h 0 l G s n g 6 K g o j 4 F - u 4 6 C 3 2 7 i O 1 z 4 i D g 1 n x G s v z _ F 7 0 g 1 B v 8 l D k 0 7 M k k r s E i 9 v n W 9 _ y 7 L z l r 0 l D x l s z t B p j u 9 L w u 5 l L k 2 i 0 L t r j h n B & l t ; / r i n g & g t ; & l t ; / r p o l y g o n s & g t ; & l t ; / r e n t r y v a l u e & g t ; & l t ; / r e n t r y & g t ; & l t ; r e n t r y & g t ; & l t ; r e n t r y k e y & g t ; & l t ; l a t & g t ; 1 8 . 5 2 2 6 9 6 8 5 6 2 8 9 4 3 6 & l t ; / l a t & g t ; & l t ; l o n & g t ; - 7 0 . 2 0 7 0 8 2 5 2 2 5 9 8 2 7 & l t ; / l o n & g t ; & l t ; l o d & g t ; 1 & l t ; / l o d & g t ; & l t ; t y p e & g t ; A d m i n D i v i s i o n 1 & l t ; / t y p e & g t ; & l t ; l a n g & g t ; e s - E S & l t ; / l a n g & g t ; & l t ; u r & g t ; U S & l t ; / u r & g t ; & l t ; / r e n t r y k e y & g t ; & l t ; r e n t r y v a l u e & g t ; & l t ; r p o l y g o n s & g t ; & l t ; i d & g t ; - 7 8 8 9 5 0 9 3 6 0 & l t ; / i d & g t ; & l t ; r i n g & g t ; z t 2 6 3 q o m u E 0 1 x 0 N j z v i I 4 u 4 g E t l m t i B w r k 4 q B 3 0 p 7 B u z 1 j G _ 4 k j B 1 1 7 g F 8 2 8 i l C w 3 v o q H 1 7 3 o C 1 0 h m H u h _ z D y 7 u h B 2 5 z v E _ _ - s B o h s d 6 z 0 6 G v m m T 2 s x m M 3 p 1 0 X v 6 p x F l 9 2 k D 3 m m p C t r q p D j 6 1 x C s o 2 o I r x q 5 G i 4 1 y D s x 9 8 C x 8 5 5 H k _ z p B h 9 i h C - v h h S s o h - I j 0 0 4 S 6 9 0 p C - u r _ B _ 9 o 4 B 9 z x 1 X u y 8 5 K s 2 1 x K q 9 - q O j p k l F m 2 y g B 6 u 8 s H i 8 _ 0 G 4 n 5 5 I l k p h J l y r d g 0 x r T 7 m 4 6 K t s v r J k 7 h s S t g 0 r N o r k - D g i 5 4 E p g 9 j _ B i _ q o D x 5 1 v i B 5 4 w s H k _ l 1 C q q 3 7 B 6 1 k 0 I r 4 m o D p - v g f x r z n G 9 2 _ j L 2 w z w X y - s 5 N n 9 1 p h B w 2 9 i J j 6 m r C 0 o h k B r - u a m u j t D n n 1 1 C h 4 0 x B m 8 3 7 B 2 y 0 y C g g - g B x o k a m 6 5 V 8 9 g U 7 s k v C k o i g F p 0 x y D u 4 s m I w s r p B t s 3 7 C v s _ r B o 2 5 0 Y z - 2 V l k 4 _ C i 9 m U q p x f t x _ X 0 3 9 j C k 6 o p B 4 _ t N 4 u 3 q F 1 k _ 6 F q u m r F x q l m F l r 3 l B v m y 3 E w z p h F m o 2 n E u n j q D u s u p C h 0 n v C n s _ Z n 5 8 n B - 6 n - B 6 w 4 6 C 1 v o x C 0 9 7 t C 2 u r 5 O j r m l B q 7 1 - P 3 o 7 4 C g q y 2 D - o _ x C x t - u D y n t l D n 1 m s D 3 p 2 0 P 9 s o o G q w 4 k D k x s q Y _ 7 3 g H w x 4 v C u 6 o w C n 6 8 g B _ z u c v n q _ N - t m l H 5 g i j D g 9 - l f o t s o C j z q 4 B & l t ; / r i n g & g t ; & l t ; / r p o l y g o n s & 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4.xml>��< ? x m l   v e r s i o n = " 1 . 0 "   e n c o d i n g = " u t f - 1 6 " ? > < V i s u a l i z a t i o n L S t a t e   x m l n s : x s i = " h t t p : / / w w w . w 3 . o r g / 2 0 0 1 / X M L S c h e m a - i n s t a n c e "   x m l n s : x s d = " h t t p : / / w w w . w 3 . o r g / 2 0 0 1 / X M L S c h e m a "   x m l n s = " h t t p : / / m i c r o s o f t . d a t a . v i s u a l i z a t i o n . C l i e n t . E x c e l . L S t a t e / 1 . 0 " > < c g > H 4 s I A A A A A A A E A O 1 c y 2 7 b S B b 9 F c J A l q b q R V Z V Y C u w H a c 7 j T h t 2 I 1 g M D t a Y m T O 0 K R B S k k n f 5 N l Y 5 B F o 3 c z i 1 n o g + Y X 5 l R R l E S J g q m X q U W y i B N Z Y l 3 d W / d 1 7 q n 6 3 3 / + e / L q 9 4 f Y + R R m e Z Q m p 0 f U J U d O m P T S f p Q M T o 9 G w 4 / H 6 u h V 9 + Q c / 3 0 X D N + l y U X Q u w 8 d f C j J X / 6 e R 6 d H 9 8 P h 4 8 t O 5 / P n z + 5 n 7 q b Z o M M I o Z 2 / X b 2 7 x T s f g u M o y Y d B 0 g u P p p / q P / 2 p o + 7 J 2 7 z 4 w P T N D 1 E v S / P 0 4 9 D t B 8 P A / R T l o y C O v g Z D i O 4 O w p T 3 O 0 Z + f N L 5 5 + n R q 6 D / E C W v o 3 y Y R b 3 h 6 f U o z I b p C 0 a u Y 3 w Y b / o Q x K P Q u e + d H n 0 M 4 j z E K z + F 6 U 2 Y p / H I P D B f + L 8 T D 6 E e 7 U o h C N G E S i 0 E 5 / 6 R E 0 N t x 5 K 4 U i v p S 6 K 0 E l x 6 0 C L e f 1 a I A E n x R I o l 3 q T Z Q z A c h v 2 z f j 8 L 8 7 x b i O V Y o U 4 6 S 7 8 + m b z v T R T G f Y h k v k w y c K D 4 l 0 k U n x 4 N s x H 0 2 t n 8 F w s C F M 9 / 8 n H d m / B x / O + 7 O O o F z u s U a s Y / k u C k U 3 6 8 s y B 2 p 6 L a 7 k n 1 / / h e H W s N / H x b b 7 3 b I L H G s 4 s N 0 k 3 N p 1 z P l 5 Q Q j w l N G B d i Y j 5 f u 8 p j x F O C E l 8 I j 9 O m 9 r O C F T o Y p K 0 Y c E G C 0 g R P 7 J R t L V g x q P W N Y + J C o Z 6 E 8 8 M / i N D w l N I 7 t E s F k z 5 l n A h f 1 X o H q / O O h e + 2 N / f o L i x U V W L 1 t 0 4 / d O I 0 d 3 7 L x 9 9 6 9 1 E c 5 L N 9 / 5 T S L 3 u j o J 9 m s w 8 8 5 S j L a t Y u 4 o y S W m K T U i Y 1 n + h Y C Z f 4 i m r q M c U Z 4 Z T V b O F D V v L P Y R b 2 o 7 k g 8 p Q y L 1 L k F e c G o a e 5 P j c J P M g Z v 6 T 5 i w v + 4 k z j 3 / 0 Q f / 3 a S 7 f I I Y g z k j K t G J V S 8 q m X I H k J 5 s F 7 l M + Z o q x x E k H w R A b v h 6 3 E n 9 n i V a 9 Z m a R 2 H 3 q o c n 2 q l O S e 9 u E B g s y l Z a E 9 I p C V u e c h 9 K g a p 6 j N y w g I D q w + / s O 4 u 7 F 2 K 7 q t k a J N J f 9 I n h P t t 1 H + R M F C 3 W N r v 4 U q t b Z q P e b c 9 Q n X R H l c K a r g J m V i J q 7 P J G F a U K V N 2 V O X N G r 9 4 y Y c R O O / E u c q H G b p Y x p H K P E D 4 y s m k x p R W / G X B l I 1 9 Z 8 L p H Y E 1 P L t 6 y d q o 3 X u U + l p q j y p K a F z U c n z P V + j F P U 5 U X h 5 q V d Y m a j 3 r F p b 6 h R r l N 9 8 u u W f N H j 1 E 6 v j / 5 q q X T t n v w 7 + E d y Z f H 3 O k 0 0 7 B e 0 K D q s p X 3 i E a t s Q F I 0 e N a 7 E q C J S + d S k 6 R r r 1 X q M l Q o u 0 4 p j z B Z v a q T n D 3 E P Q W K L L K O 9 D Z t z x n z f p z 4 K K 6 b 0 t A p A d y c U g S 9 q j s I L n t c 4 y t 0 G E G r 8 r R W T T d d + J o s t t x p A O w j K K u F 7 l C r U U F B b C X a g x k K 3 Q T x B t W Y U 6 W Q p g t X 6 w O 3 4 W w J Q 6 K t z E z x E W f i 1 H c U u C d G a h j 3 X U 5 x z Q j 0 x y c C l i o W r K d A k h u z s I d T U J u Y V S W L f W x Y 5 Y r J E V W / d i y D u r 9 M N X 6 R x + n A 3 3 / I 9 l W X X T g W o R k z 7 N r I / b O c W B 3 j h K h j g p Y 0 7 O O X C a k x r n / s V v 6 A u 9 T c 0 G r o N S G S x h c C Z i L d H 7 z B 5 v n b F B Z O W b 5 s V Q s U b V i f 3 5 8 4 b l 0 n o w q K U V 7 J G 4 9 r Y U 6 5 m j G u A U 9 x j H t f I 5 y b I M e E C y Q K e h Q K O S t I 4 w l 2 k S R 8 Q j z H k T f A Y t 9 M 2 L g t R N e t q 6 1 3 m w z T Z q 0 e e B 1 l w n 2 7 j e 4 i L A N g 9 V G Y w j Q Z I U h Z m j H I K B A W 5 f h X I W J u U S o n 2 6 G 6 r F T 5 b v K m J n t v B J s H z t q j N b P q G v y G B 2 x d e I 4 t X P K 9 + m G J G F E 9 h / K + j n k u b F H 9 N H l Y E / o s M 4 x 8 j 5 z m / C + I G c i 6 0 0 8 X Q B 1 M D F J Z S Y d c x 5 G k x C R F m 6 M O I Z A g b x L 7 e u A p C 7 L W S p R C q l V 1 n w v q c B M + 0 9 Z Y r T M w M l E C D L C S j Q i n t M b 9 E Q x W K d p T w A j m 2 m B r U Q X c r K q D J l x v / t V / 9 2 i R q 1 T h Z q a r H 7 k 9 B P P 7 2 C C x k n x O C t U u i q z Q Z h j 3 j G N G m D o E p K H o p Q p E 4 p Q e 7 l T M I S V 2 0 y x h K M I 6 6 F o N Q G L N Z Y z A n V C s O U V m / a s b V s X v L S F z j D i g g u Y T y i P A w X E b 5 M f U G M 1 9 G B A J e x D H A R C N b o 9 l a b 6 h 8 s / 0 N 0 C r L V B X Y v U K p f T f + 3 r y G X H t M t r Y T n N 1 l L n q q p 4 G G J r n G P q x a f 2 6 e B d 8 m / f A x x F 9 J L 9 q i Q R E M c V M C 8 O V m 8 j F X J P n M 1 E + F e 6 7 B U 6 i I 1 Y q L L k h Q 3 W N 7 c 9 K 1 d 9 b P g S U q X A V f 0 q z B / l p R c G A C 6 M N + V E t W 4 F W 2 x g W Q x X 1 M f g n a F a B Y j e e D R i Y 0 l Z C o F c v N L 3 + o Z j s b p D s M C O Z h u w o I p i w 2 D W 4 1 W j V u c I V w A V J 7 G o A F A 2 d g i o o y F / i d m U E w T K M R J v y 6 F r c 2 o 5 x 9 C r 9 k 6 T 5 x 7 O 5 0 i e p 2 6 V 5 H o D + F I F 9 c h M k w C + J w j c r q T Q Y S 2 j q t 7 X J + p s y V i h H U N T 7 K H F 9 5 5 U S H + i 6 X x E f 1 i n G z E p h C 1 6 T n 2 u a z n F g B L / h 7 N B h F 6 K 9 a 8 t I V k l Q t s D r O 3 o Z J O D D t T P m B p 7 C 8 Z f U K 4 l L M X B g Q Z 1 / q g i d k 4 h 5 w a A U k 1 A P j D g 0 / E S g 3 m 1 W V H + I 0 G / / L 6 T g Y J w B y a C X 4 L c l Q 6 q f 4 u V q h Z / F d s B Y U s 6 x Q 8 C I 8 w P Y Y N Z p S n U J 9 E 7 D E B + o l O Z G e w r x k L Q T / H R g 3 K e D f d p Q 5 t 3 p T N e 6 8 S G d m m A 6 C F S K q p B 7 C w a T 7 U U C F M X 5 C g J V c r a L v 1 A b U i 3 u w w o J k s E + d d u c W q a q u + 8 s o n u d u P r U v z y F p H P T D / L 6 5 r 6 9 d R Z 0 D I 8 x G v W 2 I n h R M I E n B O / S K 8 U m J E n I u Y D 8 U x R p c x e Z E z 1 K i V o L I b P G q 7 V Z H j y 2 3 / d o G K / C 2 6 7 C f G Y 6 1 n b R c B b 0 0 K 0 D C f P N K 2 A M v 1 x e A h n w Q 5 q Z I g 6 2 E l U K H Q 0 G j E + u M I A F 9 W T E N R G 9 F H H 9 H F b G 3 z n i 1 i Q w I V y P J o V r 4 n R m c f U K O 3 9 S W m C Z 7 A t R r z F k 0 f s g p a g Q S k m F U g J 2 n Y W l R i 2 3 U F k 9 I B x 8 g U C v W m 6 5 9 q P a 6 j c z o 8 2 3 y 0 R w 5 6 E U F C t 6 E D 9 M E 8 r g N H 3 f X 4 d i H V d u b z f E T A F F 5 a L 8 s R f R h 5 H 0 6 C r d A / k 0 6 9 0 D T Y k j s p v A s s g h x B f U 8 C b 4 c o U g y z W m l V r r x n 2 n m W L l a 2 b l L M h z q D v 5 l l O y u J 7 c P 2 1 V P j t B t S Y 7 Y X z d p f 5 L k B q N G o 7 B a x A f A j g L X h g C Y U w q 8 w C l B k 7 r o 2 w H 5 o N J E F d 8 Y T y 8 F R L H e z 8 b f j W i t 7 L V a O Q 5 1 v + E E g u l s c l j 1 K s q C L S a G m F 3 B m J i F C F 7 S a s v A A c o I A Z 9 Q 4 / z Y O s y p U j Z n I l k r 1 l w W 4 l B N + T 7 9 t L v Q Y R + 2 q 9 B h U p M 6 j 4 u 6 2 O 6 1 6 y I 3 0 4 0 L K z T z + I M W H w x H H 8 T H 6 X w a X F V K k K d A l s C x I H v c r R l w c h m P v w e 5 c x 2 N / 2 y n u q o K c K i 7 r D h c a v H + 9 y i x A D F t U W m Y y h e H E j 2 c 7 k L R U X I t 0 e h o w U A z A E J b t L J N w a 9 S O K c U r Z W Q U S P F o V r T M M k W U P b N y 9 D L / D G I Y h w 1 3 r R b A p q E G T t 4 J Z o b 6 m 2 J M h 1 j Q y C x A L o H M X e 9 K d B l 7 N y G 0 V 0 7 J z N m i z + T + W v Q U O 3 i / A t O / m p f C w M a l D 4 G H g 9 4 f y C I 4 2 S l P a B a N 1 y v b U C n V m 7 F t + Z W b 0 + p y v 0 x a p 5 o / 7 k x N 8 u 5 Q L G 6 1 Y 0 G h s s s c Z 0 B w Y g Q B Y Q s n Q J x R m r N J U 5 x m w O V z Y f N V q o W L z S o r P 9 M f r E 2 X P p 6 F G R D c + f E p g d d g F 6 D 6 e o D H E U 4 m x Z 8 x C W K 4 0 w G L G d J s I 0 D W S F P K 1 G s X P p Q T X U Z w 8 V u w y 9 3 W w w j f q T y Z 7 0 t B B O t 3 V V y 9 m G 7 6 v 4 s i F 4 M U D d 1 / h 8 z 3 W 0 v E F g 7 W o M 6 t b v 9 Z B + 2 q / 2 E + V G Y o e 0 M 8 0 2 3 k 3 Q 1 z v d h w F b M S U u G A K i 8 H s d c D Z x T A X Y 2 6 G Z N + 8 6 Z S K 2 k k / n l n y m l L L c a y M P m M g p C c L Q e M 6 9 Z O y 9 B Z f H x C w / n j T A 3 a H 4 T z v z X 2 t u s s j u / S l V 5 h 0 j i / b U 3 3 N 0 Q y j 5 s V 0 O o 8 k 4 U g y Q H G 9 c N 6 F d / X B T z n L e M X Y d Z 8 G l z 1 r V 2 f 5 w / 3 / x O u O U o C v o a D k f j v j 0 J u I s b b s B s / m q O S Y D G g 5 t L M E V p P n + d W L i l z G R 3 1 4 w 1 V U T Y 1 Q S R 5 8 Y T z r 6 O t p h B 4 E i B T w U H X o m u d H a p F U 5 4 c Y O 6 g d k p U W Y 0 P x J k p G n F T s X C 1 f R 3 O E a y H c R Z P A w G G U Y O 2 9 g L T F v c 3 + C Z i 4 E s v G M n l G C G + p g Y C Z y u B b C w 4 q B R L R Y K Q s x M r F Y M t y D B o V r w K s D Z o 1 0 1 A P Z h u y p b 8 L D J X B K F y 2 + g 2 k c 4 y 2 7 Q D / s q t W d / N + 0 z M B I 3 F 0 y Z a M 4 F j r e U X B o z 4 P I l T r U g d q x 3 R R u k x Z T S K e V 0 y s t F W t l 7 q 4 U 5 1 G 3 4 J r z b X V N r H 7 b J n u 6 8 N b e / L l w v 3 P 0 / F G d S m J l 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EA1BF481-9E5F-40C3-BF47-944D8EB0AE74}">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6F834870-D5F1-4BA9-A000-BC0329A8EEFE}">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0C3BAB89-19E0-4E74-8CCB-EB6B76618512}">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728DF29B-9047-4409-9D75-7876CDFA3C37}">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Ley 87-01 (2)</vt:lpstr>
      <vt:lpstr>Org. SDSS</vt:lpstr>
      <vt:lpstr>Reg. y Seg.</vt:lpstr>
      <vt:lpstr>Seg. y Ben.</vt:lpstr>
      <vt:lpstr>SDSS</vt:lpstr>
      <vt:lpstr>SDSS.Definición</vt:lpstr>
      <vt:lpstr>Analisis de Datos</vt:lpstr>
      <vt:lpstr>Empl x sector </vt:lpstr>
      <vt:lpstr>Empr x No. de empl</vt:lpstr>
      <vt:lpstr>Salario prom.</vt:lpstr>
      <vt:lpstr>Empl xsexoy edad</vt:lpstr>
      <vt:lpstr>SFS</vt:lpstr>
      <vt:lpstr>Definición Afil. SFS1</vt:lpstr>
      <vt:lpstr>Definición de Afili. SFS2  </vt:lpstr>
      <vt:lpstr>Analisis</vt:lpstr>
      <vt:lpstr>Afil.SFSPob.Nac.</vt:lpstr>
      <vt:lpstr>Afil. SFS</vt:lpstr>
      <vt:lpstr>Cob.Afil. SFS </vt:lpstr>
      <vt:lpstr>Afil. SFS x sexo</vt:lpstr>
      <vt:lpstr>Proy. afil.Vs pobl.</vt:lpstr>
      <vt:lpstr>SFS.RC</vt:lpstr>
      <vt:lpstr>Afil. SFS.RC </vt:lpstr>
      <vt:lpstr>Afil. SFS RC Anual </vt:lpstr>
      <vt:lpstr> Afil. SFS RC Mensual</vt:lpstr>
      <vt:lpstr>Cob.Afil. SFS RC Anual</vt:lpstr>
      <vt:lpstr> Cob.Afil. SFS RC Mensual</vt:lpstr>
      <vt:lpstr>Afil. SFS RC X sexo x tipo</vt:lpstr>
      <vt:lpstr>SFS.RS</vt:lpstr>
      <vt:lpstr>Afil. SFS.RS1  </vt:lpstr>
      <vt:lpstr> Afil anual SFS RS </vt:lpstr>
      <vt:lpstr> Afil.mensual SFS RS </vt:lpstr>
      <vt:lpstr>Cob.Afil anual SFS RS</vt:lpstr>
      <vt:lpstr> Cob.Afil.mensual SFS RS </vt:lpstr>
      <vt:lpstr>Afil. SFS RS X sexo x tipo </vt:lpstr>
      <vt:lpstr> Afil. SFS RS Vs pob.</vt:lpstr>
      <vt:lpstr>Afil.RET</vt:lpstr>
      <vt:lpstr>Afil.RET1</vt:lpstr>
      <vt:lpstr>Afil.RET.Anual.</vt:lpstr>
      <vt:lpstr> Afil. SFSP Mensual</vt:lpstr>
      <vt:lpstr> Cob.Afil. SFSP Mensual</vt:lpstr>
      <vt:lpstr>SVDS</vt:lpstr>
      <vt:lpstr>Definición Afil. SVDS</vt:lpstr>
      <vt:lpstr>Analisis Afil. SVDS</vt:lpstr>
      <vt:lpstr>Afil. SVDS</vt:lpstr>
      <vt:lpstr>Afil. SVDS mensual</vt:lpstr>
      <vt:lpstr> Afil. cotiz.</vt:lpstr>
      <vt:lpstr> Cotiz. x rango de edad</vt:lpstr>
      <vt:lpstr> Cotiz x sal. min. cot.</vt:lpstr>
      <vt:lpstr>Cotiz.x AFP y fondos</vt:lpstr>
      <vt:lpstr>PEA_Género</vt:lpstr>
      <vt:lpstr>Cot.Afil X Sexo</vt:lpstr>
      <vt:lpstr>Traspasos anual</vt:lpstr>
      <vt:lpstr> Trasp. recibidos</vt:lpstr>
      <vt:lpstr> Trasp. cedidos</vt:lpstr>
      <vt:lpstr>Trasp. netos </vt:lpstr>
      <vt:lpstr> Afil. SVDSxprov.</vt:lpstr>
      <vt:lpstr>SRL</vt:lpstr>
      <vt:lpstr>Definición Afil. SRL</vt:lpstr>
      <vt:lpstr>Afil. SRL.RC1 </vt:lpstr>
      <vt:lpstr> Afil. SRL</vt:lpstr>
      <vt:lpstr>Afil. SRL x sexoy edad</vt:lpstr>
      <vt:lpstr>Afil. ARL x riesgo</vt:lpstr>
      <vt:lpstr>ID. Accidentabilidad</vt:lpstr>
      <vt:lpstr>ING._ EGR</vt:lpstr>
      <vt:lpstr>Defi. Ing.Gastos.</vt:lpstr>
      <vt:lpstr>Definición </vt:lpstr>
      <vt:lpstr>Análisis Ing.Gastos</vt:lpstr>
      <vt:lpstr> Ingr y egr SDSS</vt:lpstr>
      <vt:lpstr>Recaudo x sector</vt:lpstr>
      <vt:lpstr>Rec. x origen</vt:lpstr>
      <vt:lpstr>Aport.Gob.SS</vt:lpstr>
      <vt:lpstr>Analisis_Gastos</vt:lpstr>
      <vt:lpstr>Pagos SFS</vt:lpstr>
      <vt:lpstr>Pagos_SFS M</vt:lpstr>
      <vt:lpstr>Pagos x ARS 2</vt:lpstr>
      <vt:lpstr>Pagos x ARS</vt:lpstr>
      <vt:lpstr>INV_SFS x Entidad</vt:lpstr>
      <vt:lpstr>INV_SFS x cuentas</vt:lpstr>
      <vt:lpstr>Aport. GOB. y Pagos RS</vt:lpstr>
      <vt:lpstr> Saldos RS mensual</vt:lpstr>
      <vt:lpstr>Pagos.SFS Pens.</vt:lpstr>
      <vt:lpstr>Pagos.SFS Pens.Mens.</vt:lpstr>
      <vt:lpstr>Análisis.</vt:lpstr>
      <vt:lpstr>Pagos_ SVDS</vt:lpstr>
      <vt:lpstr>Pagos anuales x cuentas</vt:lpstr>
      <vt:lpstr> Pago Entidades</vt:lpstr>
      <vt:lpstr>Patrim. fp anual</vt:lpstr>
      <vt:lpstr>Cartera de inv fp</vt:lpstr>
      <vt:lpstr>Comp. Cartera</vt:lpstr>
      <vt:lpstr>Rent. nom. de los FP</vt:lpstr>
      <vt:lpstr>Rentab.Real</vt:lpstr>
      <vt:lpstr>Anali.SRL</vt:lpstr>
      <vt:lpstr>Pagos  ARL A</vt:lpstr>
      <vt:lpstr>Pagos_ARL M</vt:lpstr>
      <vt:lpstr>BENEFICIOS</vt:lpstr>
      <vt:lpstr>SFS_EI</vt:lpstr>
      <vt:lpstr>Benef.EI1</vt:lpstr>
      <vt:lpstr>Analis-Benef</vt:lpstr>
      <vt:lpstr>Afil.EI</vt:lpstr>
      <vt:lpstr>Afil. a EI</vt:lpstr>
      <vt:lpstr>SUBSIDIO_SFS</vt:lpstr>
      <vt:lpstr>SUBSIDIO_SFS Def.</vt:lpstr>
      <vt:lpstr>Análisis</vt:lpstr>
      <vt:lpstr>Benef. subsid</vt:lpstr>
      <vt:lpstr> Monto subsid </vt:lpstr>
      <vt:lpstr>PENSIONES_SVDS</vt:lpstr>
      <vt:lpstr>Análisis pens.</vt:lpstr>
      <vt:lpstr>Pensiones por año</vt:lpstr>
      <vt:lpstr>Pens.Disc. AFP</vt:lpstr>
      <vt:lpstr>Pensiones Sob.Disc</vt:lpstr>
      <vt:lpstr>SOLIC_BEN_ARL</vt:lpstr>
      <vt:lpstr>Anali.SRL.</vt:lpstr>
      <vt:lpstr>NA. Reportes ARL</vt:lpstr>
      <vt:lpstr>NA.Cant. accid x región</vt:lpstr>
      <vt:lpstr> NA.Cant. accid x Prov.</vt:lpstr>
      <vt:lpstr> NA.Cant. accid x Proced.</vt:lpstr>
      <vt:lpstr>NA.Cant. accid x sector</vt:lpstr>
      <vt:lpstr>Accid x sexo</vt:lpstr>
      <vt:lpstr>Accid x rango de edad</vt:lpstr>
      <vt:lpstr>Accid x Escolaridad</vt:lpstr>
      <vt:lpstr> Accid x sector </vt:lpstr>
      <vt:lpstr>Accid x sexo.</vt:lpstr>
      <vt:lpstr>Accid x edad</vt:lpstr>
      <vt:lpstr> EC. Accid. Lab</vt:lpstr>
      <vt:lpstr>EC. Accid. Lab.</vt:lpstr>
      <vt:lpstr>EC. Accid. Lab x tipo</vt:lpstr>
      <vt:lpstr>EC. Accid. Lab x Lesión</vt:lpstr>
      <vt:lpstr>Accid.Lab suceso</vt:lpstr>
      <vt:lpstr>EC. x Agente daño</vt:lpstr>
      <vt:lpstr>EC. x  lugar de accid.</vt:lpstr>
      <vt:lpstr>EC. Accid incapac.</vt:lpstr>
      <vt:lpstr> EC. Enferm. Prof (R)</vt:lpstr>
      <vt:lpstr>EC. Accid Lab.</vt:lpstr>
      <vt:lpstr>Accid. Aprobxtipo</vt:lpstr>
      <vt:lpstr> Accid. Aprob xLesión </vt:lpstr>
      <vt:lpstr>Accid.Aprob Según suc.</vt:lpstr>
      <vt:lpstr>Por Entidad Receptora Origen</vt:lpstr>
      <vt:lpstr>CMNR</vt:lpstr>
      <vt:lpstr>Analisis CMNR</vt:lpstr>
      <vt:lpstr>Status</vt:lpstr>
      <vt:lpstr>Apelaciones1</vt:lpstr>
      <vt:lpstr>ENFT_BC</vt:lpstr>
      <vt:lpstr>Ocup. formal </vt:lpstr>
      <vt:lpstr> Pob. econ. </vt:lpstr>
      <vt:lpstr> SDSS Definiciones (1)</vt:lpstr>
      <vt:lpstr> SDSS Definiciones (2)</vt:lpstr>
      <vt:lpstr> SDSS Definiciones (3)</vt:lpstr>
      <vt:lpstr> SDSS Definiciones (4)</vt:lpstr>
      <vt:lpstr>Logros 1</vt:lpstr>
      <vt:lpstr>Logros2</vt:lpstr>
      <vt:lpstr>' Accid x sector '!Área_de_impresión</vt:lpstr>
      <vt:lpstr>' Accid. Aprob xLesión '!Área_de_impresión</vt:lpstr>
      <vt:lpstr>' Afil anual SFS RS '!Área_de_impresión</vt:lpstr>
      <vt:lpstr>' Afil. cotiz.'!Área_de_impresión</vt:lpstr>
      <vt:lpstr>' Afil. SFS RC Mensual'!Área_de_impresión</vt:lpstr>
      <vt:lpstr>' Afil. SFS RS Vs pob.'!Área_de_impresión</vt:lpstr>
      <vt:lpstr>' Afil. SFSP Mensual'!Área_de_impresión</vt:lpstr>
      <vt:lpstr>' Afil. SRL'!Área_de_impresión</vt:lpstr>
      <vt:lpstr>' Afil. SVDSxprov.'!Área_de_impresión</vt:lpstr>
      <vt:lpstr>' Afil.mensual SFS RS '!Área_de_impresión</vt:lpstr>
      <vt:lpstr>' Cob.Afil. SFS RC Mensual'!Área_de_impresión</vt:lpstr>
      <vt:lpstr>' Cob.Afil. SFSP Mensual'!Área_de_impresión</vt:lpstr>
      <vt:lpstr>' Cob.Afil.mensual SFS RS '!Área_de_impresión</vt:lpstr>
      <vt:lpstr>' Cotiz x sal. min. cot.'!Área_de_impresión</vt:lpstr>
      <vt:lpstr>' Cotiz. x rango de edad'!Área_de_impresión</vt:lpstr>
      <vt:lpstr>' EC. Accid. Lab'!Área_de_impresión</vt:lpstr>
      <vt:lpstr>' EC. Enferm. Prof (R)'!Área_de_impresión</vt:lpstr>
      <vt:lpstr>' Ingr y egr SDSS'!Área_de_impresión</vt:lpstr>
      <vt:lpstr>' Monto subsid '!Área_de_impresión</vt:lpstr>
      <vt:lpstr>' NA.Cant. accid x Proced.'!Área_de_impresión</vt:lpstr>
      <vt:lpstr>' NA.Cant. accid x Prov.'!Área_de_impresión</vt:lpstr>
      <vt:lpstr>' Pago Entidades'!Área_de_impresión</vt:lpstr>
      <vt:lpstr>' Pob. econ. '!Área_de_impresión</vt:lpstr>
      <vt:lpstr>' Saldos RS mensual'!Área_de_impresión</vt:lpstr>
      <vt:lpstr>' SDSS Definiciones (1)'!Área_de_impresión</vt:lpstr>
      <vt:lpstr>' SDSS Definiciones (2)'!Área_de_impresión</vt:lpstr>
      <vt:lpstr>' SDSS Definiciones (3)'!Área_de_impresión</vt:lpstr>
      <vt:lpstr>' SDSS Definiciones (4)'!Área_de_impresión</vt:lpstr>
      <vt:lpstr>' Trasp. cedidos'!Área_de_impresión</vt:lpstr>
      <vt:lpstr>' Trasp. recibidos'!Área_de_impresión</vt:lpstr>
      <vt:lpstr>'Accid x edad'!Área_de_impresión</vt:lpstr>
      <vt:lpstr>'Accid x Escolaridad'!Área_de_impresión</vt:lpstr>
      <vt:lpstr>'Accid x rango de edad'!Área_de_impresión</vt:lpstr>
      <vt:lpstr>'Accid x sexo'!Área_de_impresión</vt:lpstr>
      <vt:lpstr>'Accid x sexo.'!Área_de_impresión</vt:lpstr>
      <vt:lpstr>'Accid. Aprobxtipo'!Área_de_impresión</vt:lpstr>
      <vt:lpstr>'Accid.Aprob Según suc.'!Área_de_impresión</vt:lpstr>
      <vt:lpstr>'Accid.Lab suceso'!Área_de_impresión</vt:lpstr>
      <vt:lpstr>'Afil. a EI'!Área_de_impresión</vt:lpstr>
      <vt:lpstr>'Afil. ARL x riesgo'!Área_de_impresión</vt:lpstr>
      <vt:lpstr>'Afil. SFS'!Área_de_impresión</vt:lpstr>
      <vt:lpstr>'Afil. SFS RC Anual '!Área_de_impresión</vt:lpstr>
      <vt:lpstr>'Afil. SFS RC X sexo x tipo'!Área_de_impresión</vt:lpstr>
      <vt:lpstr>'Afil. SFS RS X sexo x tipo '!Área_de_impresión</vt:lpstr>
      <vt:lpstr>'Afil. SFS x sexo'!Área_de_impresión</vt:lpstr>
      <vt:lpstr>'Afil. SFS.RC '!Área_de_impresión</vt:lpstr>
      <vt:lpstr>'Afil. SFS.RS1  '!Área_de_impresión</vt:lpstr>
      <vt:lpstr>'Afil. SRL x sexoy edad'!Área_de_impresión</vt:lpstr>
      <vt:lpstr>'Afil. SRL.RC1 '!Área_de_impresión</vt:lpstr>
      <vt:lpstr>'Afil. SVDS'!Área_de_impresión</vt:lpstr>
      <vt:lpstr>'Afil. SVDS mensual'!Área_de_impresión</vt:lpstr>
      <vt:lpstr>Afil.EI!Área_de_impresión</vt:lpstr>
      <vt:lpstr>Afil.RET!Área_de_impresión</vt:lpstr>
      <vt:lpstr>Afil.RET.Anual.!Área_de_impresión</vt:lpstr>
      <vt:lpstr>Afil.RET1!Área_de_impresión</vt:lpstr>
      <vt:lpstr>Afil.SFSPob.Nac.!Área_de_impresión</vt:lpstr>
      <vt:lpstr>Anali.SRL!Área_de_impresión</vt:lpstr>
      <vt:lpstr>Anali.SRL.!Área_de_impresión</vt:lpstr>
      <vt:lpstr>'Analis-Benef'!Área_de_impresión</vt:lpstr>
      <vt:lpstr>Analisis!Área_de_impresión</vt:lpstr>
      <vt:lpstr>Análisis!Área_de_impresión</vt:lpstr>
      <vt:lpstr>'Analisis Afil. SVDS'!Área_de_impresión</vt:lpstr>
      <vt:lpstr>'Analisis CMNR'!Área_de_impresión</vt:lpstr>
      <vt:lpstr>'Analisis de Datos'!Área_de_impresión</vt:lpstr>
      <vt:lpstr>'Análisis Ing.Gastos'!Área_de_impresión</vt:lpstr>
      <vt:lpstr>'Análisis pens.'!Área_de_impresión</vt:lpstr>
      <vt:lpstr>Análisis.!Área_de_impresión</vt:lpstr>
      <vt:lpstr>Analisis_Gastos!Área_de_impresión</vt:lpstr>
      <vt:lpstr>Apelaciones1!Área_de_impresión</vt:lpstr>
      <vt:lpstr>'Aport. GOB. y Pagos RS'!Área_de_impresión</vt:lpstr>
      <vt:lpstr>Aport.Gob.SS!Área_de_impresión</vt:lpstr>
      <vt:lpstr>'Benef. subsid'!Área_de_impresión</vt:lpstr>
      <vt:lpstr>Benef.EI1!Área_de_impresión</vt:lpstr>
      <vt:lpstr>BENEFICIOS!Área_de_impresión</vt:lpstr>
      <vt:lpstr>'Cartera de inv fp'!Área_de_impresión</vt:lpstr>
      <vt:lpstr>CMNR!Área_de_impresión</vt:lpstr>
      <vt:lpstr>'Cob.Afil anual SFS RS'!Área_de_impresión</vt:lpstr>
      <vt:lpstr>'Cob.Afil. SFS '!Área_de_impresión</vt:lpstr>
      <vt:lpstr>'Cob.Afil. SFS RC Anual'!Área_de_impresión</vt:lpstr>
      <vt:lpstr>'Comp. Cartera'!Área_de_impresión</vt:lpstr>
      <vt:lpstr>Contenido!Área_de_impresión</vt:lpstr>
      <vt:lpstr>'Cot.Afil X Sexo'!Área_de_impresión</vt:lpstr>
      <vt:lpstr>'Cotiz.x AFP y fondos'!Área_de_impresión</vt:lpstr>
      <vt:lpstr>'Defi. Ing.Gastos.'!Área_de_impresión</vt:lpstr>
      <vt:lpstr>'Definición '!Área_de_impresión</vt:lpstr>
      <vt:lpstr>'Definición Afil. SFS1'!Área_de_impresión</vt:lpstr>
      <vt:lpstr>'Definición Afil. SRL'!Área_de_impresión</vt:lpstr>
      <vt:lpstr>'Definición Afil. SVDS'!Área_de_impresión</vt:lpstr>
      <vt:lpstr>'Definición de Afili. SFS2  '!Área_de_impresión</vt:lpstr>
      <vt:lpstr>'EC. Accid incapac.'!Área_de_impresión</vt:lpstr>
      <vt:lpstr>'EC. Accid Lab.'!Área_de_impresión</vt:lpstr>
      <vt:lpstr>'EC. Accid. Lab x Lesión'!Área_de_impresión</vt:lpstr>
      <vt:lpstr>'EC. Accid. Lab x tipo'!Área_de_impresión</vt:lpstr>
      <vt:lpstr>'EC. Accid. Lab.'!Área_de_impresión</vt:lpstr>
      <vt:lpstr>'EC. x  lugar de accid.'!Área_de_impresión</vt:lpstr>
      <vt:lpstr>'EC. x Agente daño'!Área_de_impresión</vt:lpstr>
      <vt:lpstr>'Empl x sector '!Área_de_impresión</vt:lpstr>
      <vt:lpstr>'Empl xsexoy edad'!Área_de_impresión</vt:lpstr>
      <vt:lpstr>'Empr x No. de empl'!Área_de_impresión</vt:lpstr>
      <vt:lpstr>ENFT_BC!Área_de_impresión</vt:lpstr>
      <vt:lpstr>'ID. Accidentabilidad'!Área_de_impresión</vt:lpstr>
      <vt:lpstr>'ING._ EGR'!Área_de_impresión</vt:lpstr>
      <vt:lpstr>'INV_SFS x cuentas'!Área_de_impresión</vt:lpstr>
      <vt:lpstr>'INV_SFS x Entidad'!Área_de_impresión</vt:lpstr>
      <vt:lpstr>'Ley 87-01 (2)'!Área_de_impresión</vt:lpstr>
      <vt:lpstr>'Logros 1'!Área_de_impresión</vt:lpstr>
      <vt:lpstr>Logros2!Área_de_impresión</vt:lpstr>
      <vt:lpstr>'NA. Reportes ARL'!Área_de_impresión</vt:lpstr>
      <vt:lpstr>'NA.Cant. accid x región'!Área_de_impresión</vt:lpstr>
      <vt:lpstr>'NA.Cant. accid x sector'!Área_de_impresión</vt:lpstr>
      <vt:lpstr>'Ocup. formal '!Área_de_impresión</vt:lpstr>
      <vt:lpstr>'Org. SDSS'!Área_de_impresión</vt:lpstr>
      <vt:lpstr>'Pagos  ARL A'!Área_de_impresión</vt:lpstr>
      <vt:lpstr>'Pagos anuales x cuentas'!Área_de_impresión</vt:lpstr>
      <vt:lpstr>'Pagos SFS'!Área_de_impresión</vt:lpstr>
      <vt:lpstr>'Pagos x ARS'!Área_de_impresión</vt:lpstr>
      <vt:lpstr>'Pagos x ARS 2'!Área_de_impresión</vt:lpstr>
      <vt:lpstr>'Pagos.SFS Pens.'!Área_de_impresión</vt:lpstr>
      <vt:lpstr>'Pagos.SFS Pens.Mens.'!Área_de_impresión</vt:lpstr>
      <vt:lpstr>'Pagos_ SVDS'!Área_de_impresión</vt:lpstr>
      <vt:lpstr>'Pagos_ARL M'!Área_de_impresión</vt:lpstr>
      <vt:lpstr>'Pagos_SFS M'!Área_de_impresión</vt:lpstr>
      <vt:lpstr>'Patrim. fp anual'!Área_de_impresión</vt:lpstr>
      <vt:lpstr>PEA_Género!Área_de_impresión</vt:lpstr>
      <vt:lpstr>'Pens.Disc. AFP'!Área_de_impresión</vt:lpstr>
      <vt:lpstr>'Pensiones por año'!Área_de_impresión</vt:lpstr>
      <vt:lpstr>'Pensiones Sob.Disc'!Área_de_impresión</vt:lpstr>
      <vt:lpstr>PENSIONES_SVDS!Área_de_impresión</vt:lpstr>
      <vt:lpstr>'Por Entidad Receptora Origen'!Área_de_impresión</vt:lpstr>
      <vt:lpstr>'Present. '!Área_de_impresión</vt:lpstr>
      <vt:lpstr>'Proy. afil.Vs pobl.'!Área_de_impresión</vt:lpstr>
      <vt:lpstr>'Rec. x origen'!Área_de_impresión</vt:lpstr>
      <vt:lpstr>'Recaudo x sector'!Área_de_impresión</vt:lpstr>
      <vt:lpstr>'Reg. y Seg.'!Área_de_impresión</vt:lpstr>
      <vt:lpstr>'Rent. nom. de los FP'!Área_de_impresión</vt:lpstr>
      <vt:lpstr>Rentab.Real!Área_de_impresión</vt:lpstr>
      <vt:lpstr>'Salario prom.'!Área_de_impresión</vt:lpstr>
      <vt:lpstr>SDSS!Área_de_impresión</vt:lpstr>
      <vt:lpstr>SDSS.Definición!Área_de_impresión</vt:lpstr>
      <vt:lpstr>'Seg. y Ben.'!Área_de_impresión</vt:lpstr>
      <vt:lpstr>SFS!Área_de_impresión</vt:lpstr>
      <vt:lpstr>SFS.RC!Área_de_impresión</vt:lpstr>
      <vt:lpstr>SFS.RS!Área_de_impresión</vt:lpstr>
      <vt:lpstr>SFS_EI!Área_de_impresión</vt:lpstr>
      <vt:lpstr>SOLIC_BEN_ARL!Área_de_impresión</vt:lpstr>
      <vt:lpstr>SRL!Área_de_impresión</vt:lpstr>
      <vt:lpstr>Status!Área_de_impresión</vt:lpstr>
      <vt:lpstr>SUBSIDIO_SFS!Área_de_impresión</vt:lpstr>
      <vt:lpstr>'SUBSIDIO_SFS Def.'!Área_de_impresión</vt:lpstr>
      <vt:lpstr>SVDS!Área_de_impresión</vt:lpstr>
      <vt:lpstr>'Trasp. netos '!Área_de_impresión</vt:lpstr>
      <vt:lpstr>'Traspasos anual'!Área_de_impresión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2015-12-03T12:37:34Z</cp:lastPrinted>
  <dcterms:created xsi:type="dcterms:W3CDTF">2010-04-06T13:07:55Z</dcterms:created>
  <dcterms:modified xsi:type="dcterms:W3CDTF">2015-12-04T16:48:00Z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